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3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4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drawings/drawing5.xml" ContentType="application/vnd.openxmlformats-officedocument.drawing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drawings/drawing6.xml" ContentType="application/vnd.openxmlformats-officedocument.drawing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UI/images/h2eicon0.png" ContentType="image/.png"/>
  <Override PartName="/customUI/images/h2eicon.png" ContentType="image/.png"/>
</Types>
</file>

<file path=_rels/.rels><?xml version="1.0" encoding="UTF-8" standalone="yes"?>
<Relationships xmlns="http://schemas.openxmlformats.org/package/2006/relationships"><Relationship Id="Rb3097a87a1494cc3" Type="http://schemas.microsoft.com/office/2006/relationships/ui/extensibility" Target="customUI/customUI.xml"/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a7fd8bcb1aff480c" Type="http://schemas.microsoft.com/office/2007/relationships/ui/extensibility" Target="customUI/customUI14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chris\Desktop\"/>
    </mc:Choice>
  </mc:AlternateContent>
  <xr:revisionPtr revIDLastSave="0" documentId="13_ncr:1_{C25DCACB-BDB3-401B-9518-B1097D7FD0A7}" xr6:coauthVersionLast="47" xr6:coauthVersionMax="47" xr10:uidLastSave="{00000000-0000-0000-0000-000000000000}"/>
  <bookViews>
    <workbookView xWindow="-120" yWindow="-120" windowWidth="29040" windowHeight="15720" xr2:uid="{2AEFA1C4-5853-4CF0-AE47-052FA9B96FB3}"/>
  </bookViews>
  <sheets>
    <sheet name="ACTUALS" sheetId="6" r:id="rId1"/>
    <sheet name="PLAYER1" sheetId="16" r:id="rId2"/>
    <sheet name="PLAYER2" sheetId="19" r:id="rId3"/>
    <sheet name="PLAYER3" sheetId="20" r:id="rId4"/>
    <sheet name="PLAYER4" sheetId="21" r:id="rId5"/>
    <sheet name="PLAYER5" sheetId="22" r:id="rId6"/>
    <sheet name="SCORING.RULES" sheetId="4" r:id="rId7"/>
    <sheet name="SCORING.RESULTS" sheetId="17" r:id="rId8"/>
    <sheet name="PRINTOUT" sheetId="11" r:id="rId9"/>
  </sheets>
  <definedNames>
    <definedName name="_xlnm._FilterDatabase" localSheetId="0" hidden="1">ACTUALS!$B$52:$R$54</definedName>
    <definedName name="_xlnm._FilterDatabase" localSheetId="1" hidden="1">PLAYER1!$B$52:$AC$54</definedName>
    <definedName name="_xlnm._FilterDatabase" localSheetId="2" hidden="1">PLAYER2!$B$52:$AC$54</definedName>
    <definedName name="_xlnm._FilterDatabase" localSheetId="3" hidden="1">PLAYER3!$B$52:$AC$54</definedName>
    <definedName name="_xlnm._FilterDatabase" localSheetId="4" hidden="1">PLAYER4!$B$52:$AC$54</definedName>
    <definedName name="_xlnm._FilterDatabase" localSheetId="5" hidden="1">PLAYER5!$B$52:$AC$54</definedName>
    <definedName name="CorrectNumberofGoals">SCORING.RULES!$C$3</definedName>
    <definedName name="CorrectResult">SCORING.RULES!$C$4</definedName>
    <definedName name="CorrectScore">SCORING.RULES!$C$5</definedName>
    <definedName name="CorrectStage">SCORING.RULES!$C$7</definedName>
    <definedName name="EliminationStages">ACTUALS!$E$57:$F$60</definedName>
    <definedName name="penaltiesscored">SCORING.RULES!$C$6</definedName>
    <definedName name="_xlnm.Print_Area" localSheetId="8">PRINTOUT!$A$1:$E$23</definedName>
    <definedName name="shootoutspredicted">SCORING.RULES!$C$10</definedName>
    <definedName name="shootoutswon">SCORING.RULES!$C$9</definedName>
    <definedName name="Stadiums" localSheetId="0">ACTUALS!$AF$5:$AF$14</definedName>
    <definedName name="Stadiums" localSheetId="1">PLAYER1!$AP$5:$AP$14</definedName>
    <definedName name="Stadiums" localSheetId="2">PLAYER2!$AP$5:$AP$14</definedName>
    <definedName name="Stadiums" localSheetId="3">PLAYER3!$AP$5:$AP$14</definedName>
    <definedName name="Stadiums" localSheetId="4">PLAYER4!$AP$5:$AP$14</definedName>
    <definedName name="Stadiums" localSheetId="5">PLAYER5!$AP$5:$AP$14</definedName>
    <definedName name="Stadiums">ACTUALS!$AF$5:$AF$14</definedName>
    <definedName name="Stage1" localSheetId="1">PLAYER1!$F$57</definedName>
    <definedName name="Stage1" localSheetId="2">PLAYER2!$F$57</definedName>
    <definedName name="Stage1" localSheetId="3">PLAYER3!$F$57</definedName>
    <definedName name="Stage1" localSheetId="4">PLAYER4!$F$57</definedName>
    <definedName name="Stage1" localSheetId="5">PLAYER5!$F$57</definedName>
    <definedName name="Stage1">ACTUALS!$F$57</definedName>
    <definedName name="Stage2" localSheetId="1">PLAYER1!$F$58</definedName>
    <definedName name="Stage2" localSheetId="2">PLAYER2!$F$58</definedName>
    <definedName name="Stage2" localSheetId="3">PLAYER3!$F$58</definedName>
    <definedName name="Stage2" localSheetId="4">PLAYER4!$F$58</definedName>
    <definedName name="Stage2" localSheetId="5">PLAYER5!$F$58</definedName>
    <definedName name="Stage2">ACTUALS!$F$58</definedName>
    <definedName name="Stage3" localSheetId="1">PLAYER1!$F$59</definedName>
    <definedName name="Stage3" localSheetId="2">PLAYER2!$F$59</definedName>
    <definedName name="Stage3" localSheetId="3">PLAYER3!$F$59</definedName>
    <definedName name="Stage3" localSheetId="4">PLAYER4!$F$59</definedName>
    <definedName name="Stage3" localSheetId="5">PLAYER5!$F$59</definedName>
    <definedName name="Stage3">ACTUALS!$F$59</definedName>
    <definedName name="Stage4" localSheetId="1">PLAYER1!#REF!</definedName>
    <definedName name="Stage4" localSheetId="2">PLAYER2!#REF!</definedName>
    <definedName name="Stage4" localSheetId="3">PLAYER3!#REF!</definedName>
    <definedName name="Stage4" localSheetId="4">PLAYER4!#REF!</definedName>
    <definedName name="Stage4" localSheetId="5">PLAYER5!#REF!</definedName>
    <definedName name="Stage4">ACTUALS!#REF!</definedName>
    <definedName name="Stage5" localSheetId="1">PLAYER1!$F$60</definedName>
    <definedName name="Stage5" localSheetId="2">PLAYER2!$F$60</definedName>
    <definedName name="Stage5" localSheetId="3">PLAYER3!$F$60</definedName>
    <definedName name="Stage5" localSheetId="4">PLAYER4!$F$60</definedName>
    <definedName name="Stage5" localSheetId="5">PLAYER5!$F$60</definedName>
    <definedName name="Stage5">ACTUALS!$F$60</definedName>
    <definedName name="TeamstoWatch">OFFSET(PRINTOUT!$G$3,0,0,COUNTA(PRINTOUT!$G:$G)-1,1)</definedName>
    <definedName name="WatchList" localSheetId="0">ACTUALS!$GQ$30</definedName>
    <definedName name="WatchList" localSheetId="1">PLAYER1!$HA$30</definedName>
    <definedName name="WatchList" localSheetId="2">PLAYER2!$HA$30</definedName>
    <definedName name="WatchList" localSheetId="3">PLAYER3!$HA$30</definedName>
    <definedName name="WatchList" localSheetId="4">PLAYER4!$HA$30</definedName>
    <definedName name="WatchList" localSheetId="5">PLAYER5!$HA$30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22" l="1"/>
  <c r="AK54" i="22"/>
  <c r="AJ54" i="22"/>
  <c r="AI54" i="22"/>
  <c r="AH54" i="22"/>
  <c r="AC54" i="22"/>
  <c r="AB54" i="22"/>
  <c r="W54" i="22"/>
  <c r="Z54" i="22" s="1"/>
  <c r="V54" i="22"/>
  <c r="O54" i="22" s="1"/>
  <c r="U54" i="22"/>
  <c r="S54" i="22"/>
  <c r="N54" i="22"/>
  <c r="H54" i="22"/>
  <c r="X54" i="22" s="1"/>
  <c r="AK53" i="22"/>
  <c r="AJ53" i="22"/>
  <c r="AI53" i="22"/>
  <c r="AH53" i="22"/>
  <c r="AC53" i="22"/>
  <c r="AB53" i="22"/>
  <c r="X53" i="22"/>
  <c r="W53" i="22"/>
  <c r="Z53" i="22" s="1"/>
  <c r="V53" i="22"/>
  <c r="O53" i="22" s="1"/>
  <c r="U53" i="22"/>
  <c r="N53" i="22"/>
  <c r="H53" i="22"/>
  <c r="S53" i="22" s="1"/>
  <c r="AK52" i="22"/>
  <c r="AJ52" i="22"/>
  <c r="AI52" i="22"/>
  <c r="AH52" i="22"/>
  <c r="AC52" i="22"/>
  <c r="AB52" i="22"/>
  <c r="AM52" i="22" s="1"/>
  <c r="AA52" i="22"/>
  <c r="Z52" i="22"/>
  <c r="W52" i="22"/>
  <c r="V52" i="22"/>
  <c r="O52" i="22" s="1"/>
  <c r="U52" i="22"/>
  <c r="T52" i="22"/>
  <c r="N52" i="22"/>
  <c r="H52" i="22"/>
  <c r="AK51" i="22"/>
  <c r="AJ51" i="22"/>
  <c r="AI51" i="22"/>
  <c r="AH51" i="22"/>
  <c r="AC51" i="22"/>
  <c r="AB51" i="22"/>
  <c r="AM51" i="22" s="1"/>
  <c r="Y51" i="22"/>
  <c r="W51" i="22"/>
  <c r="AA51" i="22" s="1"/>
  <c r="V51" i="22"/>
  <c r="O51" i="22" s="1"/>
  <c r="U51" i="22"/>
  <c r="S51" i="22"/>
  <c r="N51" i="22"/>
  <c r="H51" i="22"/>
  <c r="X51" i="22" s="1"/>
  <c r="AK50" i="22"/>
  <c r="AJ50" i="22"/>
  <c r="AI50" i="22"/>
  <c r="AH50" i="22"/>
  <c r="AC50" i="22"/>
  <c r="AB50" i="22"/>
  <c r="W50" i="22"/>
  <c r="V50" i="22"/>
  <c r="O50" i="22" s="1"/>
  <c r="U50" i="22"/>
  <c r="N50" i="22"/>
  <c r="H50" i="22"/>
  <c r="AK49" i="22"/>
  <c r="AJ49" i="22"/>
  <c r="AI49" i="22"/>
  <c r="AH49" i="22"/>
  <c r="AC49" i="22"/>
  <c r="AB49" i="22"/>
  <c r="Y49" i="22"/>
  <c r="W49" i="22"/>
  <c r="AA49" i="22" s="1"/>
  <c r="V49" i="22"/>
  <c r="O49" i="22" s="1"/>
  <c r="U49" i="22"/>
  <c r="S49" i="22"/>
  <c r="N49" i="22"/>
  <c r="H49" i="22"/>
  <c r="X49" i="22" s="1"/>
  <c r="AK48" i="22"/>
  <c r="AJ48" i="22"/>
  <c r="AI48" i="22"/>
  <c r="AH48" i="22"/>
  <c r="AC48" i="22"/>
  <c r="AB48" i="22"/>
  <c r="W48" i="22"/>
  <c r="V48" i="22"/>
  <c r="O48" i="22" s="1"/>
  <c r="U48" i="22"/>
  <c r="N48" i="22"/>
  <c r="H48" i="22"/>
  <c r="AK47" i="22"/>
  <c r="AJ47" i="22"/>
  <c r="AI47" i="22"/>
  <c r="AH47" i="22"/>
  <c r="AC47" i="22"/>
  <c r="AM47" i="22" s="1"/>
  <c r="AB47" i="22"/>
  <c r="AA47" i="22"/>
  <c r="Z47" i="22"/>
  <c r="X47" i="22"/>
  <c r="W47" i="22"/>
  <c r="V47" i="22"/>
  <c r="O47" i="22" s="1"/>
  <c r="U47" i="22"/>
  <c r="T47" i="22"/>
  <c r="N47" i="22"/>
  <c r="H47" i="22"/>
  <c r="Y47" i="22" s="1"/>
  <c r="AK46" i="22"/>
  <c r="AJ46" i="22"/>
  <c r="AI46" i="22"/>
  <c r="AH46" i="22"/>
  <c r="AC46" i="22"/>
  <c r="AB46" i="22"/>
  <c r="AA46" i="22"/>
  <c r="Y46" i="22"/>
  <c r="X46" i="22"/>
  <c r="W46" i="22"/>
  <c r="Z46" i="22" s="1"/>
  <c r="V46" i="22"/>
  <c r="U46" i="22"/>
  <c r="S46" i="22"/>
  <c r="O46" i="22"/>
  <c r="N46" i="22"/>
  <c r="H46" i="22"/>
  <c r="AK45" i="22"/>
  <c r="AJ45" i="22"/>
  <c r="AI45" i="22"/>
  <c r="AH45" i="22"/>
  <c r="AC45" i="22"/>
  <c r="AB45" i="22"/>
  <c r="W45" i="22"/>
  <c r="V45" i="22"/>
  <c r="O45" i="22" s="1"/>
  <c r="U45" i="22"/>
  <c r="N45" i="22"/>
  <c r="H45" i="22"/>
  <c r="AK44" i="22"/>
  <c r="AJ44" i="22"/>
  <c r="AI44" i="22"/>
  <c r="AH44" i="22"/>
  <c r="AC44" i="22"/>
  <c r="AM44" i="22" s="1"/>
  <c r="AB44" i="22"/>
  <c r="W44" i="22"/>
  <c r="V44" i="22"/>
  <c r="U44" i="22"/>
  <c r="O44" i="22"/>
  <c r="N44" i="22"/>
  <c r="H44" i="22"/>
  <c r="AK43" i="22"/>
  <c r="AJ43" i="22"/>
  <c r="AI43" i="22"/>
  <c r="AH43" i="22"/>
  <c r="AC43" i="22"/>
  <c r="AB43" i="22"/>
  <c r="W43" i="22"/>
  <c r="V43" i="22"/>
  <c r="O43" i="22" s="1"/>
  <c r="U43" i="22"/>
  <c r="N43" i="22"/>
  <c r="H43" i="22"/>
  <c r="S43" i="22" s="1"/>
  <c r="AK42" i="22"/>
  <c r="AJ42" i="22"/>
  <c r="AI42" i="22"/>
  <c r="AH42" i="22"/>
  <c r="AC42" i="22"/>
  <c r="AB42" i="22"/>
  <c r="W42" i="22"/>
  <c r="V42" i="22"/>
  <c r="O42" i="22" s="1"/>
  <c r="U42" i="22"/>
  <c r="N42" i="22"/>
  <c r="H42" i="22"/>
  <c r="AK41" i="22"/>
  <c r="AJ41" i="22"/>
  <c r="AI41" i="22"/>
  <c r="AH41" i="22"/>
  <c r="AC41" i="22"/>
  <c r="AB41" i="22"/>
  <c r="Y41" i="22"/>
  <c r="W41" i="22"/>
  <c r="V41" i="22"/>
  <c r="O41" i="22" s="1"/>
  <c r="U41" i="22"/>
  <c r="N41" i="22"/>
  <c r="H41" i="22"/>
  <c r="AK40" i="22"/>
  <c r="AJ40" i="22"/>
  <c r="AI40" i="22"/>
  <c r="AH40" i="22"/>
  <c r="AC40" i="22"/>
  <c r="AB40" i="22"/>
  <c r="W40" i="22"/>
  <c r="V40" i="22"/>
  <c r="O40" i="22" s="1"/>
  <c r="U40" i="22"/>
  <c r="N40" i="22"/>
  <c r="H40" i="22"/>
  <c r="AM39" i="22"/>
  <c r="AG39" i="22"/>
  <c r="AF39" i="22"/>
  <c r="AC39" i="22"/>
  <c r="AB39" i="22"/>
  <c r="Y39" i="22"/>
  <c r="X39" i="22"/>
  <c r="W39" i="22"/>
  <c r="V39" i="22"/>
  <c r="U39" i="22"/>
  <c r="S39" i="22"/>
  <c r="N39" i="22"/>
  <c r="L39" i="22"/>
  <c r="AG38" i="22"/>
  <c r="AF38" i="22"/>
  <c r="AC38" i="22"/>
  <c r="AB38" i="22"/>
  <c r="Y38" i="22"/>
  <c r="X38" i="22"/>
  <c r="W38" i="22"/>
  <c r="V38" i="22"/>
  <c r="U38" i="22"/>
  <c r="S38" i="22"/>
  <c r="N38" i="22"/>
  <c r="L38" i="22"/>
  <c r="AG37" i="22"/>
  <c r="AF37" i="22"/>
  <c r="AC37" i="22"/>
  <c r="AL37" i="22" s="1"/>
  <c r="AB37" i="22"/>
  <c r="Y37" i="22"/>
  <c r="X37" i="22"/>
  <c r="W37" i="22"/>
  <c r="V37" i="22"/>
  <c r="U37" i="22"/>
  <c r="S37" i="22"/>
  <c r="N37" i="22"/>
  <c r="L37" i="22"/>
  <c r="AG36" i="22"/>
  <c r="AF36" i="22"/>
  <c r="AE36" i="22"/>
  <c r="AC36" i="22"/>
  <c r="AB36" i="22"/>
  <c r="AM36" i="22" s="1"/>
  <c r="Z36" i="22"/>
  <c r="Y36" i="22"/>
  <c r="X36" i="22"/>
  <c r="W36" i="22"/>
  <c r="V36" i="22"/>
  <c r="U36" i="22"/>
  <c r="S36" i="22"/>
  <c r="N36" i="22"/>
  <c r="L36" i="22"/>
  <c r="AG35" i="22"/>
  <c r="AF35" i="22"/>
  <c r="AC35" i="22"/>
  <c r="AB35" i="22"/>
  <c r="Y35" i="22"/>
  <c r="X35" i="22"/>
  <c r="W35" i="22"/>
  <c r="V35" i="22"/>
  <c r="U35" i="22"/>
  <c r="S35" i="22"/>
  <c r="N35" i="22"/>
  <c r="L35" i="22"/>
  <c r="AG34" i="22"/>
  <c r="AF34" i="22"/>
  <c r="AC34" i="22"/>
  <c r="AB34" i="22"/>
  <c r="AE34" i="22" s="1"/>
  <c r="Y34" i="22"/>
  <c r="X34" i="22"/>
  <c r="W34" i="22"/>
  <c r="V34" i="22"/>
  <c r="U34" i="22"/>
  <c r="S34" i="22"/>
  <c r="N34" i="22"/>
  <c r="L34" i="22"/>
  <c r="AG33" i="22"/>
  <c r="AF33" i="22"/>
  <c r="AC33" i="22"/>
  <c r="AL33" i="22" s="1"/>
  <c r="AB33" i="22"/>
  <c r="Y33" i="22"/>
  <c r="X33" i="22"/>
  <c r="W33" i="22"/>
  <c r="V33" i="22"/>
  <c r="U33" i="22"/>
  <c r="S33" i="22"/>
  <c r="N33" i="22"/>
  <c r="L33" i="22"/>
  <c r="BM32" i="22"/>
  <c r="AG32" i="22"/>
  <c r="AF32" i="22"/>
  <c r="AC32" i="22"/>
  <c r="AL32" i="22" s="1"/>
  <c r="AB32" i="22"/>
  <c r="Y32" i="22"/>
  <c r="X32" i="22"/>
  <c r="W32" i="22"/>
  <c r="V32" i="22"/>
  <c r="U32" i="22"/>
  <c r="S32" i="22"/>
  <c r="N32" i="22"/>
  <c r="L32" i="22"/>
  <c r="BM31" i="22"/>
  <c r="AL31" i="22"/>
  <c r="AG31" i="22"/>
  <c r="AF31" i="22"/>
  <c r="AC31" i="22"/>
  <c r="AB31" i="22"/>
  <c r="Y31" i="22"/>
  <c r="X31" i="22"/>
  <c r="W31" i="22"/>
  <c r="V31" i="22"/>
  <c r="U31" i="22"/>
  <c r="S31" i="22"/>
  <c r="N31" i="22"/>
  <c r="L31" i="22"/>
  <c r="HA30" i="22"/>
  <c r="BM30" i="22"/>
  <c r="AG30" i="22"/>
  <c r="AF30" i="22"/>
  <c r="AC30" i="22"/>
  <c r="AB30" i="22"/>
  <c r="AL30" i="22" s="1"/>
  <c r="Y30" i="22"/>
  <c r="X30" i="22"/>
  <c r="W30" i="22"/>
  <c r="V30" i="22"/>
  <c r="U30" i="22"/>
  <c r="S30" i="22"/>
  <c r="N30" i="22"/>
  <c r="L30" i="22"/>
  <c r="BM29" i="22"/>
  <c r="AG29" i="22"/>
  <c r="AF29" i="22"/>
  <c r="AE29" i="22"/>
  <c r="AC29" i="22"/>
  <c r="AB29" i="22"/>
  <c r="AL29" i="22" s="1"/>
  <c r="Y29" i="22"/>
  <c r="X29" i="22"/>
  <c r="W29" i="22"/>
  <c r="V29" i="22"/>
  <c r="U29" i="22"/>
  <c r="S29" i="22"/>
  <c r="N29" i="22"/>
  <c r="L29" i="22"/>
  <c r="BM28" i="22"/>
  <c r="AG28" i="22"/>
  <c r="AF28" i="22"/>
  <c r="AC28" i="22"/>
  <c r="AD28" i="22" s="1"/>
  <c r="AB28" i="22"/>
  <c r="Y28" i="22"/>
  <c r="X28" i="22"/>
  <c r="W28" i="22"/>
  <c r="V28" i="22"/>
  <c r="U28" i="22"/>
  <c r="S28" i="22"/>
  <c r="N28" i="22"/>
  <c r="L28" i="22"/>
  <c r="BM27" i="22"/>
  <c r="AG27" i="22"/>
  <c r="AF27" i="22"/>
  <c r="AE27" i="22"/>
  <c r="AC27" i="22"/>
  <c r="AB27" i="22"/>
  <c r="AM27" i="22" s="1"/>
  <c r="Y27" i="22"/>
  <c r="X27" i="22"/>
  <c r="W27" i="22"/>
  <c r="V27" i="22"/>
  <c r="U27" i="22"/>
  <c r="S27" i="22"/>
  <c r="N27" i="22"/>
  <c r="L27" i="22"/>
  <c r="BM26" i="22"/>
  <c r="AG26" i="22"/>
  <c r="AF26" i="22"/>
  <c r="AE26" i="22"/>
  <c r="AC26" i="22"/>
  <c r="Z26" i="22" s="1"/>
  <c r="AB26" i="22"/>
  <c r="AM26" i="22" s="1"/>
  <c r="Y26" i="22"/>
  <c r="X26" i="22"/>
  <c r="W26" i="22"/>
  <c r="V26" i="22"/>
  <c r="U26" i="22"/>
  <c r="S26" i="22"/>
  <c r="N26" i="22"/>
  <c r="L26" i="22"/>
  <c r="BM25" i="22"/>
  <c r="AG25" i="22"/>
  <c r="AF25" i="22"/>
  <c r="AE25" i="22"/>
  <c r="AC25" i="22"/>
  <c r="AB25" i="22"/>
  <c r="AM25" i="22" s="1"/>
  <c r="Y25" i="22"/>
  <c r="X25" i="22"/>
  <c r="W25" i="22"/>
  <c r="V25" i="22"/>
  <c r="U25" i="22"/>
  <c r="S25" i="22"/>
  <c r="N25" i="22"/>
  <c r="L25" i="22"/>
  <c r="BM24" i="22"/>
  <c r="AG24" i="22"/>
  <c r="AF24" i="22"/>
  <c r="AC24" i="22"/>
  <c r="AB24" i="22"/>
  <c r="Y24" i="22"/>
  <c r="X24" i="22"/>
  <c r="W24" i="22"/>
  <c r="V24" i="22"/>
  <c r="U24" i="22"/>
  <c r="S24" i="22"/>
  <c r="N24" i="22"/>
  <c r="L24" i="22"/>
  <c r="BM23" i="22"/>
  <c r="AG23" i="22"/>
  <c r="AF23" i="22"/>
  <c r="AE23" i="22"/>
  <c r="AD23" i="22"/>
  <c r="AC23" i="22"/>
  <c r="AB23" i="22"/>
  <c r="AM23" i="22" s="1"/>
  <c r="Z23" i="22"/>
  <c r="Y23" i="22"/>
  <c r="X23" i="22"/>
  <c r="W23" i="22"/>
  <c r="V23" i="22"/>
  <c r="U23" i="22"/>
  <c r="S23" i="22"/>
  <c r="N23" i="22"/>
  <c r="L23" i="22"/>
  <c r="BM22" i="22"/>
  <c r="AG22" i="22"/>
  <c r="AF22" i="22"/>
  <c r="AC22" i="22"/>
  <c r="AB22" i="22"/>
  <c r="Y22" i="22"/>
  <c r="X22" i="22"/>
  <c r="W22" i="22"/>
  <c r="V22" i="22"/>
  <c r="U22" i="22"/>
  <c r="S22" i="22"/>
  <c r="N22" i="22"/>
  <c r="L22" i="22"/>
  <c r="BM21" i="22"/>
  <c r="AG21" i="22"/>
  <c r="AF21" i="22"/>
  <c r="AC21" i="22"/>
  <c r="AB21" i="22"/>
  <c r="Y21" i="22"/>
  <c r="X21" i="22"/>
  <c r="W21" i="22"/>
  <c r="V21" i="22"/>
  <c r="U21" i="22"/>
  <c r="S21" i="22"/>
  <c r="N21" i="22"/>
  <c r="L21" i="22"/>
  <c r="BM20" i="22"/>
  <c r="AG20" i="22"/>
  <c r="AF20" i="22"/>
  <c r="AC20" i="22"/>
  <c r="AB20" i="22"/>
  <c r="AL20" i="22" s="1"/>
  <c r="Y20" i="22"/>
  <c r="X20" i="22"/>
  <c r="W20" i="22"/>
  <c r="V20" i="22"/>
  <c r="U20" i="22"/>
  <c r="S20" i="22"/>
  <c r="N20" i="22"/>
  <c r="L20" i="22"/>
  <c r="HB19" i="22"/>
  <c r="BM19" i="22"/>
  <c r="AG19" i="22"/>
  <c r="AF19" i="22"/>
  <c r="AC19" i="22"/>
  <c r="AB19" i="22"/>
  <c r="Y19" i="22"/>
  <c r="X19" i="22"/>
  <c r="W19" i="22"/>
  <c r="V19" i="22"/>
  <c r="U19" i="22"/>
  <c r="S19" i="22"/>
  <c r="N19" i="22"/>
  <c r="L19" i="22"/>
  <c r="HB18" i="22"/>
  <c r="BM18" i="22"/>
  <c r="AG18" i="22"/>
  <c r="AF18" i="22"/>
  <c r="AC18" i="22"/>
  <c r="AB18" i="22"/>
  <c r="Y18" i="22"/>
  <c r="X18" i="22"/>
  <c r="W18" i="22"/>
  <c r="V18" i="22"/>
  <c r="U18" i="22"/>
  <c r="S18" i="22"/>
  <c r="N18" i="22"/>
  <c r="L18" i="22"/>
  <c r="G18" i="22"/>
  <c r="AN18" i="22" s="1"/>
  <c r="HB17" i="22"/>
  <c r="BM17" i="22"/>
  <c r="AG17" i="22"/>
  <c r="AF17" i="22"/>
  <c r="AC17" i="22"/>
  <c r="AB17" i="22"/>
  <c r="AL17" i="22" s="1"/>
  <c r="Y17" i="22"/>
  <c r="X17" i="22"/>
  <c r="W17" i="22"/>
  <c r="V17" i="22"/>
  <c r="U17" i="22"/>
  <c r="S17" i="22"/>
  <c r="N17" i="22"/>
  <c r="L17" i="22"/>
  <c r="HB16" i="22"/>
  <c r="BM16" i="22"/>
  <c r="AM16" i="22"/>
  <c r="AG16" i="22"/>
  <c r="AF16" i="22"/>
  <c r="AC16" i="22"/>
  <c r="AB16" i="22"/>
  <c r="AL16" i="22" s="1"/>
  <c r="Y16" i="22"/>
  <c r="X16" i="22"/>
  <c r="W16" i="22"/>
  <c r="V16" i="22"/>
  <c r="U16" i="22"/>
  <c r="S16" i="22"/>
  <c r="N16" i="22"/>
  <c r="L16" i="22"/>
  <c r="HB15" i="22"/>
  <c r="BM15" i="22"/>
  <c r="AG15" i="22"/>
  <c r="AF15" i="22"/>
  <c r="AC15" i="22"/>
  <c r="AM15" i="22" s="1"/>
  <c r="AB15" i="22"/>
  <c r="Y15" i="22"/>
  <c r="X15" i="22"/>
  <c r="W15" i="22"/>
  <c r="V15" i="22"/>
  <c r="U15" i="22"/>
  <c r="S15" i="22"/>
  <c r="N15" i="22"/>
  <c r="L15" i="22"/>
  <c r="HB14" i="22"/>
  <c r="BM14" i="22"/>
  <c r="AG14" i="22"/>
  <c r="AF14" i="22"/>
  <c r="AC14" i="22"/>
  <c r="AB14" i="22"/>
  <c r="Y14" i="22"/>
  <c r="X14" i="22"/>
  <c r="W14" i="22"/>
  <c r="V14" i="22"/>
  <c r="U14" i="22"/>
  <c r="S14" i="22"/>
  <c r="N14" i="22"/>
  <c r="L14" i="22"/>
  <c r="HB13" i="22"/>
  <c r="BM13" i="22"/>
  <c r="AG13" i="22"/>
  <c r="AF13" i="22"/>
  <c r="AC13" i="22"/>
  <c r="AL13" i="22" s="1"/>
  <c r="AB13" i="22"/>
  <c r="Y13" i="22"/>
  <c r="X13" i="22"/>
  <c r="W13" i="22"/>
  <c r="V13" i="22"/>
  <c r="U13" i="22"/>
  <c r="S13" i="22"/>
  <c r="N13" i="22"/>
  <c r="L13" i="22"/>
  <c r="HB12" i="22"/>
  <c r="BM12" i="22"/>
  <c r="AG12" i="22"/>
  <c r="AF12" i="22"/>
  <c r="AC12" i="22"/>
  <c r="AB12" i="22"/>
  <c r="Y12" i="22"/>
  <c r="X12" i="22"/>
  <c r="W12" i="22"/>
  <c r="V12" i="22"/>
  <c r="U12" i="22"/>
  <c r="S12" i="22"/>
  <c r="N12" i="22"/>
  <c r="L12" i="22"/>
  <c r="HB11" i="22"/>
  <c r="BM11" i="22"/>
  <c r="AG11" i="22"/>
  <c r="AF11" i="22"/>
  <c r="AC11" i="22"/>
  <c r="AD11" i="22" s="1"/>
  <c r="AB11" i="22"/>
  <c r="Z11" i="22" s="1"/>
  <c r="AA11" i="22" s="1"/>
  <c r="Y11" i="22"/>
  <c r="X11" i="22"/>
  <c r="W11" i="22"/>
  <c r="V11" i="22"/>
  <c r="U11" i="22"/>
  <c r="S11" i="22"/>
  <c r="N11" i="22"/>
  <c r="L11" i="22"/>
  <c r="HB10" i="22"/>
  <c r="BM10" i="22"/>
  <c r="AG10" i="22"/>
  <c r="AF10" i="22"/>
  <c r="AE10" i="22"/>
  <c r="AC10" i="22"/>
  <c r="AB10" i="22"/>
  <c r="AL10" i="22" s="1"/>
  <c r="Y10" i="22"/>
  <c r="X10" i="22"/>
  <c r="W10" i="22"/>
  <c r="V10" i="22"/>
  <c r="U10" i="22"/>
  <c r="S10" i="22"/>
  <c r="N10" i="22"/>
  <c r="L10" i="22"/>
  <c r="HB9" i="22"/>
  <c r="BM9" i="22"/>
  <c r="AG9" i="22"/>
  <c r="AF9" i="22"/>
  <c r="AC9" i="22"/>
  <c r="AB9" i="22"/>
  <c r="Z9" i="22"/>
  <c r="AA9" i="22" s="1"/>
  <c r="Y9" i="22"/>
  <c r="X9" i="22"/>
  <c r="W9" i="22"/>
  <c r="V9" i="22"/>
  <c r="U9" i="22"/>
  <c r="S9" i="22"/>
  <c r="N9" i="22"/>
  <c r="L9" i="22"/>
  <c r="HB8" i="22"/>
  <c r="BM8" i="22"/>
  <c r="AM8" i="22"/>
  <c r="AG8" i="22"/>
  <c r="AF8" i="22"/>
  <c r="AC8" i="22"/>
  <c r="AB8" i="22"/>
  <c r="Z8" i="22"/>
  <c r="Y8" i="22"/>
  <c r="X8" i="22"/>
  <c r="W8" i="22"/>
  <c r="V8" i="22"/>
  <c r="U8" i="22"/>
  <c r="S8" i="22"/>
  <c r="N8" i="22"/>
  <c r="L8" i="22"/>
  <c r="HB7" i="22"/>
  <c r="BM7" i="22"/>
  <c r="AG7" i="22"/>
  <c r="AF7" i="22"/>
  <c r="AC7" i="22"/>
  <c r="AB7" i="22"/>
  <c r="Y7" i="22"/>
  <c r="X7" i="22"/>
  <c r="W7" i="22"/>
  <c r="V7" i="22"/>
  <c r="U7" i="22"/>
  <c r="S7" i="22"/>
  <c r="N7" i="22"/>
  <c r="L7" i="22"/>
  <c r="G7" i="22"/>
  <c r="AN7" i="22" s="1"/>
  <c r="A7" i="22"/>
  <c r="G24" i="22" s="1"/>
  <c r="AN24" i="22" s="1"/>
  <c r="HB6" i="22"/>
  <c r="BM6" i="22"/>
  <c r="AG6" i="22"/>
  <c r="AF6" i="22"/>
  <c r="AC6" i="22"/>
  <c r="AB6" i="22"/>
  <c r="Y6" i="22"/>
  <c r="X6" i="22"/>
  <c r="W6" i="22"/>
  <c r="V6" i="22"/>
  <c r="U6" i="22"/>
  <c r="S6" i="22"/>
  <c r="N6" i="22"/>
  <c r="L6" i="22"/>
  <c r="G6" i="22"/>
  <c r="AN6" i="22" s="1"/>
  <c r="HB5" i="22"/>
  <c r="BM5" i="22"/>
  <c r="AC5" i="22"/>
  <c r="AB5" i="22"/>
  <c r="U5" i="22" s="1"/>
  <c r="Y5" i="22"/>
  <c r="X5" i="22"/>
  <c r="V5" i="22"/>
  <c r="S5" i="22"/>
  <c r="N5" i="22"/>
  <c r="G5" i="22"/>
  <c r="AN5" i="22" s="1"/>
  <c r="BM4" i="22"/>
  <c r="AC4" i="22"/>
  <c r="AB4" i="22"/>
  <c r="Z4" i="22" s="1"/>
  <c r="Y4" i="22"/>
  <c r="X4" i="22"/>
  <c r="BI6" i="22" s="1"/>
  <c r="V4" i="22"/>
  <c r="U4" i="22"/>
  <c r="S4" i="22"/>
  <c r="N4" i="22"/>
  <c r="D57" i="21"/>
  <c r="AK54" i="21"/>
  <c r="AJ54" i="21"/>
  <c r="AI54" i="21"/>
  <c r="AH54" i="21"/>
  <c r="AC54" i="21"/>
  <c r="AB54" i="21"/>
  <c r="AM54" i="21" s="1"/>
  <c r="AA54" i="21"/>
  <c r="W54" i="21"/>
  <c r="Z54" i="21" s="1"/>
  <c r="V54" i="21"/>
  <c r="O54" i="21" s="1"/>
  <c r="U54" i="21"/>
  <c r="N54" i="21"/>
  <c r="H54" i="21"/>
  <c r="AK53" i="21"/>
  <c r="AJ53" i="21"/>
  <c r="AI53" i="21"/>
  <c r="AH53" i="21"/>
  <c r="AC53" i="21"/>
  <c r="AB53" i="21"/>
  <c r="Z53" i="21"/>
  <c r="Y53" i="21"/>
  <c r="W53" i="21"/>
  <c r="AA53" i="21" s="1"/>
  <c r="V53" i="21"/>
  <c r="O53" i="21" s="1"/>
  <c r="U53" i="21"/>
  <c r="T53" i="21"/>
  <c r="S53" i="21"/>
  <c r="N53" i="21"/>
  <c r="H53" i="21"/>
  <c r="X53" i="21" s="1"/>
  <c r="AK52" i="21"/>
  <c r="AJ52" i="21"/>
  <c r="AI52" i="21"/>
  <c r="AH52" i="21"/>
  <c r="AC52" i="21"/>
  <c r="AB52" i="21"/>
  <c r="W52" i="21"/>
  <c r="AA52" i="21" s="1"/>
  <c r="V52" i="21"/>
  <c r="O52" i="21" s="1"/>
  <c r="U52" i="21"/>
  <c r="N52" i="21"/>
  <c r="H52" i="21"/>
  <c r="AK51" i="21"/>
  <c r="AJ51" i="21"/>
  <c r="AI51" i="21"/>
  <c r="AH51" i="21"/>
  <c r="AC51" i="21"/>
  <c r="AB51" i="21"/>
  <c r="Z51" i="21"/>
  <c r="Y51" i="21"/>
  <c r="X51" i="21"/>
  <c r="W51" i="21"/>
  <c r="AA51" i="21" s="1"/>
  <c r="V51" i="21"/>
  <c r="O51" i="21" s="1"/>
  <c r="U51" i="21"/>
  <c r="T51" i="21"/>
  <c r="S51" i="21"/>
  <c r="N51" i="21"/>
  <c r="H51" i="21"/>
  <c r="AK50" i="21"/>
  <c r="AJ50" i="21"/>
  <c r="AI50" i="21"/>
  <c r="AH50" i="21"/>
  <c r="AC50" i="21"/>
  <c r="AB50" i="21"/>
  <c r="W50" i="21"/>
  <c r="AA50" i="21" s="1"/>
  <c r="V50" i="21"/>
  <c r="O50" i="21" s="1"/>
  <c r="U50" i="21"/>
  <c r="N50" i="21"/>
  <c r="H50" i="21"/>
  <c r="AK49" i="21"/>
  <c r="AJ49" i="21"/>
  <c r="AI49" i="21"/>
  <c r="AH49" i="21"/>
  <c r="AC49" i="21"/>
  <c r="AB49" i="21"/>
  <c r="Y49" i="21"/>
  <c r="X49" i="21"/>
  <c r="W49" i="21"/>
  <c r="AA49" i="21" s="1"/>
  <c r="V49" i="21"/>
  <c r="O49" i="21" s="1"/>
  <c r="U49" i="21"/>
  <c r="S49" i="21"/>
  <c r="N49" i="21"/>
  <c r="H49" i="21"/>
  <c r="AK48" i="21"/>
  <c r="AJ48" i="21"/>
  <c r="AI48" i="21"/>
  <c r="AH48" i="21"/>
  <c r="AC48" i="21"/>
  <c r="AM48" i="21" s="1"/>
  <c r="AB48" i="21"/>
  <c r="W48" i="21"/>
  <c r="V48" i="21"/>
  <c r="O48" i="21" s="1"/>
  <c r="U48" i="21"/>
  <c r="N48" i="21"/>
  <c r="H48" i="21"/>
  <c r="AK47" i="21"/>
  <c r="AJ47" i="21"/>
  <c r="AI47" i="21"/>
  <c r="AH47" i="21"/>
  <c r="AC47" i="21"/>
  <c r="AB47" i="21"/>
  <c r="AM47" i="21" s="1"/>
  <c r="AA47" i="21"/>
  <c r="W47" i="21"/>
  <c r="Z47" i="21" s="1"/>
  <c r="V47" i="21"/>
  <c r="O47" i="21" s="1"/>
  <c r="U47" i="21"/>
  <c r="T47" i="21"/>
  <c r="N47" i="21"/>
  <c r="H47" i="21"/>
  <c r="Y47" i="21" s="1"/>
  <c r="AK46" i="21"/>
  <c r="AJ46" i="21"/>
  <c r="AI46" i="21"/>
  <c r="AH46" i="21"/>
  <c r="AC46" i="21"/>
  <c r="AB46" i="21"/>
  <c r="AL46" i="21" s="1"/>
  <c r="AA46" i="21"/>
  <c r="W46" i="21"/>
  <c r="V46" i="21"/>
  <c r="O46" i="21" s="1"/>
  <c r="U46" i="21"/>
  <c r="N46" i="21"/>
  <c r="H46" i="21"/>
  <c r="AK45" i="21"/>
  <c r="AJ45" i="21"/>
  <c r="AI45" i="21"/>
  <c r="AH45" i="21"/>
  <c r="AC45" i="21"/>
  <c r="AB45" i="21"/>
  <c r="AL45" i="21" s="1"/>
  <c r="W45" i="21"/>
  <c r="V45" i="21"/>
  <c r="O45" i="21" s="1"/>
  <c r="U45" i="21"/>
  <c r="N45" i="21"/>
  <c r="H45" i="21"/>
  <c r="X45" i="21" s="1"/>
  <c r="AK44" i="21"/>
  <c r="AJ44" i="21"/>
  <c r="AI44" i="21"/>
  <c r="AH44" i="21"/>
  <c r="AC44" i="21"/>
  <c r="AB44" i="21"/>
  <c r="X44" i="21"/>
  <c r="W44" i="21"/>
  <c r="V44" i="21"/>
  <c r="U44" i="21"/>
  <c r="O44" i="21"/>
  <c r="N44" i="21"/>
  <c r="H44" i="21"/>
  <c r="Y44" i="21" s="1"/>
  <c r="AK43" i="21"/>
  <c r="AJ43" i="21"/>
  <c r="AI43" i="21"/>
  <c r="AH43" i="21"/>
  <c r="AC43" i="21"/>
  <c r="AB43" i="21"/>
  <c r="W43" i="21"/>
  <c r="V43" i="21"/>
  <c r="O43" i="21" s="1"/>
  <c r="U43" i="21"/>
  <c r="N43" i="21"/>
  <c r="H43" i="21"/>
  <c r="X43" i="21" s="1"/>
  <c r="AK42" i="21"/>
  <c r="AJ42" i="21"/>
  <c r="AI42" i="21"/>
  <c r="AH42" i="21"/>
  <c r="AC42" i="21"/>
  <c r="AM42" i="21" s="1"/>
  <c r="AB42" i="21"/>
  <c r="W42" i="21"/>
  <c r="V42" i="21"/>
  <c r="O42" i="21" s="1"/>
  <c r="U42" i="21"/>
  <c r="N42" i="21"/>
  <c r="H42" i="21"/>
  <c r="X42" i="21" s="1"/>
  <c r="AK41" i="21"/>
  <c r="AJ41" i="21"/>
  <c r="AI41" i="21"/>
  <c r="AH41" i="21"/>
  <c r="AC41" i="21"/>
  <c r="AB41" i="21"/>
  <c r="AA41" i="21"/>
  <c r="W41" i="21"/>
  <c r="Z41" i="21" s="1"/>
  <c r="V41" i="21"/>
  <c r="O41" i="21" s="1"/>
  <c r="U41" i="21"/>
  <c r="T41" i="21"/>
  <c r="N41" i="21"/>
  <c r="H41" i="21"/>
  <c r="AK40" i="21"/>
  <c r="AJ40" i="21"/>
  <c r="AI40" i="21"/>
  <c r="AH40" i="21"/>
  <c r="AC40" i="21"/>
  <c r="AB40" i="21"/>
  <c r="AM40" i="21" s="1"/>
  <c r="W40" i="21"/>
  <c r="V40" i="21"/>
  <c r="O40" i="21" s="1"/>
  <c r="U40" i="21"/>
  <c r="N40" i="21"/>
  <c r="H40" i="21"/>
  <c r="AG39" i="21"/>
  <c r="AF39" i="21"/>
  <c r="AE39" i="21"/>
  <c r="AC39" i="21"/>
  <c r="Z39" i="21" s="1"/>
  <c r="AB39" i="21"/>
  <c r="Y39" i="21"/>
  <c r="X39" i="21"/>
  <c r="W39" i="21"/>
  <c r="V39" i="21"/>
  <c r="U39" i="21"/>
  <c r="S39" i="21"/>
  <c r="N39" i="21"/>
  <c r="L39" i="21"/>
  <c r="AL38" i="21"/>
  <c r="AG38" i="21"/>
  <c r="AF38" i="21"/>
  <c r="AC38" i="21"/>
  <c r="AB38" i="21"/>
  <c r="Z38" i="21"/>
  <c r="AA38" i="21" s="1"/>
  <c r="Y38" i="21"/>
  <c r="X38" i="21"/>
  <c r="W38" i="21"/>
  <c r="V38" i="21"/>
  <c r="U38" i="21"/>
  <c r="S38" i="21"/>
  <c r="N38" i="21"/>
  <c r="L38" i="21"/>
  <c r="AG37" i="21"/>
  <c r="AF37" i="21"/>
  <c r="AC37" i="21"/>
  <c r="AD37" i="21" s="1"/>
  <c r="AB37" i="21"/>
  <c r="Y37" i="21"/>
  <c r="X37" i="21"/>
  <c r="W37" i="21"/>
  <c r="V37" i="21"/>
  <c r="U37" i="21"/>
  <c r="S37" i="21"/>
  <c r="N37" i="21"/>
  <c r="L37" i="21"/>
  <c r="AG36" i="21"/>
  <c r="AF36" i="21"/>
  <c r="AE36" i="21"/>
  <c r="AD36" i="21"/>
  <c r="AC36" i="21"/>
  <c r="AB36" i="21"/>
  <c r="Z36" i="21"/>
  <c r="Y36" i="21"/>
  <c r="X36" i="21"/>
  <c r="W36" i="21"/>
  <c r="V36" i="21"/>
  <c r="U36" i="21"/>
  <c r="S36" i="21"/>
  <c r="N36" i="21"/>
  <c r="L36" i="21"/>
  <c r="AG35" i="21"/>
  <c r="AF35" i="21"/>
  <c r="AC35" i="21"/>
  <c r="AB35" i="21"/>
  <c r="Y35" i="21"/>
  <c r="X35" i="21"/>
  <c r="W35" i="21"/>
  <c r="V35" i="21"/>
  <c r="U35" i="21"/>
  <c r="S35" i="21"/>
  <c r="N35" i="21"/>
  <c r="L35" i="21"/>
  <c r="AG34" i="21"/>
  <c r="AF34" i="21"/>
  <c r="AC34" i="21"/>
  <c r="AB34" i="21"/>
  <c r="AL34" i="21" s="1"/>
  <c r="Y34" i="21"/>
  <c r="X34" i="21"/>
  <c r="W34" i="21"/>
  <c r="V34" i="21"/>
  <c r="U34" i="21"/>
  <c r="S34" i="21"/>
  <c r="N34" i="21"/>
  <c r="L34" i="21"/>
  <c r="AG33" i="21"/>
  <c r="AF33" i="21"/>
  <c r="AC33" i="21"/>
  <c r="AB33" i="21"/>
  <c r="Y33" i="21"/>
  <c r="X33" i="21"/>
  <c r="W33" i="21"/>
  <c r="V33" i="21"/>
  <c r="U33" i="21"/>
  <c r="S33" i="21"/>
  <c r="N33" i="21"/>
  <c r="L33" i="21"/>
  <c r="BM32" i="21"/>
  <c r="AG32" i="21"/>
  <c r="AF32" i="21"/>
  <c r="AC32" i="21"/>
  <c r="AL32" i="21" s="1"/>
  <c r="AB32" i="21"/>
  <c r="Y32" i="21"/>
  <c r="X32" i="21"/>
  <c r="W32" i="21"/>
  <c r="V32" i="21"/>
  <c r="U32" i="21"/>
  <c r="S32" i="21"/>
  <c r="N32" i="21"/>
  <c r="L32" i="21"/>
  <c r="BM31" i="21"/>
  <c r="AM31" i="21"/>
  <c r="AL31" i="21"/>
  <c r="AG31" i="21"/>
  <c r="AF31" i="21"/>
  <c r="AC31" i="21"/>
  <c r="AB31" i="21"/>
  <c r="Y31" i="21"/>
  <c r="X31" i="21"/>
  <c r="W31" i="21"/>
  <c r="V31" i="21"/>
  <c r="U31" i="21"/>
  <c r="S31" i="21"/>
  <c r="N31" i="21"/>
  <c r="L31" i="21"/>
  <c r="HA30" i="21"/>
  <c r="BM30" i="21"/>
  <c r="AG30" i="21"/>
  <c r="AF30" i="21"/>
  <c r="AC30" i="21"/>
  <c r="AB30" i="21"/>
  <c r="Y30" i="21"/>
  <c r="X30" i="21"/>
  <c r="W30" i="21"/>
  <c r="V30" i="21"/>
  <c r="U30" i="21"/>
  <c r="S30" i="21"/>
  <c r="N30" i="21"/>
  <c r="L30" i="21"/>
  <c r="BM29" i="21"/>
  <c r="AG29" i="21"/>
  <c r="AF29" i="21"/>
  <c r="AE29" i="21"/>
  <c r="AC29" i="21"/>
  <c r="AB29" i="21"/>
  <c r="Z29" i="21" s="1"/>
  <c r="Y29" i="21"/>
  <c r="X29" i="21"/>
  <c r="W29" i="21"/>
  <c r="V29" i="21"/>
  <c r="U29" i="21"/>
  <c r="S29" i="21"/>
  <c r="N29" i="21"/>
  <c r="L29" i="21"/>
  <c r="BM28" i="21"/>
  <c r="AG28" i="21"/>
  <c r="AF28" i="21"/>
  <c r="AC28" i="21"/>
  <c r="AB28" i="21"/>
  <c r="AM28" i="21" s="1"/>
  <c r="Y28" i="21"/>
  <c r="X28" i="21"/>
  <c r="W28" i="21"/>
  <c r="V28" i="21"/>
  <c r="U28" i="21"/>
  <c r="S28" i="21"/>
  <c r="N28" i="21"/>
  <c r="L28" i="21"/>
  <c r="BM27" i="21"/>
  <c r="AG27" i="21"/>
  <c r="AF27" i="21"/>
  <c r="AC27" i="21"/>
  <c r="AB27" i="21"/>
  <c r="AM27" i="21" s="1"/>
  <c r="Y27" i="21"/>
  <c r="X27" i="21"/>
  <c r="W27" i="21"/>
  <c r="V27" i="21"/>
  <c r="U27" i="21"/>
  <c r="S27" i="21"/>
  <c r="N27" i="21"/>
  <c r="L27" i="21"/>
  <c r="BM26" i="21"/>
  <c r="AL26" i="21"/>
  <c r="AG26" i="21"/>
  <c r="AF26" i="21"/>
  <c r="AC26" i="21"/>
  <c r="AB26" i="21"/>
  <c r="AM26" i="21" s="1"/>
  <c r="Y26" i="21"/>
  <c r="X26" i="21"/>
  <c r="W26" i="21"/>
  <c r="V26" i="21"/>
  <c r="U26" i="21"/>
  <c r="S26" i="21"/>
  <c r="N26" i="21"/>
  <c r="L26" i="21"/>
  <c r="BM25" i="21"/>
  <c r="AG25" i="21"/>
  <c r="AF25" i="21"/>
  <c r="AC25" i="21"/>
  <c r="AB25" i="21"/>
  <c r="Y25" i="21"/>
  <c r="X25" i="21"/>
  <c r="W25" i="21"/>
  <c r="V25" i="21"/>
  <c r="U25" i="21"/>
  <c r="S25" i="21"/>
  <c r="N25" i="21"/>
  <c r="L25" i="21"/>
  <c r="BM24" i="21"/>
  <c r="AM24" i="21"/>
  <c r="AG24" i="21"/>
  <c r="AF24" i="21"/>
  <c r="AC24" i="21"/>
  <c r="AB24" i="21"/>
  <c r="AL24" i="21" s="1"/>
  <c r="Y24" i="21"/>
  <c r="X24" i="21"/>
  <c r="W24" i="21"/>
  <c r="V24" i="21"/>
  <c r="U24" i="21"/>
  <c r="S24" i="21"/>
  <c r="N24" i="21"/>
  <c r="L24" i="21"/>
  <c r="BM23" i="21"/>
  <c r="AG23" i="21"/>
  <c r="AF23" i="21"/>
  <c r="AC23" i="21"/>
  <c r="AB23" i="21"/>
  <c r="AM23" i="21" s="1"/>
  <c r="Y23" i="21"/>
  <c r="X23" i="21"/>
  <c r="W23" i="21"/>
  <c r="V23" i="21"/>
  <c r="U23" i="21"/>
  <c r="S23" i="21"/>
  <c r="N23" i="21"/>
  <c r="L23" i="21"/>
  <c r="BM22" i="21"/>
  <c r="AG22" i="21"/>
  <c r="AF22" i="21"/>
  <c r="AC22" i="21"/>
  <c r="AB22" i="21"/>
  <c r="AL22" i="21" s="1"/>
  <c r="Y22" i="21"/>
  <c r="X22" i="21"/>
  <c r="W22" i="21"/>
  <c r="V22" i="21"/>
  <c r="U22" i="21"/>
  <c r="S22" i="21"/>
  <c r="N22" i="21"/>
  <c r="L22" i="21"/>
  <c r="BM21" i="21"/>
  <c r="AG21" i="21"/>
  <c r="AF21" i="21"/>
  <c r="AC21" i="21"/>
  <c r="AB21" i="21"/>
  <c r="Y21" i="21"/>
  <c r="X21" i="21"/>
  <c r="W21" i="21"/>
  <c r="V21" i="21"/>
  <c r="U21" i="21"/>
  <c r="S21" i="21"/>
  <c r="N21" i="21"/>
  <c r="L21" i="21"/>
  <c r="BM20" i="21"/>
  <c r="AG20" i="21"/>
  <c r="AF20" i="21"/>
  <c r="AE20" i="21"/>
  <c r="AD20" i="21"/>
  <c r="AC20" i="21"/>
  <c r="AB20" i="21"/>
  <c r="AL20" i="21" s="1"/>
  <c r="Z20" i="21"/>
  <c r="AA20" i="21" s="1"/>
  <c r="Y20" i="21"/>
  <c r="X20" i="21"/>
  <c r="W20" i="21"/>
  <c r="V20" i="21"/>
  <c r="U20" i="21"/>
  <c r="S20" i="21"/>
  <c r="N20" i="21"/>
  <c r="L20" i="21"/>
  <c r="HB19" i="21"/>
  <c r="BM19" i="21"/>
  <c r="AG19" i="21"/>
  <c r="AF19" i="21"/>
  <c r="AE19" i="21"/>
  <c r="AD19" i="21"/>
  <c r="AC19" i="21"/>
  <c r="AB19" i="21"/>
  <c r="AL19" i="21" s="1"/>
  <c r="Z19" i="21"/>
  <c r="Y19" i="21"/>
  <c r="X19" i="21"/>
  <c r="W19" i="21"/>
  <c r="V19" i="21"/>
  <c r="U19" i="21"/>
  <c r="S19" i="21"/>
  <c r="N19" i="21"/>
  <c r="L19" i="21"/>
  <c r="HB18" i="21"/>
  <c r="BM18" i="21"/>
  <c r="AG18" i="21"/>
  <c r="AF18" i="21"/>
  <c r="AE18" i="21"/>
  <c r="AD18" i="21"/>
  <c r="AC18" i="21"/>
  <c r="AB18" i="21"/>
  <c r="Y18" i="21"/>
  <c r="X18" i="21"/>
  <c r="W18" i="21"/>
  <c r="V18" i="21"/>
  <c r="U18" i="21"/>
  <c r="S18" i="21"/>
  <c r="N18" i="21"/>
  <c r="L18" i="21"/>
  <c r="HB17" i="21"/>
  <c r="BM17" i="21"/>
  <c r="AG17" i="21"/>
  <c r="AF17" i="21"/>
  <c r="AC17" i="21"/>
  <c r="AB17" i="21"/>
  <c r="Y17" i="21"/>
  <c r="X17" i="21"/>
  <c r="W17" i="21"/>
  <c r="V17" i="21"/>
  <c r="U17" i="21"/>
  <c r="S17" i="21"/>
  <c r="N17" i="21"/>
  <c r="L17" i="21"/>
  <c r="HB16" i="21"/>
  <c r="BM16" i="21"/>
  <c r="AG16" i="21"/>
  <c r="AF16" i="21"/>
  <c r="AC16" i="21"/>
  <c r="AB16" i="21"/>
  <c r="Z16" i="21" s="1"/>
  <c r="AA16" i="21" s="1"/>
  <c r="Y16" i="21"/>
  <c r="X16" i="21"/>
  <c r="W16" i="21"/>
  <c r="V16" i="21"/>
  <c r="U16" i="21"/>
  <c r="S16" i="21"/>
  <c r="N16" i="21"/>
  <c r="L16" i="21"/>
  <c r="HB15" i="21"/>
  <c r="BM15" i="21"/>
  <c r="AM15" i="21"/>
  <c r="AL15" i="21"/>
  <c r="AG15" i="21"/>
  <c r="AF15" i="21"/>
  <c r="AC15" i="21"/>
  <c r="AB15" i="21"/>
  <c r="Z15" i="21"/>
  <c r="AA15" i="21" s="1"/>
  <c r="Y15" i="21"/>
  <c r="X15" i="21"/>
  <c r="W15" i="21"/>
  <c r="V15" i="21"/>
  <c r="U15" i="21"/>
  <c r="S15" i="21"/>
  <c r="N15" i="21"/>
  <c r="L15" i="21"/>
  <c r="HB14" i="21"/>
  <c r="BM14" i="21"/>
  <c r="AL14" i="21"/>
  <c r="AG14" i="21"/>
  <c r="AF14" i="21"/>
  <c r="AD14" i="21"/>
  <c r="AC14" i="21"/>
  <c r="AB14" i="21"/>
  <c r="Y14" i="21"/>
  <c r="X14" i="21"/>
  <c r="W14" i="21"/>
  <c r="V14" i="21"/>
  <c r="U14" i="21"/>
  <c r="S14" i="21"/>
  <c r="N14" i="21"/>
  <c r="L14" i="21"/>
  <c r="HB13" i="21"/>
  <c r="BM13" i="21"/>
  <c r="AG13" i="21"/>
  <c r="AF13" i="21"/>
  <c r="AC13" i="21"/>
  <c r="AB13" i="21"/>
  <c r="Y13" i="21"/>
  <c r="X13" i="21"/>
  <c r="W13" i="21"/>
  <c r="V13" i="21"/>
  <c r="U13" i="21"/>
  <c r="S13" i="21"/>
  <c r="N13" i="21"/>
  <c r="L13" i="21"/>
  <c r="HB12" i="21"/>
  <c r="BM12" i="21"/>
  <c r="AG12" i="21"/>
  <c r="AF12" i="21"/>
  <c r="AC12" i="21"/>
  <c r="AB12" i="21"/>
  <c r="Z12" i="21"/>
  <c r="AA12" i="21" s="1"/>
  <c r="Y12" i="21"/>
  <c r="X12" i="21"/>
  <c r="W12" i="21"/>
  <c r="V12" i="21"/>
  <c r="U12" i="21"/>
  <c r="S12" i="21"/>
  <c r="N12" i="21"/>
  <c r="L12" i="21"/>
  <c r="HB11" i="21"/>
  <c r="BM11" i="21"/>
  <c r="AG11" i="21"/>
  <c r="AF11" i="21"/>
  <c r="AC11" i="21"/>
  <c r="AB11" i="21"/>
  <c r="Y11" i="21"/>
  <c r="X11" i="21"/>
  <c r="W11" i="21"/>
  <c r="V11" i="21"/>
  <c r="U11" i="21"/>
  <c r="S11" i="21"/>
  <c r="N11" i="21"/>
  <c r="L11" i="21"/>
  <c r="HB10" i="21"/>
  <c r="BM10" i="21"/>
  <c r="AG10" i="21"/>
  <c r="AF10" i="21"/>
  <c r="AD10" i="21"/>
  <c r="AC10" i="21"/>
  <c r="AB10" i="21"/>
  <c r="AE10" i="21" s="1"/>
  <c r="Y10" i="21"/>
  <c r="X10" i="21"/>
  <c r="W10" i="21"/>
  <c r="V10" i="21"/>
  <c r="U10" i="21"/>
  <c r="S10" i="21"/>
  <c r="N10" i="21"/>
  <c r="L10" i="21"/>
  <c r="HB9" i="21"/>
  <c r="BM9" i="21"/>
  <c r="AG9" i="21"/>
  <c r="AF9" i="21"/>
  <c r="AC9" i="21"/>
  <c r="Z9" i="21" s="1"/>
  <c r="AB9" i="21"/>
  <c r="Y9" i="21"/>
  <c r="X9" i="21"/>
  <c r="W9" i="21"/>
  <c r="V9" i="21"/>
  <c r="U9" i="21"/>
  <c r="S9" i="21"/>
  <c r="N9" i="21"/>
  <c r="L9" i="21"/>
  <c r="HB8" i="21"/>
  <c r="BM8" i="21"/>
  <c r="AG8" i="21"/>
  <c r="AF8" i="21"/>
  <c r="AC8" i="21"/>
  <c r="AB8" i="21"/>
  <c r="Y8" i="21"/>
  <c r="X8" i="21"/>
  <c r="W8" i="21"/>
  <c r="V8" i="21"/>
  <c r="U8" i="21"/>
  <c r="S8" i="21"/>
  <c r="N8" i="21"/>
  <c r="L8" i="21"/>
  <c r="HB7" i="21"/>
  <c r="BM7" i="21"/>
  <c r="AG7" i="21"/>
  <c r="AF7" i="21"/>
  <c r="AC7" i="21"/>
  <c r="AB7" i="21"/>
  <c r="Y7" i="21"/>
  <c r="X7" i="21"/>
  <c r="W7" i="21"/>
  <c r="V7" i="21"/>
  <c r="U7" i="21"/>
  <c r="S7" i="21"/>
  <c r="N7" i="21"/>
  <c r="L7" i="21"/>
  <c r="A7" i="21"/>
  <c r="G11" i="21" s="1"/>
  <c r="AN11" i="21" s="1"/>
  <c r="HB6" i="21"/>
  <c r="BM6" i="21"/>
  <c r="AM6" i="21"/>
  <c r="AG6" i="21"/>
  <c r="AF6" i="21"/>
  <c r="AE6" i="21"/>
  <c r="AC6" i="21"/>
  <c r="Z6" i="21" s="1"/>
  <c r="AB6" i="21"/>
  <c r="Y6" i="21"/>
  <c r="X6" i="21"/>
  <c r="W6" i="21"/>
  <c r="V6" i="21"/>
  <c r="U6" i="21"/>
  <c r="S6" i="21"/>
  <c r="N6" i="21"/>
  <c r="L6" i="21"/>
  <c r="HB5" i="21"/>
  <c r="BM5" i="21"/>
  <c r="AG5" i="21"/>
  <c r="AF5" i="21"/>
  <c r="AC5" i="21"/>
  <c r="AB5" i="21"/>
  <c r="Y5" i="21"/>
  <c r="X5" i="21"/>
  <c r="W5" i="21"/>
  <c r="V5" i="21"/>
  <c r="U5" i="21"/>
  <c r="S5" i="21"/>
  <c r="N5" i="21"/>
  <c r="L5" i="21"/>
  <c r="G5" i="21"/>
  <c r="AN5" i="21" s="1"/>
  <c r="BM4" i="21"/>
  <c r="AG4" i="21"/>
  <c r="AF4" i="21"/>
  <c r="AC4" i="21"/>
  <c r="AB4" i="21"/>
  <c r="AE4" i="21" s="1"/>
  <c r="Z4" i="21"/>
  <c r="Y4" i="21"/>
  <c r="X4" i="21"/>
  <c r="W4" i="21"/>
  <c r="V4" i="21"/>
  <c r="U4" i="21"/>
  <c r="S4" i="21"/>
  <c r="N4" i="21"/>
  <c r="L4" i="21"/>
  <c r="D57" i="20"/>
  <c r="AK54" i="20"/>
  <c r="AJ54" i="20"/>
  <c r="AI54" i="20"/>
  <c r="AH54" i="20"/>
  <c r="AC54" i="20"/>
  <c r="AB54" i="20"/>
  <c r="W54" i="20"/>
  <c r="Z54" i="20" s="1"/>
  <c r="V54" i="20"/>
  <c r="O54" i="20" s="1"/>
  <c r="U54" i="20"/>
  <c r="N54" i="20"/>
  <c r="H54" i="20"/>
  <c r="Y54" i="20" s="1"/>
  <c r="AK53" i="20"/>
  <c r="AJ53" i="20"/>
  <c r="AI53" i="20"/>
  <c r="AH53" i="20"/>
  <c r="AC53" i="20"/>
  <c r="AB53" i="20"/>
  <c r="Y53" i="20"/>
  <c r="X53" i="20"/>
  <c r="W53" i="20"/>
  <c r="AA53" i="20" s="1"/>
  <c r="V53" i="20"/>
  <c r="U53" i="20"/>
  <c r="S53" i="20"/>
  <c r="O53" i="20"/>
  <c r="N53" i="20"/>
  <c r="H53" i="20"/>
  <c r="AK52" i="20"/>
  <c r="AJ52" i="20"/>
  <c r="AI52" i="20"/>
  <c r="AH52" i="20"/>
  <c r="AC52" i="20"/>
  <c r="AB52" i="20"/>
  <c r="W52" i="20"/>
  <c r="Z52" i="20" s="1"/>
  <c r="V52" i="20"/>
  <c r="O52" i="20" s="1"/>
  <c r="U52" i="20"/>
  <c r="N52" i="20"/>
  <c r="H52" i="20"/>
  <c r="Y52" i="20" s="1"/>
  <c r="AK51" i="20"/>
  <c r="AJ51" i="20"/>
  <c r="AI51" i="20"/>
  <c r="AH51" i="20"/>
  <c r="AC51" i="20"/>
  <c r="AB51" i="20"/>
  <c r="Z51" i="20"/>
  <c r="Y51" i="20"/>
  <c r="X51" i="20"/>
  <c r="W51" i="20"/>
  <c r="AA51" i="20" s="1"/>
  <c r="V51" i="20"/>
  <c r="O51" i="20" s="1"/>
  <c r="U51" i="20"/>
  <c r="T51" i="20"/>
  <c r="S51" i="20"/>
  <c r="N51" i="20"/>
  <c r="H51" i="20"/>
  <c r="AK50" i="20"/>
  <c r="AJ50" i="20"/>
  <c r="AI50" i="20"/>
  <c r="AH50" i="20"/>
  <c r="AC50" i="20"/>
  <c r="AB50" i="20"/>
  <c r="W50" i="20"/>
  <c r="Z50" i="20" s="1"/>
  <c r="V50" i="20"/>
  <c r="O50" i="20" s="1"/>
  <c r="U50" i="20"/>
  <c r="N50" i="20"/>
  <c r="H50" i="20"/>
  <c r="Y50" i="20" s="1"/>
  <c r="AK49" i="20"/>
  <c r="AJ49" i="20"/>
  <c r="AI49" i="20"/>
  <c r="AH49" i="20"/>
  <c r="AC49" i="20"/>
  <c r="AB49" i="20"/>
  <c r="Y49" i="20"/>
  <c r="X49" i="20"/>
  <c r="W49" i="20"/>
  <c r="AA49" i="20" s="1"/>
  <c r="V49" i="20"/>
  <c r="O49" i="20" s="1"/>
  <c r="U49" i="20"/>
  <c r="S49" i="20"/>
  <c r="N49" i="20"/>
  <c r="H49" i="20"/>
  <c r="AK48" i="20"/>
  <c r="AJ48" i="20"/>
  <c r="AI48" i="20"/>
  <c r="AH48" i="20"/>
  <c r="AC48" i="20"/>
  <c r="AB48" i="20"/>
  <c r="W48" i="20"/>
  <c r="V48" i="20"/>
  <c r="O48" i="20" s="1"/>
  <c r="U48" i="20"/>
  <c r="N48" i="20"/>
  <c r="H48" i="20"/>
  <c r="AK47" i="20"/>
  <c r="AJ47" i="20"/>
  <c r="AI47" i="20"/>
  <c r="AH47" i="20"/>
  <c r="AC47" i="20"/>
  <c r="AB47" i="20"/>
  <c r="AA47" i="20"/>
  <c r="Z47" i="20"/>
  <c r="W47" i="20"/>
  <c r="V47" i="20"/>
  <c r="U47" i="20"/>
  <c r="T47" i="20"/>
  <c r="O47" i="20"/>
  <c r="N47" i="20"/>
  <c r="H47" i="20"/>
  <c r="Y47" i="20" s="1"/>
  <c r="AK46" i="20"/>
  <c r="AJ46" i="20"/>
  <c r="AI46" i="20"/>
  <c r="AH46" i="20"/>
  <c r="AC46" i="20"/>
  <c r="AB46" i="20"/>
  <c r="W46" i="20"/>
  <c r="V46" i="20"/>
  <c r="O46" i="20" s="1"/>
  <c r="U46" i="20"/>
  <c r="N46" i="20"/>
  <c r="H46" i="20"/>
  <c r="Y46" i="20" s="1"/>
  <c r="AK45" i="20"/>
  <c r="AJ45" i="20"/>
  <c r="AI45" i="20"/>
  <c r="AH45" i="20"/>
  <c r="AC45" i="20"/>
  <c r="AB45" i="20"/>
  <c r="W45" i="20"/>
  <c r="V45" i="20"/>
  <c r="O45" i="20" s="1"/>
  <c r="U45" i="20"/>
  <c r="N45" i="20"/>
  <c r="H45" i="20"/>
  <c r="AK44" i="20"/>
  <c r="AJ44" i="20"/>
  <c r="AI44" i="20"/>
  <c r="AH44" i="20"/>
  <c r="AC44" i="20"/>
  <c r="AB44" i="20"/>
  <c r="W44" i="20"/>
  <c r="V44" i="20"/>
  <c r="U44" i="20"/>
  <c r="O44" i="20"/>
  <c r="N44" i="20"/>
  <c r="H44" i="20"/>
  <c r="AK43" i="20"/>
  <c r="AJ43" i="20"/>
  <c r="AI43" i="20"/>
  <c r="AH43" i="20"/>
  <c r="AC43" i="20"/>
  <c r="AB43" i="20"/>
  <c r="Y43" i="20"/>
  <c r="X43" i="20"/>
  <c r="W43" i="20"/>
  <c r="AA43" i="20" s="1"/>
  <c r="V43" i="20"/>
  <c r="U43" i="20"/>
  <c r="S43" i="20"/>
  <c r="O43" i="20"/>
  <c r="N43" i="20"/>
  <c r="H43" i="20"/>
  <c r="AK42" i="20"/>
  <c r="AJ42" i="20"/>
  <c r="AI42" i="20"/>
  <c r="AH42" i="20"/>
  <c r="AC42" i="20"/>
  <c r="AB42" i="20"/>
  <c r="W42" i="20"/>
  <c r="V42" i="20"/>
  <c r="O42" i="20" s="1"/>
  <c r="U42" i="20"/>
  <c r="N42" i="20"/>
  <c r="H42" i="20"/>
  <c r="AK41" i="20"/>
  <c r="AJ41" i="20"/>
  <c r="AI41" i="20"/>
  <c r="AH41" i="20"/>
  <c r="AC41" i="20"/>
  <c r="AB41" i="20"/>
  <c r="Y41" i="20"/>
  <c r="W41" i="20"/>
  <c r="V41" i="20"/>
  <c r="U41" i="20"/>
  <c r="O41" i="20"/>
  <c r="N41" i="20"/>
  <c r="H41" i="20"/>
  <c r="X41" i="20" s="1"/>
  <c r="AK40" i="20"/>
  <c r="AJ40" i="20"/>
  <c r="AI40" i="20"/>
  <c r="AH40" i="20"/>
  <c r="AC40" i="20"/>
  <c r="AB40" i="20"/>
  <c r="W40" i="20"/>
  <c r="V40" i="20"/>
  <c r="O40" i="20" s="1"/>
  <c r="U40" i="20"/>
  <c r="N40" i="20"/>
  <c r="H40" i="20"/>
  <c r="AG39" i="20"/>
  <c r="AF39" i="20"/>
  <c r="AC39" i="20"/>
  <c r="AB39" i="20"/>
  <c r="Y39" i="20"/>
  <c r="X39" i="20"/>
  <c r="W39" i="20"/>
  <c r="V39" i="20"/>
  <c r="U39" i="20"/>
  <c r="S39" i="20"/>
  <c r="N39" i="20"/>
  <c r="L39" i="20"/>
  <c r="AG38" i="20"/>
  <c r="AF38" i="20"/>
  <c r="AC38" i="20"/>
  <c r="AB38" i="20"/>
  <c r="Y38" i="20"/>
  <c r="X38" i="20"/>
  <c r="W38" i="20"/>
  <c r="V38" i="20"/>
  <c r="U38" i="20"/>
  <c r="S38" i="20"/>
  <c r="N38" i="20"/>
  <c r="L38" i="20"/>
  <c r="AL37" i="20"/>
  <c r="AG37" i="20"/>
  <c r="AF37" i="20"/>
  <c r="AC37" i="20"/>
  <c r="AB37" i="20"/>
  <c r="Y37" i="20"/>
  <c r="X37" i="20"/>
  <c r="W37" i="20"/>
  <c r="V37" i="20"/>
  <c r="U37" i="20"/>
  <c r="S37" i="20"/>
  <c r="N37" i="20"/>
  <c r="L37" i="20"/>
  <c r="AG36" i="20"/>
  <c r="AF36" i="20"/>
  <c r="AC36" i="20"/>
  <c r="AB36" i="20"/>
  <c r="Z36" i="20" s="1"/>
  <c r="Y36" i="20"/>
  <c r="X36" i="20"/>
  <c r="W36" i="20"/>
  <c r="V36" i="20"/>
  <c r="U36" i="20"/>
  <c r="S36" i="20"/>
  <c r="N36" i="20"/>
  <c r="L36" i="20"/>
  <c r="AG35" i="20"/>
  <c r="AF35" i="20"/>
  <c r="AC35" i="20"/>
  <c r="AB35" i="20"/>
  <c r="Y35" i="20"/>
  <c r="X35" i="20"/>
  <c r="W35" i="20"/>
  <c r="V35" i="20"/>
  <c r="U35" i="20"/>
  <c r="S35" i="20"/>
  <c r="N35" i="20"/>
  <c r="L35" i="20"/>
  <c r="AG34" i="20"/>
  <c r="AF34" i="20"/>
  <c r="AC34" i="20"/>
  <c r="AB34" i="20"/>
  <c r="Y34" i="20"/>
  <c r="X34" i="20"/>
  <c r="W34" i="20"/>
  <c r="V34" i="20"/>
  <c r="U34" i="20"/>
  <c r="S34" i="20"/>
  <c r="N34" i="20"/>
  <c r="L34" i="20"/>
  <c r="AG33" i="20"/>
  <c r="AF33" i="20"/>
  <c r="AC33" i="20"/>
  <c r="AB33" i="20"/>
  <c r="Y33" i="20"/>
  <c r="X33" i="20"/>
  <c r="W33" i="20"/>
  <c r="V33" i="20"/>
  <c r="U33" i="20"/>
  <c r="S33" i="20"/>
  <c r="N33" i="20"/>
  <c r="L33" i="20"/>
  <c r="BM32" i="20"/>
  <c r="AG32" i="20"/>
  <c r="AF32" i="20"/>
  <c r="AC32" i="20"/>
  <c r="AB32" i="20"/>
  <c r="Y32" i="20"/>
  <c r="X32" i="20"/>
  <c r="W32" i="20"/>
  <c r="V32" i="20"/>
  <c r="U32" i="20"/>
  <c r="S32" i="20"/>
  <c r="N32" i="20"/>
  <c r="L32" i="20"/>
  <c r="BM31" i="20"/>
  <c r="AG31" i="20"/>
  <c r="AF31" i="20"/>
  <c r="AC31" i="20"/>
  <c r="AB31" i="20"/>
  <c r="AL31" i="20" s="1"/>
  <c r="Y31" i="20"/>
  <c r="X31" i="20"/>
  <c r="W31" i="20"/>
  <c r="V31" i="20"/>
  <c r="U31" i="20"/>
  <c r="S31" i="20"/>
  <c r="N31" i="20"/>
  <c r="L31" i="20"/>
  <c r="HA30" i="20"/>
  <c r="BM30" i="20"/>
  <c r="AG30" i="20"/>
  <c r="AF30" i="20"/>
  <c r="AC30" i="20"/>
  <c r="AB30" i="20"/>
  <c r="AL30" i="20" s="1"/>
  <c r="Y30" i="20"/>
  <c r="X30" i="20"/>
  <c r="W30" i="20"/>
  <c r="V30" i="20"/>
  <c r="U30" i="20"/>
  <c r="S30" i="20"/>
  <c r="N30" i="20"/>
  <c r="L30" i="20"/>
  <c r="BM29" i="20"/>
  <c r="AG29" i="20"/>
  <c r="AF29" i="20"/>
  <c r="AC29" i="20"/>
  <c r="AB29" i="20"/>
  <c r="AM29" i="20" s="1"/>
  <c r="Y29" i="20"/>
  <c r="X29" i="20"/>
  <c r="W29" i="20"/>
  <c r="V29" i="20"/>
  <c r="U29" i="20"/>
  <c r="S29" i="20"/>
  <c r="N29" i="20"/>
  <c r="L29" i="20"/>
  <c r="BM28" i="20"/>
  <c r="AL28" i="20"/>
  <c r="AG28" i="20"/>
  <c r="AF28" i="20"/>
  <c r="AC28" i="20"/>
  <c r="AB28" i="20"/>
  <c r="Y28" i="20"/>
  <c r="X28" i="20"/>
  <c r="W28" i="20"/>
  <c r="V28" i="20"/>
  <c r="U28" i="20"/>
  <c r="S28" i="20"/>
  <c r="N28" i="20"/>
  <c r="L28" i="20"/>
  <c r="BM27" i="20"/>
  <c r="AG27" i="20"/>
  <c r="AF27" i="20"/>
  <c r="AC27" i="20"/>
  <c r="AM27" i="20" s="1"/>
  <c r="AB27" i="20"/>
  <c r="Y27" i="20"/>
  <c r="X27" i="20"/>
  <c r="W27" i="20"/>
  <c r="V27" i="20"/>
  <c r="U27" i="20"/>
  <c r="S27" i="20"/>
  <c r="N27" i="20"/>
  <c r="L27" i="20"/>
  <c r="BM26" i="20"/>
  <c r="AG26" i="20"/>
  <c r="AF26" i="20"/>
  <c r="AC26" i="20"/>
  <c r="AB26" i="20"/>
  <c r="Z26" i="20"/>
  <c r="AA26" i="20" s="1"/>
  <c r="Y26" i="20"/>
  <c r="X26" i="20"/>
  <c r="W26" i="20"/>
  <c r="V26" i="20"/>
  <c r="U26" i="20"/>
  <c r="S26" i="20"/>
  <c r="N26" i="20"/>
  <c r="L26" i="20"/>
  <c r="BM25" i="20"/>
  <c r="AG25" i="20"/>
  <c r="AF25" i="20"/>
  <c r="AE25" i="20"/>
  <c r="AD25" i="20"/>
  <c r="AC25" i="20"/>
  <c r="AB25" i="20"/>
  <c r="Y25" i="20"/>
  <c r="X25" i="20"/>
  <c r="W25" i="20"/>
  <c r="V25" i="20"/>
  <c r="U25" i="20"/>
  <c r="S25" i="20"/>
  <c r="N25" i="20"/>
  <c r="L25" i="20"/>
  <c r="BM24" i="20"/>
  <c r="AG24" i="20"/>
  <c r="AF24" i="20"/>
  <c r="AC24" i="20"/>
  <c r="AB24" i="20"/>
  <c r="Y24" i="20"/>
  <c r="X24" i="20"/>
  <c r="W24" i="20"/>
  <c r="V24" i="20"/>
  <c r="U24" i="20"/>
  <c r="S24" i="20"/>
  <c r="N24" i="20"/>
  <c r="L24" i="20"/>
  <c r="BM23" i="20"/>
  <c r="AG23" i="20"/>
  <c r="AF23" i="20"/>
  <c r="AC23" i="20"/>
  <c r="AB23" i="20"/>
  <c r="Y23" i="20"/>
  <c r="X23" i="20"/>
  <c r="W23" i="20"/>
  <c r="V23" i="20"/>
  <c r="U23" i="20"/>
  <c r="S23" i="20"/>
  <c r="N23" i="20"/>
  <c r="L23" i="20"/>
  <c r="BM22" i="20"/>
  <c r="AG22" i="20"/>
  <c r="AF22" i="20"/>
  <c r="AC22" i="20"/>
  <c r="AB22" i="20"/>
  <c r="Y22" i="20"/>
  <c r="X22" i="20"/>
  <c r="W22" i="20"/>
  <c r="V22" i="20"/>
  <c r="U22" i="20"/>
  <c r="S22" i="20"/>
  <c r="N22" i="20"/>
  <c r="L22" i="20"/>
  <c r="BM21" i="20"/>
  <c r="AG21" i="20"/>
  <c r="AF21" i="20"/>
  <c r="AE21" i="20"/>
  <c r="AD21" i="20"/>
  <c r="AC21" i="20"/>
  <c r="AM21" i="20" s="1"/>
  <c r="AB21" i="20"/>
  <c r="AL21" i="20" s="1"/>
  <c r="Y21" i="20"/>
  <c r="X21" i="20"/>
  <c r="W21" i="20"/>
  <c r="V21" i="20"/>
  <c r="U21" i="20"/>
  <c r="S21" i="20"/>
  <c r="N21" i="20"/>
  <c r="L21" i="20"/>
  <c r="BM20" i="20"/>
  <c r="AG20" i="20"/>
  <c r="AF20" i="20"/>
  <c r="AD20" i="20"/>
  <c r="AC20" i="20"/>
  <c r="AM20" i="20" s="1"/>
  <c r="AB20" i="20"/>
  <c r="Y20" i="20"/>
  <c r="X20" i="20"/>
  <c r="W20" i="20"/>
  <c r="V20" i="20"/>
  <c r="U20" i="20"/>
  <c r="S20" i="20"/>
  <c r="N20" i="20"/>
  <c r="L20" i="20"/>
  <c r="HB19" i="20"/>
  <c r="BM19" i="20"/>
  <c r="AG19" i="20"/>
  <c r="AF19" i="20"/>
  <c r="AC19" i="20"/>
  <c r="AB19" i="20"/>
  <c r="Z19" i="20"/>
  <c r="Y19" i="20"/>
  <c r="X19" i="20"/>
  <c r="W19" i="20"/>
  <c r="V19" i="20"/>
  <c r="U19" i="20"/>
  <c r="S19" i="20"/>
  <c r="N19" i="20"/>
  <c r="L19" i="20"/>
  <c r="HB18" i="20"/>
  <c r="BM18" i="20"/>
  <c r="AL18" i="20"/>
  <c r="AG18" i="20"/>
  <c r="AF18" i="20"/>
  <c r="AC18" i="20"/>
  <c r="AB18" i="20"/>
  <c r="Y18" i="20"/>
  <c r="X18" i="20"/>
  <c r="W18" i="20"/>
  <c r="V18" i="20"/>
  <c r="U18" i="20"/>
  <c r="S18" i="20"/>
  <c r="N18" i="20"/>
  <c r="L18" i="20"/>
  <c r="HB17" i="20"/>
  <c r="BM17" i="20"/>
  <c r="AG17" i="20"/>
  <c r="AF17" i="20"/>
  <c r="AC17" i="20"/>
  <c r="AD17" i="20" s="1"/>
  <c r="AB17" i="20"/>
  <c r="Z17" i="20" s="1"/>
  <c r="Y17" i="20"/>
  <c r="X17" i="20"/>
  <c r="W17" i="20"/>
  <c r="V17" i="20"/>
  <c r="U17" i="20"/>
  <c r="S17" i="20"/>
  <c r="N17" i="20"/>
  <c r="L17" i="20"/>
  <c r="HB16" i="20"/>
  <c r="BM16" i="20"/>
  <c r="AG16" i="20"/>
  <c r="AF16" i="20"/>
  <c r="AC16" i="20"/>
  <c r="AB16" i="20"/>
  <c r="AE16" i="20" s="1"/>
  <c r="Z16" i="20"/>
  <c r="Y16" i="20"/>
  <c r="X16" i="20"/>
  <c r="W16" i="20"/>
  <c r="V16" i="20"/>
  <c r="U16" i="20"/>
  <c r="S16" i="20"/>
  <c r="N16" i="20"/>
  <c r="L16" i="20"/>
  <c r="HB15" i="20"/>
  <c r="BM15" i="20"/>
  <c r="AG15" i="20"/>
  <c r="AF15" i="20"/>
  <c r="AC15" i="20"/>
  <c r="AB15" i="20"/>
  <c r="Y15" i="20"/>
  <c r="X15" i="20"/>
  <c r="W15" i="20"/>
  <c r="V15" i="20"/>
  <c r="U15" i="20"/>
  <c r="S15" i="20"/>
  <c r="N15" i="20"/>
  <c r="L15" i="20"/>
  <c r="G15" i="20"/>
  <c r="AN15" i="20" s="1"/>
  <c r="HB14" i="20"/>
  <c r="BM14" i="20"/>
  <c r="AG14" i="20"/>
  <c r="AF14" i="20"/>
  <c r="AC14" i="20"/>
  <c r="AB14" i="20"/>
  <c r="Y14" i="20"/>
  <c r="X14" i="20"/>
  <c r="W14" i="20"/>
  <c r="V14" i="20"/>
  <c r="U14" i="20"/>
  <c r="S14" i="20"/>
  <c r="N14" i="20"/>
  <c r="L14" i="20"/>
  <c r="HB13" i="20"/>
  <c r="BM13" i="20"/>
  <c r="AG13" i="20"/>
  <c r="AF13" i="20"/>
  <c r="AC13" i="20"/>
  <c r="AB13" i="20"/>
  <c r="AL13" i="20" s="1"/>
  <c r="Z13" i="20"/>
  <c r="Y13" i="20"/>
  <c r="X13" i="20"/>
  <c r="W13" i="20"/>
  <c r="V13" i="20"/>
  <c r="U13" i="20"/>
  <c r="S13" i="20"/>
  <c r="N13" i="20"/>
  <c r="L13" i="20"/>
  <c r="HB12" i="20"/>
  <c r="BM12" i="20"/>
  <c r="AG12" i="20"/>
  <c r="AF12" i="20"/>
  <c r="AE12" i="20"/>
  <c r="AC12" i="20"/>
  <c r="AD12" i="20" s="1"/>
  <c r="AB12" i="20"/>
  <c r="Y12" i="20"/>
  <c r="X12" i="20"/>
  <c r="W12" i="20"/>
  <c r="V12" i="20"/>
  <c r="U12" i="20"/>
  <c r="S12" i="20"/>
  <c r="N12" i="20"/>
  <c r="L12" i="20"/>
  <c r="HB11" i="20"/>
  <c r="BM11" i="20"/>
  <c r="AG11" i="20"/>
  <c r="AF11" i="20"/>
  <c r="AC11" i="20"/>
  <c r="AB11" i="20"/>
  <c r="Y11" i="20"/>
  <c r="X11" i="20"/>
  <c r="W11" i="20"/>
  <c r="V11" i="20"/>
  <c r="U11" i="20"/>
  <c r="S11" i="20"/>
  <c r="N11" i="20"/>
  <c r="L11" i="20"/>
  <c r="HB10" i="20"/>
  <c r="BM10" i="20"/>
  <c r="AL10" i="20"/>
  <c r="AG10" i="20"/>
  <c r="AF10" i="20"/>
  <c r="AC10" i="20"/>
  <c r="AB10" i="20"/>
  <c r="Y10" i="20"/>
  <c r="X10" i="20"/>
  <c r="W10" i="20"/>
  <c r="V10" i="20"/>
  <c r="U10" i="20"/>
  <c r="S10" i="20"/>
  <c r="N10" i="20"/>
  <c r="L10" i="20"/>
  <c r="G10" i="20"/>
  <c r="AN10" i="20" s="1"/>
  <c r="HB9" i="20"/>
  <c r="BM9" i="20"/>
  <c r="AG9" i="20"/>
  <c r="AF9" i="20"/>
  <c r="AC9" i="20"/>
  <c r="AM9" i="20" s="1"/>
  <c r="AB9" i="20"/>
  <c r="AL9" i="20" s="1"/>
  <c r="Y9" i="20"/>
  <c r="X9" i="20"/>
  <c r="W9" i="20"/>
  <c r="V9" i="20"/>
  <c r="U9" i="20"/>
  <c r="S9" i="20"/>
  <c r="N9" i="20"/>
  <c r="L9" i="20"/>
  <c r="HB8" i="20"/>
  <c r="BM8" i="20"/>
  <c r="AG8" i="20"/>
  <c r="AF8" i="20"/>
  <c r="AC8" i="20"/>
  <c r="AL8" i="20" s="1"/>
  <c r="AB8" i="20"/>
  <c r="Y8" i="20"/>
  <c r="X8" i="20"/>
  <c r="W8" i="20"/>
  <c r="V8" i="20"/>
  <c r="U8" i="20"/>
  <c r="S8" i="20"/>
  <c r="N8" i="20"/>
  <c r="L8" i="20"/>
  <c r="HB7" i="20"/>
  <c r="BM7" i="20"/>
  <c r="AG7" i="20"/>
  <c r="AF7" i="20"/>
  <c r="AC7" i="20"/>
  <c r="AB7" i="20"/>
  <c r="Y7" i="20"/>
  <c r="X7" i="20"/>
  <c r="W7" i="20"/>
  <c r="V7" i="20"/>
  <c r="U7" i="20"/>
  <c r="S7" i="20"/>
  <c r="N7" i="20"/>
  <c r="L7" i="20"/>
  <c r="A7" i="20"/>
  <c r="G11" i="20" s="1"/>
  <c r="AN11" i="20" s="1"/>
  <c r="HB6" i="20"/>
  <c r="BM6" i="20"/>
  <c r="AG6" i="20"/>
  <c r="AF6" i="20"/>
  <c r="AE6" i="20"/>
  <c r="AC6" i="20"/>
  <c r="AB6" i="20"/>
  <c r="Z6" i="20"/>
  <c r="Y6" i="20"/>
  <c r="X6" i="20"/>
  <c r="W6" i="20"/>
  <c r="V6" i="20"/>
  <c r="U6" i="20"/>
  <c r="S6" i="20"/>
  <c r="N6" i="20"/>
  <c r="L6" i="20"/>
  <c r="G6" i="20"/>
  <c r="AN6" i="20" s="1"/>
  <c r="HB5" i="20"/>
  <c r="BM5" i="20"/>
  <c r="AN5" i="20"/>
  <c r="AM5" i="20"/>
  <c r="AG5" i="20"/>
  <c r="AF5" i="20"/>
  <c r="AC5" i="20"/>
  <c r="AB5" i="20"/>
  <c r="AL5" i="20" s="1"/>
  <c r="Y5" i="20"/>
  <c r="DO4" i="20" s="1"/>
  <c r="X5" i="20"/>
  <c r="W5" i="20"/>
  <c r="V5" i="20"/>
  <c r="U5" i="20"/>
  <c r="S5" i="20"/>
  <c r="N5" i="20"/>
  <c r="L5" i="20"/>
  <c r="G5" i="20"/>
  <c r="BM4" i="20"/>
  <c r="AG4" i="20"/>
  <c r="AF4" i="20"/>
  <c r="AD4" i="20"/>
  <c r="AC4" i="20"/>
  <c r="AB4" i="20"/>
  <c r="Z4" i="20" s="1"/>
  <c r="Y4" i="20"/>
  <c r="X4" i="20"/>
  <c r="W4" i="20"/>
  <c r="V4" i="20"/>
  <c r="U4" i="20"/>
  <c r="S4" i="20"/>
  <c r="N4" i="20"/>
  <c r="L4" i="20"/>
  <c r="G4" i="20"/>
  <c r="AN4" i="20" s="1"/>
  <c r="D57" i="19"/>
  <c r="AK54" i="19"/>
  <c r="AJ54" i="19"/>
  <c r="AI54" i="19"/>
  <c r="AH54" i="19"/>
  <c r="AC54" i="19"/>
  <c r="AB54" i="19"/>
  <c r="AA54" i="19"/>
  <c r="W54" i="19"/>
  <c r="Z54" i="19" s="1"/>
  <c r="V54" i="19"/>
  <c r="U54" i="19"/>
  <c r="O54" i="19"/>
  <c r="N54" i="19"/>
  <c r="H54" i="19"/>
  <c r="Y54" i="19" s="1"/>
  <c r="AK53" i="19"/>
  <c r="AJ53" i="19"/>
  <c r="AI53" i="19"/>
  <c r="AH53" i="19"/>
  <c r="AC53" i="19"/>
  <c r="AB53" i="19"/>
  <c r="W53" i="19"/>
  <c r="V53" i="19"/>
  <c r="O53" i="19" s="1"/>
  <c r="U53" i="19"/>
  <c r="N53" i="19"/>
  <c r="H53" i="19"/>
  <c r="X53" i="19" s="1"/>
  <c r="AK52" i="19"/>
  <c r="AJ52" i="19"/>
  <c r="AI52" i="19"/>
  <c r="AH52" i="19"/>
  <c r="AC52" i="19"/>
  <c r="AB52" i="19"/>
  <c r="Y52" i="19"/>
  <c r="W52" i="19"/>
  <c r="V52" i="19"/>
  <c r="U52" i="19"/>
  <c r="O52" i="19"/>
  <c r="N52" i="19"/>
  <c r="H52" i="19"/>
  <c r="X52" i="19" s="1"/>
  <c r="AK51" i="19"/>
  <c r="AJ51" i="19"/>
  <c r="AI51" i="19"/>
  <c r="AH51" i="19"/>
  <c r="AC51" i="19"/>
  <c r="AB51" i="19"/>
  <c r="W51" i="19"/>
  <c r="V51" i="19"/>
  <c r="O51" i="19" s="1"/>
  <c r="U51" i="19"/>
  <c r="N51" i="19"/>
  <c r="H51" i="19"/>
  <c r="AK50" i="19"/>
  <c r="AJ50" i="19"/>
  <c r="AI50" i="19"/>
  <c r="AH50" i="19"/>
  <c r="AC50" i="19"/>
  <c r="AB50" i="19"/>
  <c r="W50" i="19"/>
  <c r="V50" i="19"/>
  <c r="O50" i="19" s="1"/>
  <c r="U50" i="19"/>
  <c r="N50" i="19"/>
  <c r="H50" i="19"/>
  <c r="AK49" i="19"/>
  <c r="AJ49" i="19"/>
  <c r="AI49" i="19"/>
  <c r="AH49" i="19"/>
  <c r="AC49" i="19"/>
  <c r="AB49" i="19"/>
  <c r="W49" i="19"/>
  <c r="V49" i="19"/>
  <c r="O49" i="19" s="1"/>
  <c r="U49" i="19"/>
  <c r="N49" i="19"/>
  <c r="H49" i="19"/>
  <c r="AK48" i="19"/>
  <c r="AJ48" i="19"/>
  <c r="AI48" i="19"/>
  <c r="AH48" i="19"/>
  <c r="AC48" i="19"/>
  <c r="AB48" i="19"/>
  <c r="Y48" i="19"/>
  <c r="X48" i="19"/>
  <c r="W48" i="19"/>
  <c r="AA48" i="19" s="1"/>
  <c r="V48" i="19"/>
  <c r="U48" i="19"/>
  <c r="S48" i="19"/>
  <c r="O48" i="19"/>
  <c r="N48" i="19"/>
  <c r="H48" i="19"/>
  <c r="AK47" i="19"/>
  <c r="AJ47" i="19"/>
  <c r="AI47" i="19"/>
  <c r="AH47" i="19"/>
  <c r="AC47" i="19"/>
  <c r="AB47" i="19"/>
  <c r="Y47" i="19"/>
  <c r="X47" i="19"/>
  <c r="W47" i="19"/>
  <c r="V47" i="19"/>
  <c r="U47" i="19"/>
  <c r="S47" i="19"/>
  <c r="O47" i="19"/>
  <c r="N47" i="19"/>
  <c r="H47" i="19"/>
  <c r="AK46" i="19"/>
  <c r="AJ46" i="19"/>
  <c r="AI46" i="19"/>
  <c r="AH46" i="19"/>
  <c r="AC46" i="19"/>
  <c r="AB46" i="19"/>
  <c r="W46" i="19"/>
  <c r="V46" i="19"/>
  <c r="U46" i="19"/>
  <c r="O46" i="19"/>
  <c r="N46" i="19"/>
  <c r="H46" i="19"/>
  <c r="AK45" i="19"/>
  <c r="AJ45" i="19"/>
  <c r="AI45" i="19"/>
  <c r="AH45" i="19"/>
  <c r="AC45" i="19"/>
  <c r="AB45" i="19"/>
  <c r="AM45" i="19" s="1"/>
  <c r="AA45" i="19"/>
  <c r="W45" i="19"/>
  <c r="Z45" i="19" s="1"/>
  <c r="V45" i="19"/>
  <c r="O45" i="19" s="1"/>
  <c r="U45" i="19"/>
  <c r="T45" i="19"/>
  <c r="N45" i="19"/>
  <c r="H45" i="19"/>
  <c r="Y45" i="19" s="1"/>
  <c r="AK44" i="19"/>
  <c r="AJ44" i="19"/>
  <c r="AI44" i="19"/>
  <c r="AH44" i="19"/>
  <c r="AC44" i="19"/>
  <c r="AB44" i="19"/>
  <c r="W44" i="19"/>
  <c r="V44" i="19"/>
  <c r="O44" i="19" s="1"/>
  <c r="U44" i="19"/>
  <c r="N44" i="19"/>
  <c r="H44" i="19"/>
  <c r="AK43" i="19"/>
  <c r="AJ43" i="19"/>
  <c r="AI43" i="19"/>
  <c r="AH43" i="19"/>
  <c r="AC43" i="19"/>
  <c r="AB43" i="19"/>
  <c r="W43" i="19"/>
  <c r="V43" i="19"/>
  <c r="O43" i="19" s="1"/>
  <c r="U43" i="19"/>
  <c r="N43" i="19"/>
  <c r="H43" i="19"/>
  <c r="X43" i="19" s="1"/>
  <c r="AK42" i="19"/>
  <c r="AJ42" i="19"/>
  <c r="AI42" i="19"/>
  <c r="AH42" i="19"/>
  <c r="AC42" i="19"/>
  <c r="AB42" i="19"/>
  <c r="W42" i="19"/>
  <c r="AA42" i="19" s="1"/>
  <c r="V42" i="19"/>
  <c r="O42" i="19" s="1"/>
  <c r="U42" i="19"/>
  <c r="T42" i="19"/>
  <c r="N42" i="19"/>
  <c r="H42" i="19"/>
  <c r="Y42" i="19" s="1"/>
  <c r="AK41" i="19"/>
  <c r="AJ41" i="19"/>
  <c r="AI41" i="19"/>
  <c r="AH41" i="19"/>
  <c r="AC41" i="19"/>
  <c r="AB41" i="19"/>
  <c r="Y41" i="19"/>
  <c r="X41" i="19"/>
  <c r="W41" i="19"/>
  <c r="AA41" i="19" s="1"/>
  <c r="V41" i="19"/>
  <c r="U41" i="19"/>
  <c r="O41" i="19"/>
  <c r="N41" i="19"/>
  <c r="H41" i="19"/>
  <c r="S41" i="19" s="1"/>
  <c r="AK40" i="19"/>
  <c r="AJ40" i="19"/>
  <c r="AI40" i="19"/>
  <c r="AH40" i="19"/>
  <c r="AC40" i="19"/>
  <c r="AB40" i="19"/>
  <c r="W40" i="19"/>
  <c r="AA40" i="19" s="1"/>
  <c r="V40" i="19"/>
  <c r="O40" i="19" s="1"/>
  <c r="U40" i="19"/>
  <c r="T40" i="19"/>
  <c r="N40" i="19"/>
  <c r="H40" i="19"/>
  <c r="Y40" i="19" s="1"/>
  <c r="AG39" i="19"/>
  <c r="AF39" i="19"/>
  <c r="AC39" i="19"/>
  <c r="AB39" i="19"/>
  <c r="Y39" i="19"/>
  <c r="X39" i="19"/>
  <c r="W39" i="19"/>
  <c r="V39" i="19"/>
  <c r="U39" i="19"/>
  <c r="S39" i="19"/>
  <c r="N39" i="19"/>
  <c r="L39" i="19"/>
  <c r="AG38" i="19"/>
  <c r="AF38" i="19"/>
  <c r="AE38" i="19"/>
  <c r="AD38" i="19"/>
  <c r="AC38" i="19"/>
  <c r="AB38" i="19"/>
  <c r="AM38" i="19" s="1"/>
  <c r="Z38" i="19"/>
  <c r="Y38" i="19"/>
  <c r="X38" i="19"/>
  <c r="W38" i="19"/>
  <c r="V38" i="19"/>
  <c r="U38" i="19"/>
  <c r="S38" i="19"/>
  <c r="N38" i="19"/>
  <c r="L38" i="19"/>
  <c r="AG37" i="19"/>
  <c r="AF37" i="19"/>
  <c r="AC37" i="19"/>
  <c r="AB37" i="19"/>
  <c r="AL37" i="19" s="1"/>
  <c r="Y37" i="19"/>
  <c r="X37" i="19"/>
  <c r="W37" i="19"/>
  <c r="V37" i="19"/>
  <c r="U37" i="19"/>
  <c r="S37" i="19"/>
  <c r="N37" i="19"/>
  <c r="L37" i="19"/>
  <c r="AG36" i="19"/>
  <c r="AF36" i="19"/>
  <c r="AC36" i="19"/>
  <c r="AB36" i="19"/>
  <c r="Y36" i="19"/>
  <c r="X36" i="19"/>
  <c r="W36" i="19"/>
  <c r="V36" i="19"/>
  <c r="U36" i="19"/>
  <c r="S36" i="19"/>
  <c r="N36" i="19"/>
  <c r="L36" i="19"/>
  <c r="AG35" i="19"/>
  <c r="AF35" i="19"/>
  <c r="AC35" i="19"/>
  <c r="AB35" i="19"/>
  <c r="Y35" i="19"/>
  <c r="X35" i="19"/>
  <c r="W35" i="19"/>
  <c r="V35" i="19"/>
  <c r="U35" i="19"/>
  <c r="S35" i="19"/>
  <c r="N35" i="19"/>
  <c r="L35" i="19"/>
  <c r="AG34" i="19"/>
  <c r="AF34" i="19"/>
  <c r="AC34" i="19"/>
  <c r="AB34" i="19"/>
  <c r="AD34" i="19" s="1"/>
  <c r="Y34" i="19"/>
  <c r="X34" i="19"/>
  <c r="W34" i="19"/>
  <c r="V34" i="19"/>
  <c r="U34" i="19"/>
  <c r="S34" i="19"/>
  <c r="N34" i="19"/>
  <c r="L34" i="19"/>
  <c r="AG33" i="19"/>
  <c r="AF33" i="19"/>
  <c r="AC33" i="19"/>
  <c r="AB33" i="19"/>
  <c r="AL33" i="19" s="1"/>
  <c r="Y33" i="19"/>
  <c r="X33" i="19"/>
  <c r="W33" i="19"/>
  <c r="V33" i="19"/>
  <c r="U33" i="19"/>
  <c r="S33" i="19"/>
  <c r="N33" i="19"/>
  <c r="L33" i="19"/>
  <c r="BM32" i="19"/>
  <c r="AL32" i="19"/>
  <c r="AG32" i="19"/>
  <c r="AF32" i="19"/>
  <c r="AC32" i="19"/>
  <c r="AB32" i="19"/>
  <c r="Y32" i="19"/>
  <c r="X32" i="19"/>
  <c r="W32" i="19"/>
  <c r="V32" i="19"/>
  <c r="U32" i="19"/>
  <c r="S32" i="19"/>
  <c r="N32" i="19"/>
  <c r="L32" i="19"/>
  <c r="BM31" i="19"/>
  <c r="AG31" i="19"/>
  <c r="AF31" i="19"/>
  <c r="AC31" i="19"/>
  <c r="AB31" i="19"/>
  <c r="AE31" i="19" s="1"/>
  <c r="Z31" i="19"/>
  <c r="AA31" i="19" s="1"/>
  <c r="Y31" i="19"/>
  <c r="X31" i="19"/>
  <c r="W31" i="19"/>
  <c r="V31" i="19"/>
  <c r="U31" i="19"/>
  <c r="S31" i="19"/>
  <c r="N31" i="19"/>
  <c r="L31" i="19"/>
  <c r="HA30" i="19"/>
  <c r="BM30" i="19"/>
  <c r="AG30" i="19"/>
  <c r="AF30" i="19"/>
  <c r="AD30" i="19"/>
  <c r="AC30" i="19"/>
  <c r="AB30" i="19"/>
  <c r="AE30" i="19" s="1"/>
  <c r="Z30" i="19"/>
  <c r="AA30" i="19" s="1"/>
  <c r="Y30" i="19"/>
  <c r="X30" i="19"/>
  <c r="W30" i="19"/>
  <c r="V30" i="19"/>
  <c r="U30" i="19"/>
  <c r="S30" i="19"/>
  <c r="N30" i="19"/>
  <c r="L30" i="19"/>
  <c r="BM29" i="19"/>
  <c r="AG29" i="19"/>
  <c r="AF29" i="19"/>
  <c r="AD29" i="19"/>
  <c r="AC29" i="19"/>
  <c r="AB29" i="19"/>
  <c r="AL29" i="19" s="1"/>
  <c r="Y29" i="19"/>
  <c r="X29" i="19"/>
  <c r="W29" i="19"/>
  <c r="V29" i="19"/>
  <c r="U29" i="19"/>
  <c r="S29" i="19"/>
  <c r="N29" i="19"/>
  <c r="L29" i="19"/>
  <c r="BM28" i="19"/>
  <c r="AG28" i="19"/>
  <c r="AF28" i="19"/>
  <c r="AC28" i="19"/>
  <c r="AB28" i="19"/>
  <c r="Y28" i="19"/>
  <c r="X28" i="19"/>
  <c r="W28" i="19"/>
  <c r="V28" i="19"/>
  <c r="U28" i="19"/>
  <c r="S28" i="19"/>
  <c r="N28" i="19"/>
  <c r="L28" i="19"/>
  <c r="BM27" i="19"/>
  <c r="AG27" i="19"/>
  <c r="AF27" i="19"/>
  <c r="AC27" i="19"/>
  <c r="AB27" i="19"/>
  <c r="AL27" i="19" s="1"/>
  <c r="Z27" i="19"/>
  <c r="AA27" i="19" s="1"/>
  <c r="Y27" i="19"/>
  <c r="X27" i="19"/>
  <c r="W27" i="19"/>
  <c r="V27" i="19"/>
  <c r="U27" i="19"/>
  <c r="S27" i="19"/>
  <c r="N27" i="19"/>
  <c r="L27" i="19"/>
  <c r="BM26" i="19"/>
  <c r="AG26" i="19"/>
  <c r="AF26" i="19"/>
  <c r="AE26" i="19"/>
  <c r="AC26" i="19"/>
  <c r="AB26" i="19"/>
  <c r="AL26" i="19" s="1"/>
  <c r="Y26" i="19"/>
  <c r="X26" i="19"/>
  <c r="W26" i="19"/>
  <c r="V26" i="19"/>
  <c r="U26" i="19"/>
  <c r="S26" i="19"/>
  <c r="N26" i="19"/>
  <c r="L26" i="19"/>
  <c r="BM25" i="19"/>
  <c r="AG25" i="19"/>
  <c r="AF25" i="19"/>
  <c r="AC25" i="19"/>
  <c r="AD25" i="19" s="1"/>
  <c r="AB25" i="19"/>
  <c r="AL25" i="19" s="1"/>
  <c r="Y25" i="19"/>
  <c r="X25" i="19"/>
  <c r="W25" i="19"/>
  <c r="V25" i="19"/>
  <c r="U25" i="19"/>
  <c r="S25" i="19"/>
  <c r="N25" i="19"/>
  <c r="L25" i="19"/>
  <c r="BM24" i="19"/>
  <c r="AG24" i="19"/>
  <c r="AF24" i="19"/>
  <c r="AD24" i="19"/>
  <c r="AC24" i="19"/>
  <c r="AB24" i="19"/>
  <c r="AL24" i="19" s="1"/>
  <c r="Y24" i="19"/>
  <c r="X24" i="19"/>
  <c r="W24" i="19"/>
  <c r="V24" i="19"/>
  <c r="U24" i="19"/>
  <c r="S24" i="19"/>
  <c r="N24" i="19"/>
  <c r="L24" i="19"/>
  <c r="BM23" i="19"/>
  <c r="AG23" i="19"/>
  <c r="AF23" i="19"/>
  <c r="AC23" i="19"/>
  <c r="AB23" i="19"/>
  <c r="AE23" i="19" s="1"/>
  <c r="Y23" i="19"/>
  <c r="X23" i="19"/>
  <c r="W23" i="19"/>
  <c r="V23" i="19"/>
  <c r="U23" i="19"/>
  <c r="S23" i="19"/>
  <c r="N23" i="19"/>
  <c r="L23" i="19"/>
  <c r="BM22" i="19"/>
  <c r="AG22" i="19"/>
  <c r="AF22" i="19"/>
  <c r="AE22" i="19"/>
  <c r="AD22" i="19"/>
  <c r="AC22" i="19"/>
  <c r="AB22" i="19"/>
  <c r="Y22" i="19"/>
  <c r="X22" i="19"/>
  <c r="W22" i="19"/>
  <c r="V22" i="19"/>
  <c r="U22" i="19"/>
  <c r="S22" i="19"/>
  <c r="N22" i="19"/>
  <c r="L22" i="19"/>
  <c r="BM21" i="19"/>
  <c r="AG21" i="19"/>
  <c r="AF21" i="19"/>
  <c r="AC21" i="19"/>
  <c r="AB21" i="19"/>
  <c r="AE21" i="19" s="1"/>
  <c r="Y21" i="19"/>
  <c r="X21" i="19"/>
  <c r="W21" i="19"/>
  <c r="V21" i="19"/>
  <c r="U21" i="19"/>
  <c r="S21" i="19"/>
  <c r="N21" i="19"/>
  <c r="L21" i="19"/>
  <c r="BM20" i="19"/>
  <c r="AG20" i="19"/>
  <c r="AF20" i="19"/>
  <c r="AE20" i="19"/>
  <c r="AD20" i="19"/>
  <c r="AC20" i="19"/>
  <c r="AB20" i="19"/>
  <c r="AL20" i="19" s="1"/>
  <c r="Y20" i="19"/>
  <c r="X20" i="19"/>
  <c r="W20" i="19"/>
  <c r="V20" i="19"/>
  <c r="U20" i="19"/>
  <c r="S20" i="19"/>
  <c r="N20" i="19"/>
  <c r="L20" i="19"/>
  <c r="HB19" i="19"/>
  <c r="BM19" i="19"/>
  <c r="AG19" i="19"/>
  <c r="AF19" i="19"/>
  <c r="AC19" i="19"/>
  <c r="AB19" i="19"/>
  <c r="AL19" i="19" s="1"/>
  <c r="Y19" i="19"/>
  <c r="X19" i="19"/>
  <c r="W19" i="19"/>
  <c r="V19" i="19"/>
  <c r="U19" i="19"/>
  <c r="S19" i="19"/>
  <c r="N19" i="19"/>
  <c r="L19" i="19"/>
  <c r="HB18" i="19"/>
  <c r="BM18" i="19"/>
  <c r="AG18" i="19"/>
  <c r="AF18" i="19"/>
  <c r="AE18" i="19"/>
  <c r="AC18" i="19"/>
  <c r="AM18" i="19" s="1"/>
  <c r="AB18" i="19"/>
  <c r="AL18" i="19" s="1"/>
  <c r="Z18" i="19"/>
  <c r="AA18" i="19" s="1"/>
  <c r="Y18" i="19"/>
  <c r="X18" i="19"/>
  <c r="W18" i="19"/>
  <c r="V18" i="19"/>
  <c r="U18" i="19"/>
  <c r="S18" i="19"/>
  <c r="N18" i="19"/>
  <c r="L18" i="19"/>
  <c r="HB17" i="19"/>
  <c r="BM17" i="19"/>
  <c r="AG17" i="19"/>
  <c r="AF17" i="19"/>
  <c r="AC17" i="19"/>
  <c r="AB17" i="19"/>
  <c r="Y17" i="19"/>
  <c r="X17" i="19"/>
  <c r="W17" i="19"/>
  <c r="V17" i="19"/>
  <c r="U17" i="19"/>
  <c r="S17" i="19"/>
  <c r="N17" i="19"/>
  <c r="L17" i="19"/>
  <c r="HB16" i="19"/>
  <c r="BM16" i="19"/>
  <c r="AG16" i="19"/>
  <c r="AF16" i="19"/>
  <c r="AC16" i="19"/>
  <c r="AB16" i="19"/>
  <c r="AM16" i="19" s="1"/>
  <c r="Y16" i="19"/>
  <c r="X16" i="19"/>
  <c r="W16" i="19"/>
  <c r="V16" i="19"/>
  <c r="U16" i="19"/>
  <c r="S16" i="19"/>
  <c r="N16" i="19"/>
  <c r="L16" i="19"/>
  <c r="HB15" i="19"/>
  <c r="BM15" i="19"/>
  <c r="AG15" i="19"/>
  <c r="AF15" i="19"/>
  <c r="AE15" i="19"/>
  <c r="AC15" i="19"/>
  <c r="AB15" i="19"/>
  <c r="AM15" i="19" s="1"/>
  <c r="Y15" i="19"/>
  <c r="X15" i="19"/>
  <c r="W15" i="19"/>
  <c r="V15" i="19"/>
  <c r="U15" i="19"/>
  <c r="S15" i="19"/>
  <c r="N15" i="19"/>
  <c r="L15" i="19"/>
  <c r="HB14" i="19"/>
  <c r="BM14" i="19"/>
  <c r="AG14" i="19"/>
  <c r="AF14" i="19"/>
  <c r="AC14" i="19"/>
  <c r="AD14" i="19" s="1"/>
  <c r="AB14" i="19"/>
  <c r="Z14" i="19" s="1"/>
  <c r="Y14" i="19"/>
  <c r="X14" i="19"/>
  <c r="W14" i="19"/>
  <c r="V14" i="19"/>
  <c r="U14" i="19"/>
  <c r="S14" i="19"/>
  <c r="N14" i="19"/>
  <c r="L14" i="19"/>
  <c r="HB13" i="19"/>
  <c r="BM13" i="19"/>
  <c r="AG13" i="19"/>
  <c r="AF13" i="19"/>
  <c r="AC13" i="19"/>
  <c r="AB13" i="19"/>
  <c r="AL13" i="19" s="1"/>
  <c r="Y13" i="19"/>
  <c r="X13" i="19"/>
  <c r="W13" i="19"/>
  <c r="V13" i="19"/>
  <c r="U13" i="19"/>
  <c r="S13" i="19"/>
  <c r="N13" i="19"/>
  <c r="L13" i="19"/>
  <c r="HB12" i="19"/>
  <c r="BM12" i="19"/>
  <c r="AM12" i="19"/>
  <c r="AG12" i="19"/>
  <c r="AF12" i="19"/>
  <c r="AC12" i="19"/>
  <c r="AB12" i="19"/>
  <c r="AL12" i="19" s="1"/>
  <c r="Z12" i="19"/>
  <c r="Y12" i="19"/>
  <c r="DL5" i="19" s="1"/>
  <c r="X12" i="19"/>
  <c r="W12" i="19"/>
  <c r="V12" i="19"/>
  <c r="U12" i="19"/>
  <c r="S12" i="19"/>
  <c r="N12" i="19"/>
  <c r="L12" i="19"/>
  <c r="HB11" i="19"/>
  <c r="BM11" i="19"/>
  <c r="AG11" i="19"/>
  <c r="AF11" i="19"/>
  <c r="AD11" i="19"/>
  <c r="AC11" i="19"/>
  <c r="AB11" i="19"/>
  <c r="AM11" i="19" s="1"/>
  <c r="Y11" i="19"/>
  <c r="X11" i="19"/>
  <c r="W11" i="19"/>
  <c r="V11" i="19"/>
  <c r="U11" i="19"/>
  <c r="S11" i="19"/>
  <c r="N11" i="19"/>
  <c r="L11" i="19"/>
  <c r="HB10" i="19"/>
  <c r="BM10" i="19"/>
  <c r="AG10" i="19"/>
  <c r="AF10" i="19"/>
  <c r="AC10" i="19"/>
  <c r="AB10" i="19"/>
  <c r="Z10" i="19"/>
  <c r="AA10" i="19" s="1"/>
  <c r="Y10" i="19"/>
  <c r="X10" i="19"/>
  <c r="W10" i="19"/>
  <c r="V10" i="19"/>
  <c r="U10" i="19"/>
  <c r="S10" i="19"/>
  <c r="N10" i="19"/>
  <c r="L10" i="19"/>
  <c r="HB9" i="19"/>
  <c r="BM9" i="19"/>
  <c r="AG9" i="19"/>
  <c r="AF9" i="19"/>
  <c r="AC9" i="19"/>
  <c r="AM9" i="19" s="1"/>
  <c r="AB9" i="19"/>
  <c r="Z9" i="19" s="1"/>
  <c r="Y9" i="19"/>
  <c r="X9" i="19"/>
  <c r="W9" i="19"/>
  <c r="V9" i="19"/>
  <c r="U9" i="19"/>
  <c r="S9" i="19"/>
  <c r="N9" i="19"/>
  <c r="L9" i="19"/>
  <c r="G9" i="19"/>
  <c r="AN9" i="19" s="1"/>
  <c r="HB8" i="19"/>
  <c r="BM8" i="19"/>
  <c r="AG8" i="19"/>
  <c r="AF8" i="19"/>
  <c r="AC8" i="19"/>
  <c r="AB8" i="19"/>
  <c r="AL8" i="19" s="1"/>
  <c r="Z8" i="19"/>
  <c r="Y8" i="19"/>
  <c r="X8" i="19"/>
  <c r="W8" i="19"/>
  <c r="V8" i="19"/>
  <c r="U8" i="19"/>
  <c r="S8" i="19"/>
  <c r="N8" i="19"/>
  <c r="L8" i="19"/>
  <c r="HB7" i="19"/>
  <c r="ET7" i="19"/>
  <c r="BM7" i="19"/>
  <c r="AG7" i="19"/>
  <c r="AF7" i="19"/>
  <c r="AC7" i="19"/>
  <c r="AB7" i="19"/>
  <c r="Y7" i="19"/>
  <c r="X7" i="19"/>
  <c r="W7" i="19"/>
  <c r="V7" i="19"/>
  <c r="U7" i="19"/>
  <c r="S7" i="19"/>
  <c r="N7" i="19"/>
  <c r="L7" i="19"/>
  <c r="A7" i="19"/>
  <c r="G11" i="19" s="1"/>
  <c r="AN11" i="19" s="1"/>
  <c r="HB6" i="19"/>
  <c r="FX6" i="19"/>
  <c r="BM6" i="19"/>
  <c r="AG6" i="19"/>
  <c r="AF6" i="19"/>
  <c r="AC6" i="19"/>
  <c r="AB6" i="19"/>
  <c r="AL6" i="19" s="1"/>
  <c r="Y6" i="19"/>
  <c r="FL9" i="19" s="1"/>
  <c r="X6" i="19"/>
  <c r="BJ6" i="19" s="1"/>
  <c r="W6" i="19"/>
  <c r="V6" i="19"/>
  <c r="U6" i="19"/>
  <c r="S6" i="19"/>
  <c r="N6" i="19"/>
  <c r="L6" i="19"/>
  <c r="G6" i="19"/>
  <c r="AN6" i="19" s="1"/>
  <c r="HB5" i="19"/>
  <c r="EZ5" i="19"/>
  <c r="DF5" i="19"/>
  <c r="BM5" i="19"/>
  <c r="AG5" i="19"/>
  <c r="AF5" i="19"/>
  <c r="AC5" i="19"/>
  <c r="AM5" i="19" s="1"/>
  <c r="AB5" i="19"/>
  <c r="Y5" i="19"/>
  <c r="X5" i="19"/>
  <c r="W5" i="19"/>
  <c r="V5" i="19"/>
  <c r="U5" i="19"/>
  <c r="S5" i="19"/>
  <c r="N5" i="19"/>
  <c r="L5" i="19"/>
  <c r="G5" i="19"/>
  <c r="AN5" i="19" s="1"/>
  <c r="FX4" i="19"/>
  <c r="ED4" i="19"/>
  <c r="BM4" i="19"/>
  <c r="AG4" i="19"/>
  <c r="AF4" i="19"/>
  <c r="AC4" i="19"/>
  <c r="AB4" i="19"/>
  <c r="AL4" i="19" s="1"/>
  <c r="Y4" i="19"/>
  <c r="ET8" i="19" s="1"/>
  <c r="X4" i="19"/>
  <c r="W4" i="19"/>
  <c r="V4" i="19"/>
  <c r="U4" i="19"/>
  <c r="S4" i="19"/>
  <c r="N4" i="19"/>
  <c r="L4" i="19"/>
  <c r="G4" i="19"/>
  <c r="AN4" i="19" s="1"/>
  <c r="L4" i="16"/>
  <c r="L5" i="16"/>
  <c r="L6" i="16"/>
  <c r="L7" i="16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B7" i="17" a="1"/>
  <c r="B7" i="17" s="1"/>
  <c r="B8" i="17" a="1"/>
  <c r="B8" i="17" s="1"/>
  <c r="B9" i="17" a="1"/>
  <c r="B9" i="17" s="1"/>
  <c r="B10" i="17" a="1"/>
  <c r="B10" i="17" s="1"/>
  <c r="B11" i="17" a="1"/>
  <c r="B11" i="17" s="1"/>
  <c r="B12" i="17" a="1"/>
  <c r="B12" i="17" s="1"/>
  <c r="B13" i="17" a="1"/>
  <c r="B13" i="17" s="1"/>
  <c r="B14" i="17" a="1"/>
  <c r="B14" i="17" s="1"/>
  <c r="B15" i="17" a="1"/>
  <c r="B15" i="17" s="1"/>
  <c r="B16" i="17" a="1"/>
  <c r="B16" i="17" s="1"/>
  <c r="B17" i="17" a="1"/>
  <c r="B17" i="17" s="1"/>
  <c r="B18" i="17" a="1"/>
  <c r="B18" i="17" s="1"/>
  <c r="B19" i="17" a="1"/>
  <c r="B19" i="17" s="1"/>
  <c r="B20" i="17" a="1"/>
  <c r="B20" i="17" s="1"/>
  <c r="B21" i="17" a="1"/>
  <c r="B21" i="17" s="1"/>
  <c r="B22" i="17" a="1"/>
  <c r="B22" i="17" s="1"/>
  <c r="B23" i="17" a="1"/>
  <c r="B23" i="17" s="1"/>
  <c r="B24" i="17" a="1"/>
  <c r="B24" i="17" s="1"/>
  <c r="B25" i="17" a="1"/>
  <c r="B25" i="17" s="1"/>
  <c r="B26" i="17" a="1"/>
  <c r="B26" i="17" s="1"/>
  <c r="B27" i="17" a="1"/>
  <c r="B27" i="17" s="1"/>
  <c r="B28" i="17" a="1"/>
  <c r="B28" i="17" s="1"/>
  <c r="B29" i="17" a="1"/>
  <c r="B29" i="17" s="1"/>
  <c r="B30" i="17" a="1"/>
  <c r="B30" i="17" s="1"/>
  <c r="B31" i="17" a="1"/>
  <c r="B31" i="17" s="1"/>
  <c r="B32" i="17" a="1"/>
  <c r="B32" i="17" s="1"/>
  <c r="B33" i="17" a="1"/>
  <c r="B33" i="17" s="1"/>
  <c r="B34" i="17" a="1"/>
  <c r="B34" i="17" s="1"/>
  <c r="B35" i="17" a="1"/>
  <c r="B35" i="17" s="1"/>
  <c r="B36" i="17" a="1"/>
  <c r="B36" i="17" s="1"/>
  <c r="B37" i="17" a="1"/>
  <c r="B37" i="17" s="1"/>
  <c r="B38" i="17" a="1"/>
  <c r="B38" i="17" s="1"/>
  <c r="B39" i="17" a="1"/>
  <c r="B39" i="17" s="1"/>
  <c r="B40" i="17" a="1"/>
  <c r="B40" i="17" s="1"/>
  <c r="B41" i="17" a="1"/>
  <c r="B41" i="17" s="1"/>
  <c r="B42" i="17" a="1"/>
  <c r="B42" i="17" s="1"/>
  <c r="B43" i="17" a="1"/>
  <c r="B43" i="17" s="1"/>
  <c r="B44" i="17" a="1"/>
  <c r="B44" i="17" s="1"/>
  <c r="B45" i="17" a="1"/>
  <c r="B45" i="17" s="1"/>
  <c r="B46" i="17" a="1"/>
  <c r="B46" i="17" s="1"/>
  <c r="B47" i="17" a="1"/>
  <c r="B47" i="17" s="1"/>
  <c r="B48" i="17" a="1"/>
  <c r="B48" i="17" s="1"/>
  <c r="B49" i="17" a="1"/>
  <c r="B49" i="17" s="1"/>
  <c r="B50" i="17" a="1"/>
  <c r="B50" i="17" s="1"/>
  <c r="B51" i="17" a="1"/>
  <c r="B51" i="17" s="1"/>
  <c r="B52" i="17" a="1"/>
  <c r="B52" i="17" s="1"/>
  <c r="B53" i="17" a="1"/>
  <c r="B53" i="17" s="1"/>
  <c r="B54" i="17" a="1"/>
  <c r="B54" i="17" s="1"/>
  <c r="B55" i="17" a="1"/>
  <c r="B55" i="17" s="1"/>
  <c r="B56" i="17" a="1"/>
  <c r="B56" i="17" s="1"/>
  <c r="B57" i="17" a="1"/>
  <c r="B57" i="17" s="1"/>
  <c r="B58" i="17" a="1"/>
  <c r="B58" i="17" s="1"/>
  <c r="B59" i="17" a="1"/>
  <c r="B59" i="17" s="1"/>
  <c r="B60" i="17" a="1"/>
  <c r="B60" i="17" s="1"/>
  <c r="B61" i="17" a="1"/>
  <c r="B61" i="17" s="1"/>
  <c r="B62" i="17" a="1"/>
  <c r="B62" i="17" s="1"/>
  <c r="B63" i="17" a="1"/>
  <c r="B63" i="17" s="1"/>
  <c r="B64" i="17" a="1"/>
  <c r="B64" i="17" s="1"/>
  <c r="B65" i="17" a="1"/>
  <c r="B65" i="17" s="1"/>
  <c r="B66" i="17" a="1"/>
  <c r="B66" i="17" s="1"/>
  <c r="B67" i="17" a="1"/>
  <c r="B67" i="17" s="1"/>
  <c r="B68" i="17" a="1"/>
  <c r="B68" i="17" s="1"/>
  <c r="B69" i="17" a="1"/>
  <c r="B69" i="17" s="1"/>
  <c r="B70" i="17" a="1"/>
  <c r="B70" i="17" s="1"/>
  <c r="B71" i="17" a="1"/>
  <c r="B71" i="17" s="1"/>
  <c r="B72" i="17" a="1"/>
  <c r="B72" i="17" s="1"/>
  <c r="B73" i="17" a="1"/>
  <c r="B73" i="17" s="1"/>
  <c r="B74" i="17" a="1"/>
  <c r="B74" i="17" s="1"/>
  <c r="B75" i="17" a="1"/>
  <c r="B75" i="17" s="1"/>
  <c r="B76" i="17" a="1"/>
  <c r="B76" i="17" s="1"/>
  <c r="B77" i="17" a="1"/>
  <c r="B77" i="17" s="1"/>
  <c r="B78" i="17" a="1"/>
  <c r="B78" i="17" s="1"/>
  <c r="B79" i="17" a="1"/>
  <c r="B79" i="17" s="1"/>
  <c r="B80" i="17" a="1"/>
  <c r="B80" i="17" s="1"/>
  <c r="B81" i="17" a="1"/>
  <c r="B81" i="17" s="1"/>
  <c r="B82" i="17" a="1"/>
  <c r="B82" i="17" s="1"/>
  <c r="B83" i="17" a="1"/>
  <c r="B83" i="17" s="1"/>
  <c r="B84" i="17" a="1"/>
  <c r="B84" i="17" s="1"/>
  <c r="B85" i="17" a="1"/>
  <c r="B85" i="17" s="1"/>
  <c r="B86" i="17" a="1"/>
  <c r="B86" i="17" s="1"/>
  <c r="B87" i="17" a="1"/>
  <c r="B87" i="17" s="1"/>
  <c r="B88" i="17" a="1"/>
  <c r="B88" i="17" s="1"/>
  <c r="B89" i="17" a="1"/>
  <c r="B89" i="17" s="1"/>
  <c r="B90" i="17" a="1"/>
  <c r="B90" i="17" s="1"/>
  <c r="B91" i="17" a="1"/>
  <c r="B91" i="17" s="1"/>
  <c r="B92" i="17" a="1"/>
  <c r="B92" i="17" s="1"/>
  <c r="B93" i="17" a="1"/>
  <c r="B93" i="17" s="1"/>
  <c r="B94" i="17" a="1"/>
  <c r="B94" i="17" s="1"/>
  <c r="B95" i="17" a="1"/>
  <c r="B95" i="17" s="1"/>
  <c r="B96" i="17" a="1"/>
  <c r="B96" i="17" s="1"/>
  <c r="B97" i="17" a="1"/>
  <c r="B97" i="17" s="1"/>
  <c r="B98" i="17" a="1"/>
  <c r="B98" i="17" s="1"/>
  <c r="B99" i="17" a="1"/>
  <c r="B99" i="17" s="1"/>
  <c r="B100" i="17" a="1"/>
  <c r="B100" i="17" s="1"/>
  <c r="D57" i="16"/>
  <c r="F62" i="6"/>
  <c r="V41" i="16"/>
  <c r="O41" i="16" s="1"/>
  <c r="V42" i="16"/>
  <c r="O42" i="16" s="1"/>
  <c r="V43" i="16"/>
  <c r="O43" i="16" s="1"/>
  <c r="V44" i="16"/>
  <c r="O44" i="16" s="1"/>
  <c r="V45" i="16"/>
  <c r="O45" i="16" s="1"/>
  <c r="V46" i="16"/>
  <c r="O46" i="16" s="1"/>
  <c r="V47" i="16"/>
  <c r="O47" i="16" s="1"/>
  <c r="V48" i="16"/>
  <c r="O48" i="16" s="1"/>
  <c r="V49" i="16"/>
  <c r="O49" i="16" s="1"/>
  <c r="V50" i="16"/>
  <c r="O50" i="16" s="1"/>
  <c r="V51" i="16"/>
  <c r="O51" i="16" s="1"/>
  <c r="V52" i="16"/>
  <c r="O52" i="16" s="1"/>
  <c r="V54" i="16"/>
  <c r="O54" i="16" s="1"/>
  <c r="AH41" i="16"/>
  <c r="AI41" i="16"/>
  <c r="AH42" i="16"/>
  <c r="AI42" i="16"/>
  <c r="AH43" i="16"/>
  <c r="AI43" i="16"/>
  <c r="AH44" i="16"/>
  <c r="AI44" i="16"/>
  <c r="AH45" i="16"/>
  <c r="AI45" i="16"/>
  <c r="AH46" i="16"/>
  <c r="AI46" i="16"/>
  <c r="AH47" i="16"/>
  <c r="AI47" i="16"/>
  <c r="AH48" i="16"/>
  <c r="AI48" i="16"/>
  <c r="AH49" i="16"/>
  <c r="AI49" i="16"/>
  <c r="AH50" i="16"/>
  <c r="AI50" i="16"/>
  <c r="AH51" i="16"/>
  <c r="AI51" i="16"/>
  <c r="AH52" i="16"/>
  <c r="AI52" i="16"/>
  <c r="AH53" i="16"/>
  <c r="AI53" i="16"/>
  <c r="AH54" i="16"/>
  <c r="AI54" i="16"/>
  <c r="AI40" i="16"/>
  <c r="AH40" i="16"/>
  <c r="AC39" i="16"/>
  <c r="U39" i="16" s="1"/>
  <c r="AB39" i="16"/>
  <c r="W39" i="16" s="1"/>
  <c r="Y39" i="16"/>
  <c r="X39" i="16"/>
  <c r="V39" i="16"/>
  <c r="S39" i="16"/>
  <c r="R39" i="6"/>
  <c r="Q39" i="6"/>
  <c r="L39" i="6" s="1"/>
  <c r="N39" i="6"/>
  <c r="M39" i="6"/>
  <c r="V4" i="16"/>
  <c r="V5" i="16"/>
  <c r="V6" i="16"/>
  <c r="V7" i="16"/>
  <c r="V8" i="16"/>
  <c r="V9" i="16"/>
  <c r="V10" i="16"/>
  <c r="V11" i="16"/>
  <c r="V12" i="16"/>
  <c r="V13" i="16"/>
  <c r="V14" i="16"/>
  <c r="V15" i="16"/>
  <c r="V16" i="16"/>
  <c r="V17" i="16"/>
  <c r="V18" i="16"/>
  <c r="V19" i="16"/>
  <c r="V20" i="16"/>
  <c r="V21" i="16"/>
  <c r="V22" i="16"/>
  <c r="V23" i="16"/>
  <c r="V24" i="16"/>
  <c r="V25" i="16"/>
  <c r="V26" i="16"/>
  <c r="V27" i="16"/>
  <c r="V28" i="16"/>
  <c r="V29" i="16"/>
  <c r="V30" i="16"/>
  <c r="V31" i="16"/>
  <c r="V32" i="16"/>
  <c r="V33" i="16"/>
  <c r="V34" i="16"/>
  <c r="V35" i="16"/>
  <c r="V36" i="16"/>
  <c r="V37" i="16"/>
  <c r="V38" i="16"/>
  <c r="U5" i="16"/>
  <c r="U6" i="16"/>
  <c r="U7" i="16"/>
  <c r="U8" i="16"/>
  <c r="U9" i="16"/>
  <c r="U10" i="16"/>
  <c r="U11" i="16"/>
  <c r="U12" i="16"/>
  <c r="U13" i="16"/>
  <c r="U14" i="16"/>
  <c r="U15" i="16"/>
  <c r="U16" i="16"/>
  <c r="U17" i="16"/>
  <c r="U18" i="16"/>
  <c r="U19" i="16"/>
  <c r="U20" i="16"/>
  <c r="U21" i="16"/>
  <c r="U22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35" i="16"/>
  <c r="U36" i="16"/>
  <c r="U37" i="16"/>
  <c r="U38" i="16"/>
  <c r="S4" i="16"/>
  <c r="S5" i="16"/>
  <c r="S6" i="16"/>
  <c r="S7" i="16"/>
  <c r="S8" i="16"/>
  <c r="S9" i="16"/>
  <c r="S10" i="16"/>
  <c r="S11" i="16"/>
  <c r="S12" i="16"/>
  <c r="S13" i="16"/>
  <c r="S14" i="16"/>
  <c r="S15" i="16"/>
  <c r="S16" i="16"/>
  <c r="S17" i="16"/>
  <c r="S18" i="16"/>
  <c r="S19" i="16"/>
  <c r="S20" i="16"/>
  <c r="S21" i="16"/>
  <c r="S22" i="16"/>
  <c r="S23" i="16"/>
  <c r="S24" i="16"/>
  <c r="S25" i="16"/>
  <c r="S26" i="16"/>
  <c r="S27" i="16"/>
  <c r="S28" i="16"/>
  <c r="S29" i="16"/>
  <c r="S30" i="16"/>
  <c r="S31" i="16"/>
  <c r="S32" i="16"/>
  <c r="S33" i="16"/>
  <c r="S34" i="16"/>
  <c r="S35" i="16"/>
  <c r="S36" i="16"/>
  <c r="S37" i="16"/>
  <c r="S38" i="16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AK54" i="16"/>
  <c r="AJ54" i="16"/>
  <c r="AC54" i="16"/>
  <c r="AB54" i="16"/>
  <c r="N54" i="16" s="1"/>
  <c r="AK53" i="16"/>
  <c r="AJ53" i="16"/>
  <c r="AC53" i="16"/>
  <c r="AB53" i="16"/>
  <c r="AK52" i="16"/>
  <c r="AJ52" i="16"/>
  <c r="AC52" i="16"/>
  <c r="AB52" i="16"/>
  <c r="N52" i="16" s="1"/>
  <c r="AK51" i="16"/>
  <c r="AJ51" i="16"/>
  <c r="AC51" i="16"/>
  <c r="AB51" i="16"/>
  <c r="N51" i="16" s="1"/>
  <c r="AK50" i="16"/>
  <c r="AJ50" i="16"/>
  <c r="AC50" i="16"/>
  <c r="AB50" i="16"/>
  <c r="AK49" i="16"/>
  <c r="AJ49" i="16"/>
  <c r="AC49" i="16"/>
  <c r="AB49" i="16"/>
  <c r="N49" i="16" s="1"/>
  <c r="AK48" i="16"/>
  <c r="AJ48" i="16"/>
  <c r="AC48" i="16"/>
  <c r="AB48" i="16"/>
  <c r="N48" i="16" s="1"/>
  <c r="AK47" i="16"/>
  <c r="AJ47" i="16"/>
  <c r="AC47" i="16"/>
  <c r="AB47" i="16"/>
  <c r="AK46" i="16"/>
  <c r="AJ46" i="16"/>
  <c r="AC46" i="16"/>
  <c r="AB46" i="16"/>
  <c r="N46" i="16" s="1"/>
  <c r="AK45" i="16"/>
  <c r="AJ45" i="16"/>
  <c r="AC45" i="16"/>
  <c r="AB45" i="16"/>
  <c r="N45" i="16" s="1"/>
  <c r="AK44" i="16"/>
  <c r="AJ44" i="16"/>
  <c r="AC44" i="16"/>
  <c r="AB44" i="16"/>
  <c r="AK43" i="16"/>
  <c r="AJ43" i="16"/>
  <c r="AC43" i="16"/>
  <c r="AB43" i="16"/>
  <c r="N43" i="16" s="1"/>
  <c r="AK42" i="16"/>
  <c r="AJ42" i="16"/>
  <c r="AC42" i="16"/>
  <c r="AB42" i="16"/>
  <c r="N42" i="16" s="1"/>
  <c r="AK41" i="16"/>
  <c r="AJ41" i="16"/>
  <c r="AC41" i="16"/>
  <c r="AB41" i="16"/>
  <c r="AK40" i="16"/>
  <c r="AJ40" i="16"/>
  <c r="AC40" i="16"/>
  <c r="AB40" i="16"/>
  <c r="AC38" i="16"/>
  <c r="AB38" i="16"/>
  <c r="Y38" i="16"/>
  <c r="X38" i="16"/>
  <c r="AC37" i="16"/>
  <c r="AB37" i="16"/>
  <c r="Y37" i="16"/>
  <c r="X37" i="16"/>
  <c r="AC36" i="16"/>
  <c r="AB36" i="16"/>
  <c r="Y36" i="16"/>
  <c r="X36" i="16"/>
  <c r="AC35" i="16"/>
  <c r="AB35" i="16"/>
  <c r="Y35" i="16"/>
  <c r="X35" i="16"/>
  <c r="AC34" i="16"/>
  <c r="AB34" i="16"/>
  <c r="Y34" i="16"/>
  <c r="X34" i="16"/>
  <c r="AC33" i="16"/>
  <c r="AB33" i="16"/>
  <c r="Y33" i="16"/>
  <c r="X33" i="16"/>
  <c r="W33" i="16" s="1"/>
  <c r="AG33" i="16" s="1"/>
  <c r="BM32" i="16"/>
  <c r="AC32" i="16"/>
  <c r="AB32" i="16"/>
  <c r="Y32" i="16"/>
  <c r="X32" i="16"/>
  <c r="BM31" i="16"/>
  <c r="AC31" i="16"/>
  <c r="AB31" i="16"/>
  <c r="Y31" i="16"/>
  <c r="X31" i="16"/>
  <c r="HA30" i="16"/>
  <c r="BM30" i="16"/>
  <c r="AC30" i="16"/>
  <c r="AB30" i="16"/>
  <c r="Y30" i="16"/>
  <c r="X30" i="16"/>
  <c r="BM29" i="16"/>
  <c r="AC29" i="16"/>
  <c r="AB29" i="16"/>
  <c r="Y29" i="16"/>
  <c r="X29" i="16"/>
  <c r="BM28" i="16"/>
  <c r="AC28" i="16"/>
  <c r="AB28" i="16"/>
  <c r="W28" i="16" s="1"/>
  <c r="Y28" i="16"/>
  <c r="X28" i="16"/>
  <c r="BM27" i="16"/>
  <c r="AC27" i="16"/>
  <c r="AB27" i="16"/>
  <c r="Y27" i="16"/>
  <c r="X27" i="16"/>
  <c r="BM26" i="16"/>
  <c r="AC26" i="16"/>
  <c r="AB26" i="16"/>
  <c r="Y26" i="16"/>
  <c r="X26" i="16"/>
  <c r="BM25" i="16"/>
  <c r="AC25" i="16"/>
  <c r="AB25" i="16"/>
  <c r="W25" i="16" s="1"/>
  <c r="Y25" i="16"/>
  <c r="X25" i="16"/>
  <c r="BM24" i="16"/>
  <c r="AC24" i="16"/>
  <c r="W24" i="16" s="1"/>
  <c r="AB24" i="16"/>
  <c r="Y24" i="16"/>
  <c r="X24" i="16"/>
  <c r="BM23" i="16"/>
  <c r="AC23" i="16"/>
  <c r="AB23" i="16"/>
  <c r="Y23" i="16"/>
  <c r="X23" i="16"/>
  <c r="BM22" i="16"/>
  <c r="AC22" i="16"/>
  <c r="AB22" i="16"/>
  <c r="Y22" i="16"/>
  <c r="X22" i="16"/>
  <c r="BM21" i="16"/>
  <c r="AC21" i="16"/>
  <c r="AB21" i="16"/>
  <c r="Y21" i="16"/>
  <c r="X21" i="16"/>
  <c r="BM20" i="16"/>
  <c r="AC20" i="16"/>
  <c r="AB20" i="16"/>
  <c r="Y20" i="16"/>
  <c r="X20" i="16"/>
  <c r="HB19" i="16"/>
  <c r="BM19" i="16"/>
  <c r="AC19" i="16"/>
  <c r="AB19" i="16"/>
  <c r="Y19" i="16"/>
  <c r="X19" i="16"/>
  <c r="HB18" i="16"/>
  <c r="BM18" i="16"/>
  <c r="AC18" i="16"/>
  <c r="AB18" i="16"/>
  <c r="Y18" i="16"/>
  <c r="X18" i="16"/>
  <c r="HB17" i="16"/>
  <c r="BM17" i="16"/>
  <c r="AC17" i="16"/>
  <c r="AB17" i="16"/>
  <c r="Y17" i="16"/>
  <c r="X17" i="16"/>
  <c r="HB16" i="16"/>
  <c r="BM16" i="16"/>
  <c r="AC16" i="16"/>
  <c r="AB16" i="16"/>
  <c r="Y16" i="16"/>
  <c r="X16" i="16"/>
  <c r="HB15" i="16"/>
  <c r="BM15" i="16"/>
  <c r="AC15" i="16"/>
  <c r="W15" i="16" s="1"/>
  <c r="AG15" i="16" s="1"/>
  <c r="AB15" i="16"/>
  <c r="Y15" i="16"/>
  <c r="X15" i="16"/>
  <c r="HB14" i="16"/>
  <c r="BM14" i="16"/>
  <c r="AC14" i="16"/>
  <c r="AB14" i="16"/>
  <c r="Y14" i="16"/>
  <c r="X14" i="16"/>
  <c r="HB13" i="16"/>
  <c r="BM13" i="16"/>
  <c r="AC13" i="16"/>
  <c r="AB13" i="16"/>
  <c r="Y13" i="16"/>
  <c r="X13" i="16"/>
  <c r="HB12" i="16"/>
  <c r="BM12" i="16"/>
  <c r="AC12" i="16"/>
  <c r="AB12" i="16"/>
  <c r="W12" i="16" s="1"/>
  <c r="Y12" i="16"/>
  <c r="X12" i="16"/>
  <c r="HB11" i="16"/>
  <c r="BM11" i="16"/>
  <c r="AC11" i="16"/>
  <c r="AB11" i="16"/>
  <c r="W11" i="16" s="1"/>
  <c r="Y11" i="16"/>
  <c r="X11" i="16"/>
  <c r="HB10" i="16"/>
  <c r="BM10" i="16"/>
  <c r="AC10" i="16"/>
  <c r="AB10" i="16"/>
  <c r="Y10" i="16"/>
  <c r="X10" i="16"/>
  <c r="HB9" i="16"/>
  <c r="BM9" i="16"/>
  <c r="AC9" i="16"/>
  <c r="AB9" i="16"/>
  <c r="W9" i="16" s="1"/>
  <c r="AG9" i="16" s="1"/>
  <c r="Y9" i="16"/>
  <c r="X9" i="16"/>
  <c r="HB8" i="16"/>
  <c r="BM8" i="16"/>
  <c r="AC8" i="16"/>
  <c r="AB8" i="16"/>
  <c r="Y8" i="16"/>
  <c r="X8" i="16"/>
  <c r="HB7" i="16"/>
  <c r="BM7" i="16"/>
  <c r="AC7" i="16"/>
  <c r="AB7" i="16"/>
  <c r="W7" i="16" s="1"/>
  <c r="AF7" i="16" s="1"/>
  <c r="Y7" i="16"/>
  <c r="X7" i="16"/>
  <c r="A7" i="16"/>
  <c r="G8" i="16" s="1"/>
  <c r="AN8" i="16" s="1"/>
  <c r="HB6" i="16"/>
  <c r="BM6" i="16"/>
  <c r="AC6" i="16"/>
  <c r="AB6" i="16"/>
  <c r="Y6" i="16"/>
  <c r="X6" i="16"/>
  <c r="HB5" i="16"/>
  <c r="BM5" i="16"/>
  <c r="AC5" i="16"/>
  <c r="AB5" i="16"/>
  <c r="W5" i="16" s="1"/>
  <c r="Y5" i="16"/>
  <c r="X5" i="16"/>
  <c r="BM4" i="16"/>
  <c r="AC4" i="16"/>
  <c r="AB4" i="16"/>
  <c r="Y4" i="16"/>
  <c r="X4" i="16"/>
  <c r="A7" i="6"/>
  <c r="G39" i="6" s="1"/>
  <c r="AD24" i="11" a="1"/>
  <c r="AD24" i="11" s="1"/>
  <c r="AE24" i="11" a="1"/>
  <c r="AE24" i="11" s="1"/>
  <c r="AF24" i="11" a="1"/>
  <c r="AF24" i="11" s="1"/>
  <c r="AG24" i="11" a="1"/>
  <c r="AG24" i="11" s="1"/>
  <c r="AD25" i="11" a="1"/>
  <c r="AD25" i="11" s="1"/>
  <c r="AE25" i="11" a="1"/>
  <c r="AE25" i="11" s="1"/>
  <c r="AF25" i="11" a="1"/>
  <c r="AF25" i="11" s="1"/>
  <c r="AG25" i="11" a="1"/>
  <c r="AG25" i="11" s="1"/>
  <c r="B6" i="17" a="1"/>
  <c r="B5" i="17" a="1"/>
  <c r="B4" i="17" a="1"/>
  <c r="B6" i="17" l="1"/>
  <c r="B5" i="17"/>
  <c r="B4" i="17"/>
  <c r="X46" i="19"/>
  <c r="S46" i="19"/>
  <c r="FU25" i="21"/>
  <c r="DG5" i="21"/>
  <c r="FU4" i="21"/>
  <c r="DK4" i="21"/>
  <c r="GH5" i="21"/>
  <c r="CY5" i="21"/>
  <c r="FO4" i="21"/>
  <c r="DE4" i="21"/>
  <c r="FV5" i="21"/>
  <c r="EY4" i="21"/>
  <c r="CY4" i="21"/>
  <c r="EZ5" i="21"/>
  <c r="ES4" i="21"/>
  <c r="AM17" i="16"/>
  <c r="CY4" i="19"/>
  <c r="EP4" i="19"/>
  <c r="DR5" i="19"/>
  <c r="FV5" i="19"/>
  <c r="DB6" i="19"/>
  <c r="AM8" i="19"/>
  <c r="CZ8" i="19"/>
  <c r="AA9" i="19"/>
  <c r="AE9" i="19"/>
  <c r="GD9" i="19"/>
  <c r="AM10" i="19"/>
  <c r="AD13" i="19"/>
  <c r="AD16" i="19"/>
  <c r="EG5" i="19" s="1"/>
  <c r="AD21" i="19"/>
  <c r="AD23" i="19"/>
  <c r="Z26" i="19"/>
  <c r="AE34" i="19"/>
  <c r="AA38" i="19"/>
  <c r="AA13" i="20"/>
  <c r="Z15" i="20"/>
  <c r="AA15" i="20" s="1"/>
  <c r="AM19" i="20"/>
  <c r="AE19" i="20"/>
  <c r="AD19" i="20"/>
  <c r="Z34" i="20"/>
  <c r="AA34" i="20" s="1"/>
  <c r="AM35" i="20"/>
  <c r="DQ4" i="21"/>
  <c r="EN5" i="21"/>
  <c r="AM12" i="21"/>
  <c r="AE12" i="21"/>
  <c r="AD12" i="21"/>
  <c r="AM22" i="21"/>
  <c r="AA43" i="21"/>
  <c r="Z43" i="21"/>
  <c r="T43" i="21"/>
  <c r="AA8" i="22"/>
  <c r="AL12" i="22"/>
  <c r="AE12" i="22"/>
  <c r="AM33" i="22"/>
  <c r="Z34" i="22"/>
  <c r="AA34" i="22" s="1"/>
  <c r="AA41" i="22"/>
  <c r="T41" i="22"/>
  <c r="Z41" i="22"/>
  <c r="AL47" i="22"/>
  <c r="X48" i="22"/>
  <c r="S48" i="22"/>
  <c r="Y48" i="22"/>
  <c r="X50" i="22"/>
  <c r="S50" i="22"/>
  <c r="Y50" i="22"/>
  <c r="X52" i="22"/>
  <c r="S52" i="22"/>
  <c r="Y52" i="22"/>
  <c r="Y46" i="19"/>
  <c r="X50" i="19"/>
  <c r="S50" i="19"/>
  <c r="Y50" i="19"/>
  <c r="AA41" i="20"/>
  <c r="T41" i="20"/>
  <c r="Z41" i="20"/>
  <c r="BF4" i="21"/>
  <c r="AL17" i="21"/>
  <c r="Z17" i="21"/>
  <c r="AA17" i="21" s="1"/>
  <c r="AE17" i="21"/>
  <c r="AD17" i="21"/>
  <c r="AA48" i="22"/>
  <c r="T48" i="22"/>
  <c r="Z48" i="22"/>
  <c r="AE4" i="19"/>
  <c r="GD4" i="19"/>
  <c r="AD5" i="19"/>
  <c r="FV7" i="19"/>
  <c r="BI5" i="20"/>
  <c r="DR5" i="21"/>
  <c r="AM17" i="21"/>
  <c r="X48" i="21"/>
  <c r="S48" i="21"/>
  <c r="Y48" i="21"/>
  <c r="Z43" i="22"/>
  <c r="AA43" i="22"/>
  <c r="G39" i="16"/>
  <c r="AN39" i="16" s="1"/>
  <c r="DB4" i="19"/>
  <c r="EV4" i="19"/>
  <c r="BI5" i="19"/>
  <c r="EH5" i="19"/>
  <c r="GD5" i="19"/>
  <c r="AD6" i="19"/>
  <c r="DJ6" i="19"/>
  <c r="G8" i="19"/>
  <c r="AN8" i="19" s="1"/>
  <c r="AD8" i="19"/>
  <c r="DR8" i="19"/>
  <c r="AD12" i="19"/>
  <c r="EU20" i="19" s="1"/>
  <c r="AE16" i="19"/>
  <c r="AM20" i="19"/>
  <c r="Z40" i="19"/>
  <c r="AM41" i="19"/>
  <c r="Z42" i="19"/>
  <c r="AA52" i="19"/>
  <c r="T52" i="19"/>
  <c r="Z52" i="19"/>
  <c r="CW4" i="20"/>
  <c r="AM36" i="20"/>
  <c r="AE36" i="20"/>
  <c r="AD36" i="20"/>
  <c r="EV21" i="20" s="1"/>
  <c r="AA48" i="20"/>
  <c r="T48" i="20"/>
  <c r="Z48" i="20"/>
  <c r="EM4" i="21"/>
  <c r="G20" i="21"/>
  <c r="AN20" i="21" s="1"/>
  <c r="G4" i="21"/>
  <c r="AN4" i="21" s="1"/>
  <c r="G8" i="21"/>
  <c r="AN8" i="21" s="1"/>
  <c r="AM25" i="21"/>
  <c r="Z25" i="21"/>
  <c r="AA25" i="21" s="1"/>
  <c r="AE25" i="21"/>
  <c r="AD25" i="21"/>
  <c r="DH9" i="19"/>
  <c r="AL14" i="22"/>
  <c r="AE14" i="22"/>
  <c r="AD14" i="22"/>
  <c r="EJ4" i="19"/>
  <c r="FP5" i="19"/>
  <c r="AA12" i="19"/>
  <c r="AM19" i="19"/>
  <c r="AD27" i="20"/>
  <c r="AM32" i="20"/>
  <c r="AL32" i="20"/>
  <c r="Z46" i="20"/>
  <c r="AA46" i="20"/>
  <c r="AL9" i="22"/>
  <c r="AM9" i="22"/>
  <c r="BJ7" i="19"/>
  <c r="DH4" i="19"/>
  <c r="FL4" i="19"/>
  <c r="EN5" i="19"/>
  <c r="EP6" i="19"/>
  <c r="DF7" i="19"/>
  <c r="AA8" i="19"/>
  <c r="AE8" i="19"/>
  <c r="G12" i="19"/>
  <c r="AN12" i="19" s="1"/>
  <c r="AD15" i="19"/>
  <c r="FA26" i="19" s="1"/>
  <c r="AD18" i="19"/>
  <c r="AM22" i="19"/>
  <c r="AL44" i="19"/>
  <c r="AM44" i="19"/>
  <c r="AA50" i="19"/>
  <c r="T50" i="19"/>
  <c r="Z50" i="19"/>
  <c r="AA16" i="20"/>
  <c r="AE20" i="20"/>
  <c r="AL26" i="20"/>
  <c r="AE26" i="20"/>
  <c r="AD26" i="20"/>
  <c r="EZ24" i="20" s="1"/>
  <c r="AE38" i="20"/>
  <c r="Z38" i="20"/>
  <c r="AA38" i="20" s="1"/>
  <c r="AL39" i="20"/>
  <c r="AM39" i="20"/>
  <c r="AD39" i="20"/>
  <c r="GC4" i="21"/>
  <c r="G6" i="21"/>
  <c r="AN6" i="21" s="1"/>
  <c r="G7" i="21"/>
  <c r="AN7" i="21" s="1"/>
  <c r="AL13" i="21"/>
  <c r="Z13" i="21"/>
  <c r="AE13" i="21"/>
  <c r="AM16" i="21"/>
  <c r="AL16" i="21"/>
  <c r="AA19" i="21"/>
  <c r="AM33" i="21"/>
  <c r="Z34" i="21"/>
  <c r="AA34" i="21" s="1"/>
  <c r="X41" i="21"/>
  <c r="S41" i="21"/>
  <c r="Y41" i="21"/>
  <c r="AL42" i="21"/>
  <c r="Y43" i="21"/>
  <c r="S43" i="21"/>
  <c r="AD15" i="22"/>
  <c r="Z21" i="22"/>
  <c r="AA21" i="22" s="1"/>
  <c r="AA23" i="22"/>
  <c r="AL24" i="22"/>
  <c r="AM40" i="22"/>
  <c r="X41" i="22"/>
  <c r="S41" i="22"/>
  <c r="Y53" i="22"/>
  <c r="AE38" i="22"/>
  <c r="Z38" i="22"/>
  <c r="AA38" i="22" s="1"/>
  <c r="AD38" i="22"/>
  <c r="AA50" i="22"/>
  <c r="T50" i="22"/>
  <c r="Z50" i="22"/>
  <c r="CV4" i="19"/>
  <c r="AD9" i="19"/>
  <c r="AE14" i="19"/>
  <c r="AM23" i="19"/>
  <c r="AA47" i="19"/>
  <c r="Z47" i="19"/>
  <c r="T47" i="19"/>
  <c r="DH21" i="19"/>
  <c r="BI4" i="19"/>
  <c r="BW4" i="19" s="1"/>
  <c r="DN4" i="19"/>
  <c r="FR4" i="19"/>
  <c r="AL5" i="19"/>
  <c r="CZ5" i="19"/>
  <c r="ET5" i="19"/>
  <c r="FL6" i="19"/>
  <c r="AL7" i="19"/>
  <c r="DR7" i="19"/>
  <c r="FV8" i="19"/>
  <c r="AL9" i="19"/>
  <c r="AM13" i="19"/>
  <c r="AL14" i="19"/>
  <c r="Z34" i="19"/>
  <c r="AA34" i="19" s="1"/>
  <c r="AM40" i="19"/>
  <c r="AM42" i="19"/>
  <c r="AA46" i="19"/>
  <c r="T46" i="19"/>
  <c r="Z46" i="19"/>
  <c r="AM50" i="19"/>
  <c r="AM54" i="19"/>
  <c r="AL14" i="20"/>
  <c r="AM24" i="20"/>
  <c r="AL24" i="20"/>
  <c r="Z27" i="20"/>
  <c r="AA27" i="20" s="1"/>
  <c r="AM47" i="20"/>
  <c r="X48" i="20"/>
  <c r="S48" i="20"/>
  <c r="Y48" i="20"/>
  <c r="BJ17" i="21"/>
  <c r="BJ5" i="21"/>
  <c r="FA5" i="21"/>
  <c r="AM46" i="21"/>
  <c r="AA48" i="21"/>
  <c r="T48" i="21"/>
  <c r="Z48" i="21"/>
  <c r="AE28" i="22"/>
  <c r="AM49" i="19"/>
  <c r="S52" i="19"/>
  <c r="AE4" i="20"/>
  <c r="ED5" i="20" s="1"/>
  <c r="AA17" i="20"/>
  <c r="AE17" i="20"/>
  <c r="AM26" i="20"/>
  <c r="AE27" i="20"/>
  <c r="AL29" i="20"/>
  <c r="S41" i="20"/>
  <c r="T43" i="20"/>
  <c r="Z43" i="20"/>
  <c r="T49" i="20"/>
  <c r="Z49" i="20"/>
  <c r="T53" i="20"/>
  <c r="Z53" i="20"/>
  <c r="DI7" i="21"/>
  <c r="DB20" i="21"/>
  <c r="S44" i="21"/>
  <c r="AM44" i="21"/>
  <c r="AM45" i="21"/>
  <c r="T49" i="21"/>
  <c r="Z49" i="21"/>
  <c r="AM51" i="21"/>
  <c r="G4" i="22"/>
  <c r="AN4" i="22" s="1"/>
  <c r="EP17" i="22"/>
  <c r="AM11" i="22"/>
  <c r="Z12" i="22"/>
  <c r="AA12" i="22" s="1"/>
  <c r="AM14" i="22"/>
  <c r="Z29" i="22"/>
  <c r="AA29" i="22" s="1"/>
  <c r="AM34" i="22"/>
  <c r="AM42" i="22"/>
  <c r="X43" i="22"/>
  <c r="AM46" i="22"/>
  <c r="AA53" i="22"/>
  <c r="AM43" i="19"/>
  <c r="DF16" i="20"/>
  <c r="EQ4" i="20"/>
  <c r="AD6" i="20"/>
  <c r="Z12" i="20"/>
  <c r="AA12" i="20" s="1"/>
  <c r="AD13" i="20"/>
  <c r="Z25" i="20"/>
  <c r="AM37" i="20"/>
  <c r="AL42" i="20"/>
  <c r="AM42" i="20"/>
  <c r="AM45" i="20"/>
  <c r="AM46" i="20"/>
  <c r="AA50" i="20"/>
  <c r="AM51" i="20"/>
  <c r="AA52" i="20"/>
  <c r="AA54" i="20"/>
  <c r="AL6" i="21"/>
  <c r="AL23" i="21"/>
  <c r="Z24" i="21"/>
  <c r="AM36" i="21"/>
  <c r="X47" i="21"/>
  <c r="AL50" i="21"/>
  <c r="AM50" i="21"/>
  <c r="AM52" i="21"/>
  <c r="G9" i="22"/>
  <c r="AN9" i="22" s="1"/>
  <c r="AL21" i="22"/>
  <c r="AL41" i="22"/>
  <c r="Y43" i="22"/>
  <c r="Y54" i="22"/>
  <c r="AM46" i="19"/>
  <c r="AL51" i="19"/>
  <c r="AM51" i="19"/>
  <c r="AM52" i="19"/>
  <c r="FS4" i="20"/>
  <c r="AL12" i="20"/>
  <c r="AE13" i="20"/>
  <c r="AM41" i="20"/>
  <c r="AM49" i="20"/>
  <c r="AM50" i="20"/>
  <c r="AM52" i="20"/>
  <c r="AM54" i="20"/>
  <c r="AE5" i="21"/>
  <c r="AA9" i="21"/>
  <c r="AM11" i="21"/>
  <c r="Z18" i="21"/>
  <c r="AM19" i="21"/>
  <c r="AM20" i="21"/>
  <c r="Z23" i="21"/>
  <c r="AA23" i="21" s="1"/>
  <c r="AE24" i="21"/>
  <c r="AD29" i="21"/>
  <c r="AD4" i="22"/>
  <c r="G8" i="22"/>
  <c r="AN8" i="22" s="1"/>
  <c r="Z10" i="22"/>
  <c r="AA10" i="22" s="1"/>
  <c r="AL11" i="22"/>
  <c r="AM13" i="22"/>
  <c r="AD16" i="22"/>
  <c r="G17" i="22"/>
  <c r="AN17" i="22" s="1"/>
  <c r="AM18" i="22"/>
  <c r="AE20" i="22"/>
  <c r="EM15" i="22" s="1"/>
  <c r="AD25" i="22"/>
  <c r="AD27" i="22"/>
  <c r="AM32" i="22"/>
  <c r="AD36" i="22"/>
  <c r="AM37" i="22"/>
  <c r="AM41" i="22"/>
  <c r="AL45" i="22"/>
  <c r="AA54" i="22"/>
  <c r="AM53" i="19"/>
  <c r="AM4" i="20"/>
  <c r="BJ4" i="20"/>
  <c r="AE15" i="20"/>
  <c r="EZ27" i="20" s="1"/>
  <c r="AM17" i="20"/>
  <c r="AL20" i="20"/>
  <c r="AL27" i="20"/>
  <c r="AE34" i="20"/>
  <c r="AM40" i="20"/>
  <c r="AM44" i="20"/>
  <c r="AL48" i="20"/>
  <c r="Z10" i="21"/>
  <c r="AM43" i="21"/>
  <c r="AL48" i="21"/>
  <c r="AL15" i="22"/>
  <c r="AL26" i="22"/>
  <c r="AA36" i="22"/>
  <c r="AM45" i="22"/>
  <c r="AM50" i="22"/>
  <c r="AM54" i="22"/>
  <c r="P39" i="21"/>
  <c r="P39" i="20"/>
  <c r="P39" i="22"/>
  <c r="P39" i="19"/>
  <c r="AD5" i="22"/>
  <c r="W5" i="22"/>
  <c r="W4" i="22"/>
  <c r="AE4" i="22"/>
  <c r="ED5" i="22" s="1"/>
  <c r="BW6" i="22"/>
  <c r="DS13" i="22"/>
  <c r="DF4" i="22"/>
  <c r="AL6" i="22"/>
  <c r="AE6" i="22"/>
  <c r="AM6" i="22"/>
  <c r="Z6" i="22"/>
  <c r="AA6" i="22" s="1"/>
  <c r="AD6" i="22"/>
  <c r="DB8" i="22"/>
  <c r="CX18" i="22"/>
  <c r="FO6" i="22"/>
  <c r="DN8" i="22"/>
  <c r="DE10" i="22"/>
  <c r="DR14" i="22"/>
  <c r="CX16" i="22"/>
  <c r="DM4" i="22"/>
  <c r="ES4" i="22"/>
  <c r="FX4" i="22"/>
  <c r="BJ6" i="22"/>
  <c r="BK6" i="22" s="1"/>
  <c r="BV6" i="22" s="1"/>
  <c r="BJ7" i="22"/>
  <c r="BJ5" i="22"/>
  <c r="BI12" i="22"/>
  <c r="BJ11" i="22"/>
  <c r="BI7" i="22"/>
  <c r="BI5" i="22"/>
  <c r="BI9" i="22"/>
  <c r="BI11" i="22"/>
  <c r="EQ5" i="22"/>
  <c r="GA6" i="22"/>
  <c r="EK7" i="22"/>
  <c r="FZ9" i="22"/>
  <c r="DQ10" i="22"/>
  <c r="DL11" i="22"/>
  <c r="FT16" i="22"/>
  <c r="BF32" i="22"/>
  <c r="BF31" i="22"/>
  <c r="BF30" i="22"/>
  <c r="GG27" i="22"/>
  <c r="GA27" i="22"/>
  <c r="FU27" i="22"/>
  <c r="FO27" i="22"/>
  <c r="EY27" i="22"/>
  <c r="ES27" i="22"/>
  <c r="EM27" i="22"/>
  <c r="EG27" i="22"/>
  <c r="DQ27" i="22"/>
  <c r="DK27" i="22"/>
  <c r="DE27" i="22"/>
  <c r="CY27" i="22"/>
  <c r="GF26" i="22"/>
  <c r="FZ26" i="22"/>
  <c r="FT26" i="22"/>
  <c r="FN26" i="22"/>
  <c r="EX26" i="22"/>
  <c r="ER26" i="22"/>
  <c r="EL26" i="22"/>
  <c r="EF26" i="22"/>
  <c r="DP26" i="22"/>
  <c r="DJ26" i="22"/>
  <c r="DD26" i="22"/>
  <c r="CX26" i="22"/>
  <c r="GF27" i="22"/>
  <c r="FZ27" i="22"/>
  <c r="FT27" i="22"/>
  <c r="FN27" i="22"/>
  <c r="ER27" i="22"/>
  <c r="EL27" i="22"/>
  <c r="EF27" i="22"/>
  <c r="DP27" i="22"/>
  <c r="DJ27" i="22"/>
  <c r="DD27" i="22"/>
  <c r="CX27" i="22"/>
  <c r="GE26" i="22"/>
  <c r="FY26" i="22"/>
  <c r="FS26" i="22"/>
  <c r="FM26" i="22"/>
  <c r="EW26" i="22"/>
  <c r="EQ26" i="22"/>
  <c r="EK26" i="22"/>
  <c r="EE26" i="22"/>
  <c r="DO26" i="22"/>
  <c r="DI26" i="22"/>
  <c r="DC26" i="22"/>
  <c r="CW26" i="22"/>
  <c r="GE25" i="22"/>
  <c r="FY25" i="22"/>
  <c r="FS25" i="22"/>
  <c r="FM25" i="22"/>
  <c r="EW25" i="22"/>
  <c r="EQ25" i="22"/>
  <c r="EK25" i="22"/>
  <c r="EE25" i="22"/>
  <c r="DO25" i="22"/>
  <c r="DI25" i="22"/>
  <c r="DC25" i="22"/>
  <c r="CW25" i="22"/>
  <c r="GE27" i="22"/>
  <c r="FY27" i="22"/>
  <c r="FS27" i="22"/>
  <c r="FM27" i="22"/>
  <c r="EW27" i="22"/>
  <c r="EQ27" i="22"/>
  <c r="EK27" i="22"/>
  <c r="EE27" i="22"/>
  <c r="DO27" i="22"/>
  <c r="DI27" i="22"/>
  <c r="DC27" i="22"/>
  <c r="CW27" i="22"/>
  <c r="GD26" i="22"/>
  <c r="FX26" i="22"/>
  <c r="FR26" i="22"/>
  <c r="FL26" i="22"/>
  <c r="EV26" i="22"/>
  <c r="EP26" i="22"/>
  <c r="EJ26" i="22"/>
  <c r="ED26" i="22"/>
  <c r="DN26" i="22"/>
  <c r="DH26" i="22"/>
  <c r="DB26" i="22"/>
  <c r="CV26" i="22"/>
  <c r="GD25" i="22"/>
  <c r="FX25" i="22"/>
  <c r="FR25" i="22"/>
  <c r="GD27" i="22"/>
  <c r="FX27" i="22"/>
  <c r="FR27" i="22"/>
  <c r="FL27" i="22"/>
  <c r="EV27" i="22"/>
  <c r="EP27" i="22"/>
  <c r="EJ27" i="22"/>
  <c r="ED27" i="22"/>
  <c r="DN27" i="22"/>
  <c r="DH27" i="22"/>
  <c r="DB27" i="22"/>
  <c r="CV27" i="22"/>
  <c r="GI26" i="22"/>
  <c r="GC26" i="22"/>
  <c r="FW26" i="22"/>
  <c r="FQ26" i="22"/>
  <c r="FA26" i="22"/>
  <c r="EU26" i="22"/>
  <c r="EO26" i="22"/>
  <c r="EI26" i="22"/>
  <c r="DS26" i="22"/>
  <c r="DM26" i="22"/>
  <c r="DG26" i="22"/>
  <c r="DA26" i="22"/>
  <c r="GI25" i="22"/>
  <c r="GC25" i="22"/>
  <c r="FW25" i="22"/>
  <c r="FQ25" i="22"/>
  <c r="FA25" i="22"/>
  <c r="EU25" i="22"/>
  <c r="EO25" i="22"/>
  <c r="EI25" i="22"/>
  <c r="DS25" i="22"/>
  <c r="DM25" i="22"/>
  <c r="DG25" i="22"/>
  <c r="DA25" i="22"/>
  <c r="GB27" i="22"/>
  <c r="EH27" i="22"/>
  <c r="DF27" i="22"/>
  <c r="BF27" i="22"/>
  <c r="GH26" i="22"/>
  <c r="FP26" i="22"/>
  <c r="EN26" i="22"/>
  <c r="DL26" i="22"/>
  <c r="GB25" i="22"/>
  <c r="FP25" i="22"/>
  <c r="EX25" i="22"/>
  <c r="EN25" i="22"/>
  <c r="EF25" i="22"/>
  <c r="DL25" i="22"/>
  <c r="DD25" i="22"/>
  <c r="BF25" i="22"/>
  <c r="GD24" i="22"/>
  <c r="FX24" i="22"/>
  <c r="FR24" i="22"/>
  <c r="FL24" i="22"/>
  <c r="EV24" i="22"/>
  <c r="EP24" i="22"/>
  <c r="EJ24" i="22"/>
  <c r="ED24" i="22"/>
  <c r="DN24" i="22"/>
  <c r="DH24" i="22"/>
  <c r="DB24" i="22"/>
  <c r="CV24" i="22"/>
  <c r="GI23" i="22"/>
  <c r="GC23" i="22"/>
  <c r="FW23" i="22"/>
  <c r="FQ23" i="22"/>
  <c r="FA23" i="22"/>
  <c r="EO23" i="22"/>
  <c r="EI23" i="22"/>
  <c r="DS23" i="22"/>
  <c r="DM23" i="22"/>
  <c r="DG23" i="22"/>
  <c r="DA23" i="22"/>
  <c r="FW27" i="22"/>
  <c r="EU27" i="22"/>
  <c r="DS27" i="22"/>
  <c r="DA27" i="22"/>
  <c r="GG26" i="22"/>
  <c r="FO26" i="22"/>
  <c r="EM26" i="22"/>
  <c r="DK26" i="22"/>
  <c r="GA25" i="22"/>
  <c r="FO25" i="22"/>
  <c r="EV25" i="22"/>
  <c r="EM25" i="22"/>
  <c r="ED25" i="22"/>
  <c r="DK25" i="22"/>
  <c r="DB25" i="22"/>
  <c r="GI24" i="22"/>
  <c r="GC24" i="22"/>
  <c r="FW24" i="22"/>
  <c r="FQ24" i="22"/>
  <c r="EU24" i="22"/>
  <c r="EO24" i="22"/>
  <c r="EI24" i="22"/>
  <c r="DS24" i="22"/>
  <c r="DM24" i="22"/>
  <c r="DG24" i="22"/>
  <c r="DA24" i="22"/>
  <c r="GH23" i="22"/>
  <c r="GB23" i="22"/>
  <c r="FV23" i="22"/>
  <c r="FP23" i="22"/>
  <c r="EZ23" i="22"/>
  <c r="EN23" i="22"/>
  <c r="EH23" i="22"/>
  <c r="DR23" i="22"/>
  <c r="FV27" i="22"/>
  <c r="ET27" i="22"/>
  <c r="DR27" i="22"/>
  <c r="CZ27" i="22"/>
  <c r="GB26" i="22"/>
  <c r="EZ26" i="22"/>
  <c r="EH26" i="22"/>
  <c r="DF26" i="22"/>
  <c r="FZ25" i="22"/>
  <c r="FN25" i="22"/>
  <c r="ET25" i="22"/>
  <c r="EL25" i="22"/>
  <c r="DR25" i="22"/>
  <c r="DJ25" i="22"/>
  <c r="CZ25" i="22"/>
  <c r="GH24" i="22"/>
  <c r="GB24" i="22"/>
  <c r="FV24" i="22"/>
  <c r="FP24" i="22"/>
  <c r="ET24" i="22"/>
  <c r="EN24" i="22"/>
  <c r="EH24" i="22"/>
  <c r="DR24" i="22"/>
  <c r="DL24" i="22"/>
  <c r="DF24" i="22"/>
  <c r="CZ24" i="22"/>
  <c r="BF24" i="22"/>
  <c r="GG23" i="22"/>
  <c r="GA23" i="22"/>
  <c r="FU23" i="22"/>
  <c r="FO23" i="22"/>
  <c r="EY23" i="22"/>
  <c r="ES23" i="22"/>
  <c r="EM23" i="22"/>
  <c r="EG23" i="22"/>
  <c r="DQ23" i="22"/>
  <c r="DK23" i="22"/>
  <c r="DE23" i="22"/>
  <c r="CY23" i="22"/>
  <c r="GF22" i="22"/>
  <c r="FZ22" i="22"/>
  <c r="FT22" i="22"/>
  <c r="FN22" i="22"/>
  <c r="EX22" i="22"/>
  <c r="ER22" i="22"/>
  <c r="EL22" i="22"/>
  <c r="EF22" i="22"/>
  <c r="DP22" i="22"/>
  <c r="DJ22" i="22"/>
  <c r="DD22" i="22"/>
  <c r="CX22" i="22"/>
  <c r="GI27" i="22"/>
  <c r="FQ27" i="22"/>
  <c r="EO27" i="22"/>
  <c r="DM27" i="22"/>
  <c r="GA26" i="22"/>
  <c r="EY26" i="22"/>
  <c r="EG26" i="22"/>
  <c r="DE26" i="22"/>
  <c r="GH25" i="22"/>
  <c r="FV25" i="22"/>
  <c r="FL25" i="22"/>
  <c r="ES25" i="22"/>
  <c r="EJ25" i="22"/>
  <c r="DQ25" i="22"/>
  <c r="DH25" i="22"/>
  <c r="CY25" i="22"/>
  <c r="GG24" i="22"/>
  <c r="GA24" i="22"/>
  <c r="FU24" i="22"/>
  <c r="FO24" i="22"/>
  <c r="EY24" i="22"/>
  <c r="ES24" i="22"/>
  <c r="EM24" i="22"/>
  <c r="EG24" i="22"/>
  <c r="DQ24" i="22"/>
  <c r="DK24" i="22"/>
  <c r="DE24" i="22"/>
  <c r="CY24" i="22"/>
  <c r="GF23" i="22"/>
  <c r="FZ23" i="22"/>
  <c r="FT23" i="22"/>
  <c r="FN23" i="22"/>
  <c r="EX23" i="22"/>
  <c r="ER23" i="22"/>
  <c r="EL23" i="22"/>
  <c r="EF23" i="22"/>
  <c r="DP23" i="22"/>
  <c r="DJ23" i="22"/>
  <c r="DD23" i="22"/>
  <c r="CX23" i="22"/>
  <c r="GE22" i="22"/>
  <c r="FY22" i="22"/>
  <c r="FS22" i="22"/>
  <c r="FM22" i="22"/>
  <c r="EQ22" i="22"/>
  <c r="EK22" i="22"/>
  <c r="EE22" i="22"/>
  <c r="DO22" i="22"/>
  <c r="DI22" i="22"/>
  <c r="DC22" i="22"/>
  <c r="CW22" i="22"/>
  <c r="EN27" i="22"/>
  <c r="FV26" i="22"/>
  <c r="CZ26" i="22"/>
  <c r="BF26" i="22"/>
  <c r="GF25" i="22"/>
  <c r="EP25" i="22"/>
  <c r="DE25" i="22"/>
  <c r="FY24" i="22"/>
  <c r="EW24" i="22"/>
  <c r="EE24" i="22"/>
  <c r="DC24" i="22"/>
  <c r="GE23" i="22"/>
  <c r="FM23" i="22"/>
  <c r="EK23" i="22"/>
  <c r="DL23" i="22"/>
  <c r="CZ23" i="22"/>
  <c r="GH22" i="22"/>
  <c r="FX22" i="22"/>
  <c r="FP22" i="22"/>
  <c r="EV22" i="22"/>
  <c r="EN22" i="22"/>
  <c r="ED22" i="22"/>
  <c r="DL22" i="22"/>
  <c r="DB22" i="22"/>
  <c r="BF22" i="22"/>
  <c r="GH21" i="22"/>
  <c r="GB21" i="22"/>
  <c r="FV21" i="22"/>
  <c r="FP21" i="22"/>
  <c r="EZ21" i="22"/>
  <c r="ET21" i="22"/>
  <c r="EN21" i="22"/>
  <c r="EH21" i="22"/>
  <c r="DR21" i="22"/>
  <c r="DL21" i="22"/>
  <c r="DF21" i="22"/>
  <c r="CZ21" i="22"/>
  <c r="BF21" i="22"/>
  <c r="GG20" i="22"/>
  <c r="GA20" i="22"/>
  <c r="FU20" i="22"/>
  <c r="FO20" i="22"/>
  <c r="EY20" i="22"/>
  <c r="ES20" i="22"/>
  <c r="EM20" i="22"/>
  <c r="EG20" i="22"/>
  <c r="DQ20" i="22"/>
  <c r="DK20" i="22"/>
  <c r="DE20" i="22"/>
  <c r="CY20" i="22"/>
  <c r="GH19" i="22"/>
  <c r="GB19" i="22"/>
  <c r="FV19" i="22"/>
  <c r="FP19" i="22"/>
  <c r="EZ19" i="22"/>
  <c r="ET19" i="22"/>
  <c r="EN19" i="22"/>
  <c r="EH19" i="22"/>
  <c r="DR19" i="22"/>
  <c r="DL19" i="22"/>
  <c r="DF19" i="22"/>
  <c r="CZ19" i="22"/>
  <c r="EI27" i="22"/>
  <c r="FU26" i="22"/>
  <c r="CY26" i="22"/>
  <c r="FU25" i="22"/>
  <c r="EH25" i="22"/>
  <c r="CX25" i="22"/>
  <c r="FT24" i="22"/>
  <c r="ER24" i="22"/>
  <c r="DP24" i="22"/>
  <c r="CX24" i="22"/>
  <c r="GD23" i="22"/>
  <c r="FL23" i="22"/>
  <c r="EJ23" i="22"/>
  <c r="DI23" i="22"/>
  <c r="CW23" i="22"/>
  <c r="GG22" i="22"/>
  <c r="FW22" i="22"/>
  <c r="FO22" i="22"/>
  <c r="EU22" i="22"/>
  <c r="EM22" i="22"/>
  <c r="DS22" i="22"/>
  <c r="DK22" i="22"/>
  <c r="DA22" i="22"/>
  <c r="GG21" i="22"/>
  <c r="GA21" i="22"/>
  <c r="FU21" i="22"/>
  <c r="FO21" i="22"/>
  <c r="EY21" i="22"/>
  <c r="ES21" i="22"/>
  <c r="EM21" i="22"/>
  <c r="EG21" i="22"/>
  <c r="DQ21" i="22"/>
  <c r="DK21" i="22"/>
  <c r="DE21" i="22"/>
  <c r="CY21" i="22"/>
  <c r="GF20" i="22"/>
  <c r="FZ20" i="22"/>
  <c r="FT20" i="22"/>
  <c r="FN20" i="22"/>
  <c r="EX20" i="22"/>
  <c r="ER20" i="22"/>
  <c r="EL20" i="22"/>
  <c r="EF20" i="22"/>
  <c r="DP20" i="22"/>
  <c r="DJ20" i="22"/>
  <c r="DD20" i="22"/>
  <c r="CX20" i="22"/>
  <c r="GG19" i="22"/>
  <c r="GA19" i="22"/>
  <c r="FU19" i="22"/>
  <c r="FO19" i="22"/>
  <c r="EY19" i="22"/>
  <c r="ES19" i="22"/>
  <c r="EM19" i="22"/>
  <c r="EG19" i="22"/>
  <c r="BF29" i="22"/>
  <c r="GC27" i="22"/>
  <c r="DG27" i="22"/>
  <c r="ES26" i="22"/>
  <c r="EZ25" i="22"/>
  <c r="DP25" i="22"/>
  <c r="GF24" i="22"/>
  <c r="FN24" i="22"/>
  <c r="EL24" i="22"/>
  <c r="DJ24" i="22"/>
  <c r="FX23" i="22"/>
  <c r="ED23" i="22"/>
  <c r="DF23" i="22"/>
  <c r="GC22" i="22"/>
  <c r="FU22" i="22"/>
  <c r="FA22" i="22"/>
  <c r="ES22" i="22"/>
  <c r="EI22" i="22"/>
  <c r="DQ22" i="22"/>
  <c r="DG22" i="22"/>
  <c r="CY22" i="22"/>
  <c r="GE21" i="22"/>
  <c r="FY21" i="22"/>
  <c r="FS21" i="22"/>
  <c r="FM21" i="22"/>
  <c r="EQ21" i="22"/>
  <c r="EK21" i="22"/>
  <c r="EE21" i="22"/>
  <c r="DO21" i="22"/>
  <c r="DI21" i="22"/>
  <c r="DC21" i="22"/>
  <c r="CW21" i="22"/>
  <c r="GD20" i="22"/>
  <c r="FX20" i="22"/>
  <c r="FR20" i="22"/>
  <c r="FL20" i="22"/>
  <c r="EV20" i="22"/>
  <c r="EP20" i="22"/>
  <c r="EJ20" i="22"/>
  <c r="ED20" i="22"/>
  <c r="DN20" i="22"/>
  <c r="DH20" i="22"/>
  <c r="DB20" i="22"/>
  <c r="CV20" i="22"/>
  <c r="GE19" i="22"/>
  <c r="FY19" i="22"/>
  <c r="FS19" i="22"/>
  <c r="FM19" i="22"/>
  <c r="EW19" i="22"/>
  <c r="EQ19" i="22"/>
  <c r="EK19" i="22"/>
  <c r="EE19" i="22"/>
  <c r="DO19" i="22"/>
  <c r="DI19" i="22"/>
  <c r="DC19" i="22"/>
  <c r="CW19" i="22"/>
  <c r="GE18" i="22"/>
  <c r="FY18" i="22"/>
  <c r="FS18" i="22"/>
  <c r="FM18" i="22"/>
  <c r="EW18" i="22"/>
  <c r="EQ18" i="22"/>
  <c r="EK18" i="22"/>
  <c r="EE18" i="22"/>
  <c r="DO18" i="22"/>
  <c r="DI18" i="22"/>
  <c r="DC18" i="22"/>
  <c r="CW18" i="22"/>
  <c r="GI17" i="22"/>
  <c r="GC17" i="22"/>
  <c r="ET26" i="22"/>
  <c r="EY25" i="22"/>
  <c r="FM24" i="22"/>
  <c r="DI24" i="22"/>
  <c r="FY23" i="22"/>
  <c r="EE23" i="22"/>
  <c r="CV23" i="22"/>
  <c r="GA22" i="22"/>
  <c r="EY22" i="22"/>
  <c r="EG22" i="22"/>
  <c r="DE22" i="22"/>
  <c r="FX21" i="22"/>
  <c r="FL21" i="22"/>
  <c r="EP21" i="22"/>
  <c r="ED21" i="22"/>
  <c r="DH21" i="22"/>
  <c r="CV21" i="22"/>
  <c r="GE20" i="22"/>
  <c r="FS20" i="22"/>
  <c r="EK20" i="22"/>
  <c r="DO20" i="22"/>
  <c r="DC20" i="22"/>
  <c r="GC19" i="22"/>
  <c r="FQ19" i="22"/>
  <c r="EU19" i="22"/>
  <c r="EI19" i="22"/>
  <c r="DN19" i="22"/>
  <c r="DE19" i="22"/>
  <c r="CV19" i="22"/>
  <c r="GI18" i="22"/>
  <c r="GB18" i="22"/>
  <c r="FU18" i="22"/>
  <c r="FN18" i="22"/>
  <c r="EV18" i="22"/>
  <c r="EO18" i="22"/>
  <c r="EH18" i="22"/>
  <c r="DQ18" i="22"/>
  <c r="DJ18" i="22"/>
  <c r="DB18" i="22"/>
  <c r="GB17" i="22"/>
  <c r="FV17" i="22"/>
  <c r="FP17" i="22"/>
  <c r="EZ17" i="22"/>
  <c r="ET17" i="22"/>
  <c r="EN17" i="22"/>
  <c r="EH17" i="22"/>
  <c r="DR17" i="22"/>
  <c r="DL17" i="22"/>
  <c r="DF17" i="22"/>
  <c r="CZ17" i="22"/>
  <c r="BF17" i="22"/>
  <c r="GD16" i="22"/>
  <c r="FX16" i="22"/>
  <c r="FR16" i="22"/>
  <c r="FL16" i="22"/>
  <c r="EV16" i="22"/>
  <c r="EP16" i="22"/>
  <c r="EJ16" i="22"/>
  <c r="ED16" i="22"/>
  <c r="DN16" i="22"/>
  <c r="DH16" i="22"/>
  <c r="DB16" i="22"/>
  <c r="CV16" i="22"/>
  <c r="GF15" i="22"/>
  <c r="FZ15" i="22"/>
  <c r="FT15" i="22"/>
  <c r="FN15" i="22"/>
  <c r="EX15" i="22"/>
  <c r="ER15" i="22"/>
  <c r="EF15" i="22"/>
  <c r="DP15" i="22"/>
  <c r="DJ15" i="22"/>
  <c r="DD15" i="22"/>
  <c r="CX15" i="22"/>
  <c r="GF14" i="22"/>
  <c r="FZ14" i="22"/>
  <c r="FT14" i="22"/>
  <c r="FN14" i="22"/>
  <c r="EX14" i="22"/>
  <c r="ER14" i="22"/>
  <c r="EF14" i="22"/>
  <c r="DP14" i="22"/>
  <c r="DJ14" i="22"/>
  <c r="DD14" i="22"/>
  <c r="CX14" i="22"/>
  <c r="GG13" i="22"/>
  <c r="GA13" i="22"/>
  <c r="FU13" i="22"/>
  <c r="FO13" i="22"/>
  <c r="EY13" i="22"/>
  <c r="ES13" i="22"/>
  <c r="EM13" i="22"/>
  <c r="EG13" i="22"/>
  <c r="DQ13" i="22"/>
  <c r="DK13" i="22"/>
  <c r="DE13" i="22"/>
  <c r="CY13" i="22"/>
  <c r="GE12" i="22"/>
  <c r="GH27" i="22"/>
  <c r="DR26" i="22"/>
  <c r="ER25" i="22"/>
  <c r="EX24" i="22"/>
  <c r="DD24" i="22"/>
  <c r="FS23" i="22"/>
  <c r="DO23" i="22"/>
  <c r="FV22" i="22"/>
  <c r="ET22" i="22"/>
  <c r="DR22" i="22"/>
  <c r="CZ22" i="22"/>
  <c r="GI21" i="22"/>
  <c r="FW21" i="22"/>
  <c r="FA21" i="22"/>
  <c r="EO21" i="22"/>
  <c r="DS21" i="22"/>
  <c r="DG21" i="22"/>
  <c r="GC20" i="22"/>
  <c r="FQ20" i="22"/>
  <c r="EI20" i="22"/>
  <c r="DM20" i="22"/>
  <c r="DA20" i="22"/>
  <c r="FZ19" i="22"/>
  <c r="FN19" i="22"/>
  <c r="EF19" i="22"/>
  <c r="DM19" i="22"/>
  <c r="DD19" i="22"/>
  <c r="GH18" i="22"/>
  <c r="GA18" i="22"/>
  <c r="FT18" i="22"/>
  <c r="FL18" i="22"/>
  <c r="EU18" i="22"/>
  <c r="EN18" i="22"/>
  <c r="EG18" i="22"/>
  <c r="DP18" i="22"/>
  <c r="DH18" i="22"/>
  <c r="DA18" i="22"/>
  <c r="GH17" i="22"/>
  <c r="GA17" i="22"/>
  <c r="FU17" i="22"/>
  <c r="FO17" i="22"/>
  <c r="EY17" i="22"/>
  <c r="ES17" i="22"/>
  <c r="EM17" i="22"/>
  <c r="EG17" i="22"/>
  <c r="DQ17" i="22"/>
  <c r="DK17" i="22"/>
  <c r="DE17" i="22"/>
  <c r="CY17" i="22"/>
  <c r="GI16" i="22"/>
  <c r="GC16" i="22"/>
  <c r="FW16" i="22"/>
  <c r="FQ16" i="22"/>
  <c r="FA16" i="22"/>
  <c r="EU16" i="22"/>
  <c r="EO16" i="22"/>
  <c r="EI16" i="22"/>
  <c r="DS16" i="22"/>
  <c r="DM16" i="22"/>
  <c r="DG16" i="22"/>
  <c r="DA16" i="22"/>
  <c r="GE15" i="22"/>
  <c r="FY15" i="22"/>
  <c r="FS15" i="22"/>
  <c r="FM15" i="22"/>
  <c r="EW15" i="22"/>
  <c r="EQ15" i="22"/>
  <c r="EK15" i="22"/>
  <c r="EE15" i="22"/>
  <c r="DO15" i="22"/>
  <c r="DI15" i="22"/>
  <c r="DC15" i="22"/>
  <c r="CW15" i="22"/>
  <c r="GE14" i="22"/>
  <c r="FY14" i="22"/>
  <c r="FS14" i="22"/>
  <c r="FM14" i="22"/>
  <c r="EW14" i="22"/>
  <c r="EQ14" i="22"/>
  <c r="EK14" i="22"/>
  <c r="EE14" i="22"/>
  <c r="DO14" i="22"/>
  <c r="DI14" i="22"/>
  <c r="DC14" i="22"/>
  <c r="CW14" i="22"/>
  <c r="GF13" i="22"/>
  <c r="FZ13" i="22"/>
  <c r="FT13" i="22"/>
  <c r="FN13" i="22"/>
  <c r="EX13" i="22"/>
  <c r="ER13" i="22"/>
  <c r="EF13" i="22"/>
  <c r="DP13" i="22"/>
  <c r="DJ13" i="22"/>
  <c r="DD13" i="22"/>
  <c r="CX13" i="22"/>
  <c r="GD12" i="22"/>
  <c r="FX12" i="22"/>
  <c r="FR12" i="22"/>
  <c r="FL12" i="22"/>
  <c r="EV12" i="22"/>
  <c r="EP12" i="22"/>
  <c r="EJ12" i="22"/>
  <c r="ED12" i="22"/>
  <c r="DN12" i="22"/>
  <c r="DH12" i="22"/>
  <c r="DB12" i="22"/>
  <c r="CV12" i="22"/>
  <c r="FP27" i="22"/>
  <c r="DQ26" i="22"/>
  <c r="EG25" i="22"/>
  <c r="EQ24" i="22"/>
  <c r="CW24" i="22"/>
  <c r="FR23" i="22"/>
  <c r="DN23" i="22"/>
  <c r="FR22" i="22"/>
  <c r="EP22" i="22"/>
  <c r="DN22" i="22"/>
  <c r="CV22" i="22"/>
  <c r="GF21" i="22"/>
  <c r="FT21" i="22"/>
  <c r="EX21" i="22"/>
  <c r="EL21" i="22"/>
  <c r="DP21" i="22"/>
  <c r="DD21" i="22"/>
  <c r="GB20" i="22"/>
  <c r="FP20" i="22"/>
  <c r="ET20" i="22"/>
  <c r="EH20" i="22"/>
  <c r="DL20" i="22"/>
  <c r="CZ20" i="22"/>
  <c r="FX19" i="22"/>
  <c r="FL19" i="22"/>
  <c r="ED19" i="22"/>
  <c r="DK19" i="22"/>
  <c r="DB19" i="22"/>
  <c r="GG18" i="22"/>
  <c r="FZ18" i="22"/>
  <c r="FR18" i="22"/>
  <c r="FA18" i="22"/>
  <c r="ET18" i="22"/>
  <c r="EM18" i="22"/>
  <c r="EF18" i="22"/>
  <c r="DN18" i="22"/>
  <c r="DG18" i="22"/>
  <c r="CZ18" i="22"/>
  <c r="GG17" i="22"/>
  <c r="FZ17" i="22"/>
  <c r="FT17" i="22"/>
  <c r="FN17" i="22"/>
  <c r="EX17" i="22"/>
  <c r="EL17" i="22"/>
  <c r="EF17" i="22"/>
  <c r="DP17" i="22"/>
  <c r="DJ17" i="22"/>
  <c r="DD17" i="22"/>
  <c r="CX17" i="22"/>
  <c r="GH16" i="22"/>
  <c r="GB16" i="22"/>
  <c r="FV16" i="22"/>
  <c r="FP16" i="22"/>
  <c r="EZ16" i="22"/>
  <c r="ET16" i="22"/>
  <c r="EN16" i="22"/>
  <c r="EH16" i="22"/>
  <c r="DR16" i="22"/>
  <c r="DL16" i="22"/>
  <c r="DF16" i="22"/>
  <c r="CZ16" i="22"/>
  <c r="BF16" i="22"/>
  <c r="GD15" i="22"/>
  <c r="FX15" i="22"/>
  <c r="FR15" i="22"/>
  <c r="FL15" i="22"/>
  <c r="EV15" i="22"/>
  <c r="EP15" i="22"/>
  <c r="EJ15" i="22"/>
  <c r="ED15" i="22"/>
  <c r="DN15" i="22"/>
  <c r="DH15" i="22"/>
  <c r="DB15" i="22"/>
  <c r="CV15" i="22"/>
  <c r="GD14" i="22"/>
  <c r="FX14" i="22"/>
  <c r="FR14" i="22"/>
  <c r="FL14" i="22"/>
  <c r="EV14" i="22"/>
  <c r="EP14" i="22"/>
  <c r="EJ14" i="22"/>
  <c r="ED14" i="22"/>
  <c r="DN14" i="22"/>
  <c r="DH14" i="22"/>
  <c r="DB14" i="22"/>
  <c r="CV14" i="22"/>
  <c r="GE13" i="22"/>
  <c r="FY13" i="22"/>
  <c r="FS13" i="22"/>
  <c r="FM13" i="22"/>
  <c r="EW13" i="22"/>
  <c r="EQ13" i="22"/>
  <c r="EK13" i="22"/>
  <c r="EE13" i="22"/>
  <c r="DO13" i="22"/>
  <c r="DI13" i="22"/>
  <c r="DC13" i="22"/>
  <c r="CW13" i="22"/>
  <c r="GI12" i="22"/>
  <c r="GC12" i="22"/>
  <c r="FW12" i="22"/>
  <c r="FQ12" i="22"/>
  <c r="FA12" i="22"/>
  <c r="EU12" i="22"/>
  <c r="FA27" i="22"/>
  <c r="DN25" i="22"/>
  <c r="GE24" i="22"/>
  <c r="EK24" i="22"/>
  <c r="EW23" i="22"/>
  <c r="DH23" i="22"/>
  <c r="GI22" i="22"/>
  <c r="FQ22" i="22"/>
  <c r="EO22" i="22"/>
  <c r="DM22" i="22"/>
  <c r="GD21" i="22"/>
  <c r="FR21" i="22"/>
  <c r="EV21" i="22"/>
  <c r="EJ21" i="22"/>
  <c r="DN21" i="22"/>
  <c r="DB21" i="22"/>
  <c r="FY20" i="22"/>
  <c r="FM20" i="22"/>
  <c r="EQ20" i="22"/>
  <c r="EE20" i="22"/>
  <c r="DI20" i="22"/>
  <c r="CW20" i="22"/>
  <c r="GI19" i="22"/>
  <c r="FW19" i="22"/>
  <c r="FA19" i="22"/>
  <c r="EO19" i="22"/>
  <c r="DS19" i="22"/>
  <c r="DJ19" i="22"/>
  <c r="DA19" i="22"/>
  <c r="GF18" i="22"/>
  <c r="FX18" i="22"/>
  <c r="FQ18" i="22"/>
  <c r="EZ18" i="22"/>
  <c r="ES18" i="22"/>
  <c r="EL18" i="22"/>
  <c r="ED18" i="22"/>
  <c r="DM18" i="22"/>
  <c r="DF18" i="22"/>
  <c r="CY18" i="22"/>
  <c r="GF17" i="22"/>
  <c r="FY17" i="22"/>
  <c r="FS17" i="22"/>
  <c r="FM17" i="22"/>
  <c r="EW17" i="22"/>
  <c r="EQ17" i="22"/>
  <c r="EK17" i="22"/>
  <c r="EE17" i="22"/>
  <c r="DO17" i="22"/>
  <c r="DI17" i="22"/>
  <c r="DC17" i="22"/>
  <c r="CW17" i="22"/>
  <c r="GG16" i="22"/>
  <c r="GA16" i="22"/>
  <c r="FU16" i="22"/>
  <c r="FO16" i="22"/>
  <c r="EY16" i="22"/>
  <c r="EM16" i="22"/>
  <c r="EG16" i="22"/>
  <c r="DQ16" i="22"/>
  <c r="DK16" i="22"/>
  <c r="DE16" i="22"/>
  <c r="CY16" i="22"/>
  <c r="GI15" i="22"/>
  <c r="GC15" i="22"/>
  <c r="FW15" i="22"/>
  <c r="FQ15" i="22"/>
  <c r="FA15" i="22"/>
  <c r="EU15" i="22"/>
  <c r="EO15" i="22"/>
  <c r="EI15" i="22"/>
  <c r="DS15" i="22"/>
  <c r="DM15" i="22"/>
  <c r="DG15" i="22"/>
  <c r="DA15" i="22"/>
  <c r="GI14" i="22"/>
  <c r="GC14" i="22"/>
  <c r="FW14" i="22"/>
  <c r="FQ14" i="22"/>
  <c r="FA14" i="22"/>
  <c r="EU14" i="22"/>
  <c r="EI14" i="22"/>
  <c r="DS14" i="22"/>
  <c r="DM14" i="22"/>
  <c r="DG14" i="22"/>
  <c r="DA14" i="22"/>
  <c r="GD13" i="22"/>
  <c r="FX13" i="22"/>
  <c r="FR13" i="22"/>
  <c r="FL13" i="22"/>
  <c r="EV13" i="22"/>
  <c r="EP13" i="22"/>
  <c r="EJ13" i="22"/>
  <c r="ED13" i="22"/>
  <c r="DN13" i="22"/>
  <c r="DH13" i="22"/>
  <c r="DB13" i="22"/>
  <c r="CV13" i="22"/>
  <c r="GH12" i="22"/>
  <c r="GB12" i="22"/>
  <c r="FV12" i="22"/>
  <c r="FP12" i="22"/>
  <c r="EZ12" i="22"/>
  <c r="ET12" i="22"/>
  <c r="EH12" i="22"/>
  <c r="DR12" i="22"/>
  <c r="DL12" i="22"/>
  <c r="DF12" i="22"/>
  <c r="CZ12" i="22"/>
  <c r="BF12" i="22"/>
  <c r="GH11" i="22"/>
  <c r="GB11" i="22"/>
  <c r="DL27" i="22"/>
  <c r="GG25" i="22"/>
  <c r="EF24" i="22"/>
  <c r="GB22" i="22"/>
  <c r="DF22" i="22"/>
  <c r="GC21" i="22"/>
  <c r="EI21" i="22"/>
  <c r="FV20" i="22"/>
  <c r="DR20" i="22"/>
  <c r="EX19" i="22"/>
  <c r="DH19" i="22"/>
  <c r="GC18" i="22"/>
  <c r="EX18" i="22"/>
  <c r="DR18" i="22"/>
  <c r="CV18" i="22"/>
  <c r="GE17" i="22"/>
  <c r="FL17" i="22"/>
  <c r="EJ17" i="22"/>
  <c r="DH17" i="22"/>
  <c r="FS16" i="22"/>
  <c r="DO16" i="22"/>
  <c r="CW16" i="22"/>
  <c r="GA15" i="22"/>
  <c r="EY15" i="22"/>
  <c r="EG15" i="22"/>
  <c r="DE15" i="22"/>
  <c r="BF15" i="22"/>
  <c r="FU14" i="22"/>
  <c r="ES14" i="22"/>
  <c r="DQ14" i="22"/>
  <c r="CY14" i="22"/>
  <c r="FV13" i="22"/>
  <c r="ET13" i="22"/>
  <c r="DR13" i="22"/>
  <c r="CZ13" i="22"/>
  <c r="FU12" i="22"/>
  <c r="EY12" i="22"/>
  <c r="EF12" i="22"/>
  <c r="DM12" i="22"/>
  <c r="DD12" i="22"/>
  <c r="GE11" i="22"/>
  <c r="FX11" i="22"/>
  <c r="FR11" i="22"/>
  <c r="FL11" i="22"/>
  <c r="EV11" i="22"/>
  <c r="EP11" i="22"/>
  <c r="ED11" i="22"/>
  <c r="DN11" i="22"/>
  <c r="DH11" i="22"/>
  <c r="DB11" i="22"/>
  <c r="CV11" i="22"/>
  <c r="GF10" i="22"/>
  <c r="FZ10" i="22"/>
  <c r="FT10" i="22"/>
  <c r="FN10" i="22"/>
  <c r="EX10" i="22"/>
  <c r="ER10" i="22"/>
  <c r="EL10" i="22"/>
  <c r="EF10" i="22"/>
  <c r="DP10" i="22"/>
  <c r="DJ10" i="22"/>
  <c r="DD10" i="22"/>
  <c r="CX10" i="22"/>
  <c r="GH9" i="22"/>
  <c r="GB9" i="22"/>
  <c r="FV9" i="22"/>
  <c r="FP9" i="22"/>
  <c r="EZ9" i="22"/>
  <c r="ET9" i="22"/>
  <c r="EN9" i="22"/>
  <c r="EH9" i="22"/>
  <c r="DR9" i="22"/>
  <c r="DL9" i="22"/>
  <c r="DF9" i="22"/>
  <c r="CZ9" i="22"/>
  <c r="GI8" i="22"/>
  <c r="GC8" i="22"/>
  <c r="FW8" i="22"/>
  <c r="FQ8" i="22"/>
  <c r="FA8" i="22"/>
  <c r="EU8" i="22"/>
  <c r="EO8" i="22"/>
  <c r="EI8" i="22"/>
  <c r="DS8" i="22"/>
  <c r="DM8" i="22"/>
  <c r="DG8" i="22"/>
  <c r="DA8" i="22"/>
  <c r="GI7" i="22"/>
  <c r="GC7" i="22"/>
  <c r="FW7" i="22"/>
  <c r="FQ7" i="22"/>
  <c r="FA7" i="22"/>
  <c r="EU7" i="22"/>
  <c r="EO7" i="22"/>
  <c r="EI7" i="22"/>
  <c r="DS7" i="22"/>
  <c r="DM7" i="22"/>
  <c r="DG7" i="22"/>
  <c r="DA7" i="22"/>
  <c r="GE6" i="22"/>
  <c r="FY6" i="22"/>
  <c r="FS6" i="22"/>
  <c r="FM6" i="22"/>
  <c r="EW6" i="22"/>
  <c r="EQ6" i="22"/>
  <c r="EK6" i="22"/>
  <c r="EE6" i="22"/>
  <c r="DO6" i="22"/>
  <c r="DI6" i="22"/>
  <c r="DC6" i="22"/>
  <c r="CW6" i="22"/>
  <c r="FT25" i="22"/>
  <c r="DO24" i="22"/>
  <c r="FL22" i="22"/>
  <c r="FZ21" i="22"/>
  <c r="EF21" i="22"/>
  <c r="FA20" i="22"/>
  <c r="DG20" i="22"/>
  <c r="EV19" i="22"/>
  <c r="DG19" i="22"/>
  <c r="FW18" i="22"/>
  <c r="ER18" i="22"/>
  <c r="DL18" i="22"/>
  <c r="GD17" i="22"/>
  <c r="FA17" i="22"/>
  <c r="EI17" i="22"/>
  <c r="DG17" i="22"/>
  <c r="GF16" i="22"/>
  <c r="FN16" i="22"/>
  <c r="EL16" i="22"/>
  <c r="DJ16" i="22"/>
  <c r="FV15" i="22"/>
  <c r="ET15" i="22"/>
  <c r="DR15" i="22"/>
  <c r="CZ15" i="22"/>
  <c r="GH14" i="22"/>
  <c r="FP14" i="22"/>
  <c r="EN14" i="22"/>
  <c r="DL14" i="22"/>
  <c r="GI13" i="22"/>
  <c r="FQ13" i="22"/>
  <c r="DM13" i="22"/>
  <c r="GG12" i="22"/>
  <c r="FT12" i="22"/>
  <c r="EX12" i="22"/>
  <c r="EE12" i="22"/>
  <c r="DK12" i="22"/>
  <c r="DC12" i="22"/>
  <c r="GD11" i="22"/>
  <c r="FW11" i="22"/>
  <c r="FQ11" i="22"/>
  <c r="FA11" i="22"/>
  <c r="EU11" i="22"/>
  <c r="EO11" i="22"/>
  <c r="DS11" i="22"/>
  <c r="DM11" i="22"/>
  <c r="DG11" i="22"/>
  <c r="DA11" i="22"/>
  <c r="GE10" i="22"/>
  <c r="FY10" i="22"/>
  <c r="FS10" i="22"/>
  <c r="FM10" i="22"/>
  <c r="EW10" i="22"/>
  <c r="EQ10" i="22"/>
  <c r="EE10" i="22"/>
  <c r="DO10" i="22"/>
  <c r="DI10" i="22"/>
  <c r="DC10" i="22"/>
  <c r="CW10" i="22"/>
  <c r="GG9" i="22"/>
  <c r="GA9" i="22"/>
  <c r="FU9" i="22"/>
  <c r="FO9" i="22"/>
  <c r="EY9" i="22"/>
  <c r="ES9" i="22"/>
  <c r="EM9" i="22"/>
  <c r="EG9" i="22"/>
  <c r="DQ9" i="22"/>
  <c r="DK9" i="22"/>
  <c r="DE9" i="22"/>
  <c r="CY9" i="22"/>
  <c r="BF9" i="22"/>
  <c r="GH8" i="22"/>
  <c r="GB8" i="22"/>
  <c r="FV8" i="22"/>
  <c r="FP8" i="22"/>
  <c r="EZ8" i="22"/>
  <c r="ET8" i="22"/>
  <c r="EN8" i="22"/>
  <c r="EH8" i="22"/>
  <c r="DR8" i="22"/>
  <c r="DL8" i="22"/>
  <c r="DF8" i="22"/>
  <c r="CZ8" i="22"/>
  <c r="GH7" i="22"/>
  <c r="GB7" i="22"/>
  <c r="FV7" i="22"/>
  <c r="FP7" i="22"/>
  <c r="EZ7" i="22"/>
  <c r="ET7" i="22"/>
  <c r="EN7" i="22"/>
  <c r="EH7" i="22"/>
  <c r="DR7" i="22"/>
  <c r="DL7" i="22"/>
  <c r="DF7" i="22"/>
  <c r="CZ7" i="22"/>
  <c r="GD6" i="22"/>
  <c r="FX6" i="22"/>
  <c r="FR6" i="22"/>
  <c r="FL6" i="22"/>
  <c r="EV6" i="22"/>
  <c r="EP6" i="22"/>
  <c r="EJ6" i="22"/>
  <c r="DN6" i="22"/>
  <c r="DH6" i="22"/>
  <c r="DB6" i="22"/>
  <c r="CV6" i="22"/>
  <c r="DF25" i="22"/>
  <c r="EQ23" i="22"/>
  <c r="EZ22" i="22"/>
  <c r="FQ21" i="22"/>
  <c r="DM21" i="22"/>
  <c r="EZ20" i="22"/>
  <c r="DF20" i="22"/>
  <c r="GF19" i="22"/>
  <c r="EL19" i="22"/>
  <c r="CY19" i="22"/>
  <c r="FV18" i="22"/>
  <c r="DK18" i="22"/>
  <c r="FX17" i="22"/>
  <c r="EV17" i="22"/>
  <c r="ED17" i="22"/>
  <c r="DB17" i="22"/>
  <c r="GE16" i="22"/>
  <c r="FM16" i="22"/>
  <c r="EK16" i="22"/>
  <c r="DI16" i="22"/>
  <c r="FU15" i="22"/>
  <c r="ES15" i="22"/>
  <c r="DQ15" i="22"/>
  <c r="CY15" i="22"/>
  <c r="GG14" i="22"/>
  <c r="FO14" i="22"/>
  <c r="DK14" i="22"/>
  <c r="GH13" i="22"/>
  <c r="FP13" i="22"/>
  <c r="DL13" i="22"/>
  <c r="GF12" i="22"/>
  <c r="FS12" i="22"/>
  <c r="EW12" i="22"/>
  <c r="EL12" i="22"/>
  <c r="DS12" i="22"/>
  <c r="DJ12" i="22"/>
  <c r="DA12" i="22"/>
  <c r="GC11" i="22"/>
  <c r="FV11" i="22"/>
  <c r="FP11" i="22"/>
  <c r="EZ11" i="22"/>
  <c r="ET11" i="22"/>
  <c r="CV25" i="22"/>
  <c r="EP23" i="22"/>
  <c r="EJ22" i="22"/>
  <c r="FN21" i="22"/>
  <c r="DJ21" i="22"/>
  <c r="GI20" i="22"/>
  <c r="EO20" i="22"/>
  <c r="BF20" i="22"/>
  <c r="GD19" i="22"/>
  <c r="EJ19" i="22"/>
  <c r="CX19" i="22"/>
  <c r="FP18" i="22"/>
  <c r="EJ18" i="22"/>
  <c r="DE18" i="22"/>
  <c r="FW17" i="22"/>
  <c r="EU17" i="22"/>
  <c r="DS17" i="22"/>
  <c r="DA17" i="22"/>
  <c r="FZ16" i="22"/>
  <c r="EX16" i="22"/>
  <c r="EF16" i="22"/>
  <c r="DD16" i="22"/>
  <c r="GH15" i="22"/>
  <c r="FP15" i="22"/>
  <c r="DL15" i="22"/>
  <c r="GB14" i="22"/>
  <c r="EZ14" i="22"/>
  <c r="EH14" i="22"/>
  <c r="DF14" i="22"/>
  <c r="GC13" i="22"/>
  <c r="FA13" i="22"/>
  <c r="EI13" i="22"/>
  <c r="DG13" i="22"/>
  <c r="GA12" i="22"/>
  <c r="FO12" i="22"/>
  <c r="ES12" i="22"/>
  <c r="EK12" i="22"/>
  <c r="DQ12" i="22"/>
  <c r="DI12" i="22"/>
  <c r="CY12" i="22"/>
  <c r="GI11" i="22"/>
  <c r="GA11" i="22"/>
  <c r="FU11" i="22"/>
  <c r="FO11" i="22"/>
  <c r="EY11" i="22"/>
  <c r="ES11" i="22"/>
  <c r="EM11" i="22"/>
  <c r="EG11" i="22"/>
  <c r="DQ11" i="22"/>
  <c r="DK11" i="22"/>
  <c r="DE11" i="22"/>
  <c r="CY11" i="22"/>
  <c r="GI10" i="22"/>
  <c r="GC10" i="22"/>
  <c r="FW10" i="22"/>
  <c r="FQ10" i="22"/>
  <c r="FA10" i="22"/>
  <c r="EU10" i="22"/>
  <c r="EO10" i="22"/>
  <c r="DS10" i="22"/>
  <c r="DM10" i="22"/>
  <c r="DG10" i="22"/>
  <c r="DA10" i="22"/>
  <c r="GE9" i="22"/>
  <c r="FY9" i="22"/>
  <c r="FS9" i="22"/>
  <c r="FM9" i="22"/>
  <c r="EW9" i="22"/>
  <c r="EQ9" i="22"/>
  <c r="EE9" i="22"/>
  <c r="DO9" i="22"/>
  <c r="DI9" i="22"/>
  <c r="DC9" i="22"/>
  <c r="CW9" i="22"/>
  <c r="GF8" i="22"/>
  <c r="FZ8" i="22"/>
  <c r="FT8" i="22"/>
  <c r="FN8" i="22"/>
  <c r="EX8" i="22"/>
  <c r="ER8" i="22"/>
  <c r="EL8" i="22"/>
  <c r="EF8" i="22"/>
  <c r="DP8" i="22"/>
  <c r="DJ8" i="22"/>
  <c r="DD8" i="22"/>
  <c r="CX8" i="22"/>
  <c r="GF7" i="22"/>
  <c r="FZ7" i="22"/>
  <c r="FT7" i="22"/>
  <c r="FN7" i="22"/>
  <c r="EX7" i="22"/>
  <c r="ER7" i="22"/>
  <c r="EL7" i="22"/>
  <c r="DP7" i="22"/>
  <c r="DJ7" i="22"/>
  <c r="DD7" i="22"/>
  <c r="GH6" i="22"/>
  <c r="GB6" i="22"/>
  <c r="FV6" i="22"/>
  <c r="FP6" i="22"/>
  <c r="EZ6" i="22"/>
  <c r="ET6" i="22"/>
  <c r="EN6" i="22"/>
  <c r="EH6" i="22"/>
  <c r="DR6" i="22"/>
  <c r="DL6" i="22"/>
  <c r="DF6" i="22"/>
  <c r="CZ6" i="22"/>
  <c r="GI5" i="22"/>
  <c r="GC5" i="22"/>
  <c r="FW5" i="22"/>
  <c r="FQ5" i="22"/>
  <c r="FA5" i="22"/>
  <c r="EU5" i="22"/>
  <c r="EO5" i="22"/>
  <c r="EI5" i="22"/>
  <c r="DS5" i="22"/>
  <c r="DM5" i="22"/>
  <c r="DG5" i="22"/>
  <c r="DA5" i="22"/>
  <c r="GE4" i="22"/>
  <c r="FY4" i="22"/>
  <c r="FS4" i="22"/>
  <c r="FM4" i="22"/>
  <c r="EW4" i="22"/>
  <c r="EQ4" i="22"/>
  <c r="EK4" i="22"/>
  <c r="EE4" i="22"/>
  <c r="DO4" i="22"/>
  <c r="DI4" i="22"/>
  <c r="DC4" i="22"/>
  <c r="GH20" i="22"/>
  <c r="FR19" i="22"/>
  <c r="BF19" i="22"/>
  <c r="FO18" i="22"/>
  <c r="EO17" i="22"/>
  <c r="EW16" i="22"/>
  <c r="GA14" i="22"/>
  <c r="DE14" i="22"/>
  <c r="GB13" i="22"/>
  <c r="DF13" i="22"/>
  <c r="FZ12" i="22"/>
  <c r="EI12" i="22"/>
  <c r="CX12" i="22"/>
  <c r="FT11" i="22"/>
  <c r="ER11" i="22"/>
  <c r="EF11" i="22"/>
  <c r="DJ11" i="22"/>
  <c r="CX11" i="22"/>
  <c r="GD10" i="22"/>
  <c r="FR10" i="22"/>
  <c r="EV10" i="22"/>
  <c r="EJ10" i="22"/>
  <c r="DN10" i="22"/>
  <c r="DB10" i="22"/>
  <c r="FX9" i="22"/>
  <c r="FL9" i="22"/>
  <c r="EP9" i="22"/>
  <c r="ED9" i="22"/>
  <c r="DH9" i="22"/>
  <c r="CV9" i="22"/>
  <c r="GA8" i="22"/>
  <c r="FO8" i="22"/>
  <c r="ES8" i="22"/>
  <c r="EG8" i="22"/>
  <c r="DK8" i="22"/>
  <c r="CY8" i="22"/>
  <c r="GD7" i="22"/>
  <c r="FR7" i="22"/>
  <c r="EV7" i="22"/>
  <c r="EJ7" i="22"/>
  <c r="DN7" i="22"/>
  <c r="DB7" i="22"/>
  <c r="FZ6" i="22"/>
  <c r="FN6" i="22"/>
  <c r="ER6" i="22"/>
  <c r="EF6" i="22"/>
  <c r="DJ6" i="22"/>
  <c r="CX6" i="22"/>
  <c r="GB5" i="22"/>
  <c r="FU5" i="22"/>
  <c r="FN5" i="22"/>
  <c r="EW5" i="22"/>
  <c r="EP5" i="22"/>
  <c r="EH5" i="22"/>
  <c r="DQ5" i="22"/>
  <c r="DJ5" i="22"/>
  <c r="DC5" i="22"/>
  <c r="GD4" i="22"/>
  <c r="FW4" i="22"/>
  <c r="FP4" i="22"/>
  <c r="EY4" i="22"/>
  <c r="ER4" i="22"/>
  <c r="EJ4" i="22"/>
  <c r="DS4" i="22"/>
  <c r="DL4" i="22"/>
  <c r="DE4" i="22"/>
  <c r="CX4" i="22"/>
  <c r="FS24" i="22"/>
  <c r="DS18" i="22"/>
  <c r="DP16" i="22"/>
  <c r="DF15" i="22"/>
  <c r="ET14" i="22"/>
  <c r="EL11" i="22"/>
  <c r="FL10" i="22"/>
  <c r="DH10" i="22"/>
  <c r="FR9" i="22"/>
  <c r="DN9" i="22"/>
  <c r="GG8" i="22"/>
  <c r="EM8" i="22"/>
  <c r="EP7" i="22"/>
  <c r="CV7" i="22"/>
  <c r="FT6" i="22"/>
  <c r="DD6" i="22"/>
  <c r="EZ5" i="22"/>
  <c r="EE5" i="22"/>
  <c r="CY5" i="22"/>
  <c r="GA4" i="22"/>
  <c r="EU4" i="22"/>
  <c r="DP4" i="22"/>
  <c r="FQ17" i="22"/>
  <c r="FO15" i="22"/>
  <c r="DG12" i="22"/>
  <c r="FZ11" i="22"/>
  <c r="DO11" i="22"/>
  <c r="EZ10" i="22"/>
  <c r="DF10" i="22"/>
  <c r="GC9" i="22"/>
  <c r="EI9" i="22"/>
  <c r="DA9" i="22"/>
  <c r="FS8" i="22"/>
  <c r="DO8" i="22"/>
  <c r="FU7" i="22"/>
  <c r="DQ7" i="22"/>
  <c r="DA6" i="22"/>
  <c r="FX5" i="22"/>
  <c r="EY5" i="22"/>
  <c r="CX5" i="22"/>
  <c r="DC23" i="22"/>
  <c r="FW20" i="22"/>
  <c r="DQ19" i="22"/>
  <c r="EY18" i="22"/>
  <c r="DN17" i="22"/>
  <c r="EH15" i="22"/>
  <c r="FV14" i="22"/>
  <c r="CZ14" i="22"/>
  <c r="FW13" i="22"/>
  <c r="DA13" i="22"/>
  <c r="FY12" i="22"/>
  <c r="EG12" i="22"/>
  <c r="CW12" i="22"/>
  <c r="FS11" i="22"/>
  <c r="EQ11" i="22"/>
  <c r="EE11" i="22"/>
  <c r="DI11" i="22"/>
  <c r="CW11" i="22"/>
  <c r="GB10" i="22"/>
  <c r="FP10" i="22"/>
  <c r="ET10" i="22"/>
  <c r="DL10" i="22"/>
  <c r="CZ10" i="22"/>
  <c r="GI9" i="22"/>
  <c r="FW9" i="22"/>
  <c r="FA9" i="22"/>
  <c r="EO9" i="22"/>
  <c r="DS9" i="22"/>
  <c r="DG9" i="22"/>
  <c r="FY8" i="22"/>
  <c r="FM8" i="22"/>
  <c r="EQ8" i="22"/>
  <c r="EE8" i="22"/>
  <c r="DI8" i="22"/>
  <c r="CW8" i="22"/>
  <c r="GA7" i="22"/>
  <c r="FO7" i="22"/>
  <c r="ES7" i="22"/>
  <c r="EG7" i="22"/>
  <c r="DK7" i="22"/>
  <c r="CY7" i="22"/>
  <c r="GI6" i="22"/>
  <c r="FW6" i="22"/>
  <c r="FA6" i="22"/>
  <c r="EO6" i="22"/>
  <c r="DS6" i="22"/>
  <c r="DG6" i="22"/>
  <c r="BF6" i="22"/>
  <c r="GH5" i="22"/>
  <c r="GA5" i="22"/>
  <c r="FT5" i="22"/>
  <c r="FM5" i="22"/>
  <c r="EV5" i="22"/>
  <c r="EN5" i="22"/>
  <c r="EG5" i="22"/>
  <c r="DP5" i="22"/>
  <c r="DI5" i="22"/>
  <c r="DB5" i="22"/>
  <c r="GC4" i="22"/>
  <c r="FV4" i="22"/>
  <c r="FO4" i="22"/>
  <c r="EX4" i="22"/>
  <c r="EP4" i="22"/>
  <c r="EI4" i="22"/>
  <c r="DR4" i="22"/>
  <c r="DK4" i="22"/>
  <c r="DD4" i="22"/>
  <c r="CV4" i="22"/>
  <c r="EH22" i="22"/>
  <c r="DS20" i="22"/>
  <c r="CV17" i="22"/>
  <c r="GB15" i="22"/>
  <c r="FM12" i="22"/>
  <c r="GF11" i="22"/>
  <c r="DP11" i="22"/>
  <c r="BF11" i="22"/>
  <c r="FX10" i="22"/>
  <c r="ED10" i="22"/>
  <c r="EV9" i="22"/>
  <c r="DB9" i="22"/>
  <c r="EY8" i="22"/>
  <c r="DE8" i="22"/>
  <c r="FX7" i="22"/>
  <c r="ED7" i="22"/>
  <c r="EX6" i="22"/>
  <c r="DP6" i="22"/>
  <c r="FY5" i="22"/>
  <c r="ES5" i="22"/>
  <c r="DN5" i="22"/>
  <c r="BF5" i="22"/>
  <c r="GH4" i="22"/>
  <c r="FL4" i="22"/>
  <c r="EG4" i="22"/>
  <c r="DA4" i="22"/>
  <c r="DA21" i="22"/>
  <c r="DD18" i="22"/>
  <c r="DC16" i="22"/>
  <c r="EG14" i="22"/>
  <c r="EH13" i="22"/>
  <c r="ER12" i="22"/>
  <c r="EK11" i="22"/>
  <c r="GH10" i="22"/>
  <c r="EN10" i="22"/>
  <c r="FQ9" i="22"/>
  <c r="DM9" i="22"/>
  <c r="GE8" i="22"/>
  <c r="EY7" i="22"/>
  <c r="DE7" i="22"/>
  <c r="GC6" i="22"/>
  <c r="EU6" i="22"/>
  <c r="DM6" i="22"/>
  <c r="GE5" i="22"/>
  <c r="ER5" i="22"/>
  <c r="DL5" i="22"/>
  <c r="FZ24" i="22"/>
  <c r="DB23" i="22"/>
  <c r="GD22" i="22"/>
  <c r="EU21" i="22"/>
  <c r="EN20" i="22"/>
  <c r="DP19" i="22"/>
  <c r="EI18" i="22"/>
  <c r="DM17" i="22"/>
  <c r="EE16" i="22"/>
  <c r="GG15" i="22"/>
  <c r="DK15" i="22"/>
  <c r="EY14" i="22"/>
  <c r="EZ13" i="22"/>
  <c r="FN12" i="22"/>
  <c r="DP12" i="22"/>
  <c r="GG11" i="22"/>
  <c r="FN11" i="22"/>
  <c r="EN11" i="22"/>
  <c r="DR11" i="22"/>
  <c r="DF11" i="22"/>
  <c r="GA10" i="22"/>
  <c r="FO10" i="22"/>
  <c r="ES10" i="22"/>
  <c r="EG10" i="22"/>
  <c r="DK10" i="22"/>
  <c r="CY10" i="22"/>
  <c r="GF9" i="22"/>
  <c r="FT9" i="22"/>
  <c r="EX9" i="22"/>
  <c r="EL9" i="22"/>
  <c r="DP9" i="22"/>
  <c r="DD9" i="22"/>
  <c r="FX8" i="22"/>
  <c r="FL8" i="22"/>
  <c r="EP8" i="22"/>
  <c r="ED8" i="22"/>
  <c r="DH8" i="22"/>
  <c r="CV8" i="22"/>
  <c r="FY7" i="22"/>
  <c r="FM7" i="22"/>
  <c r="EQ7" i="22"/>
  <c r="DI7" i="22"/>
  <c r="CW7" i="22"/>
  <c r="BF7" i="22"/>
  <c r="GG6" i="22"/>
  <c r="FU6" i="22"/>
  <c r="EY6" i="22"/>
  <c r="EM6" i="22"/>
  <c r="DQ6" i="22"/>
  <c r="DE6" i="22"/>
  <c r="GG5" i="22"/>
  <c r="FZ5" i="22"/>
  <c r="FS5" i="22"/>
  <c r="FL5" i="22"/>
  <c r="ET5" i="22"/>
  <c r="EM5" i="22"/>
  <c r="DO5" i="22"/>
  <c r="DH5" i="22"/>
  <c r="CZ5" i="22"/>
  <c r="GI4" i="22"/>
  <c r="GB4" i="22"/>
  <c r="FU4" i="22"/>
  <c r="FN4" i="22"/>
  <c r="EV4" i="22"/>
  <c r="EO4" i="22"/>
  <c r="EH4" i="22"/>
  <c r="DQ4" i="22"/>
  <c r="DJ4" i="22"/>
  <c r="DB4" i="22"/>
  <c r="ER21" i="22"/>
  <c r="FR17" i="22"/>
  <c r="EU13" i="22"/>
  <c r="DO12" i="22"/>
  <c r="FM11" i="22"/>
  <c r="DD11" i="22"/>
  <c r="EP10" i="22"/>
  <c r="CV10" i="22"/>
  <c r="GD9" i="22"/>
  <c r="FU8" i="22"/>
  <c r="DQ8" i="22"/>
  <c r="FL7" i="22"/>
  <c r="DH7" i="22"/>
  <c r="GF6" i="22"/>
  <c r="EL6" i="22"/>
  <c r="GF5" i="22"/>
  <c r="FR5" i="22"/>
  <c r="EL5" i="22"/>
  <c r="DF5" i="22"/>
  <c r="FT4" i="22"/>
  <c r="EN4" i="22"/>
  <c r="DH4" i="22"/>
  <c r="DH22" i="22"/>
  <c r="FY16" i="22"/>
  <c r="EX11" i="22"/>
  <c r="DC11" i="22"/>
  <c r="FV10" i="22"/>
  <c r="DR10" i="22"/>
  <c r="EU9" i="22"/>
  <c r="EW8" i="22"/>
  <c r="DC8" i="22"/>
  <c r="GG7" i="22"/>
  <c r="EM7" i="22"/>
  <c r="FQ6" i="22"/>
  <c r="EI6" i="22"/>
  <c r="FP5" i="22"/>
  <c r="EK5" i="22"/>
  <c r="DE5" i="22"/>
  <c r="GG4" i="22"/>
  <c r="DK5" i="22"/>
  <c r="EG6" i="22"/>
  <c r="GD8" i="22"/>
  <c r="FY11" i="22"/>
  <c r="BF14" i="22"/>
  <c r="EL4" i="22"/>
  <c r="GD5" i="22"/>
  <c r="DC7" i="22"/>
  <c r="FT19" i="22"/>
  <c r="DG4" i="22"/>
  <c r="EM4" i="22"/>
  <c r="EJ5" i="22"/>
  <c r="DO7" i="22"/>
  <c r="GD18" i="22"/>
  <c r="DN4" i="22"/>
  <c r="ET4" i="22"/>
  <c r="FZ4" i="22"/>
  <c r="CW5" i="22"/>
  <c r="EX5" i="22"/>
  <c r="Z7" i="22"/>
  <c r="AA7" i="22" s="1"/>
  <c r="AE7" i="22"/>
  <c r="EJ11" i="22" s="1"/>
  <c r="AM7" i="22"/>
  <c r="AL7" i="22"/>
  <c r="AD7" i="22"/>
  <c r="EK10" i="22" s="1"/>
  <c r="EW7" i="22"/>
  <c r="EV8" i="22"/>
  <c r="CX9" i="22"/>
  <c r="BF10" i="22"/>
  <c r="EM10" i="22"/>
  <c r="CZ4" i="22"/>
  <c r="FA4" i="22"/>
  <c r="AM5" i="22"/>
  <c r="AE5" i="22"/>
  <c r="EF7" i="22" s="1"/>
  <c r="Z5" i="22"/>
  <c r="FV5" i="22"/>
  <c r="GE7" i="22"/>
  <c r="EF9" i="22"/>
  <c r="FU10" i="22"/>
  <c r="DE12" i="22"/>
  <c r="BF4" i="22"/>
  <c r="FQ4" i="22"/>
  <c r="DR5" i="22"/>
  <c r="ES6" i="22"/>
  <c r="ER9" i="22"/>
  <c r="GG10" i="22"/>
  <c r="EQ12" i="22"/>
  <c r="CX21" i="22"/>
  <c r="FR4" i="22"/>
  <c r="FN9" i="22"/>
  <c r="CZ11" i="22"/>
  <c r="EZ15" i="22"/>
  <c r="Z19" i="22"/>
  <c r="AA19" i="22" s="1"/>
  <c r="AE19" i="22"/>
  <c r="EH10" i="22" s="1"/>
  <c r="AD19" i="22"/>
  <c r="EJ8" i="22" s="1"/>
  <c r="AM19" i="22"/>
  <c r="AL19" i="22"/>
  <c r="CY4" i="22"/>
  <c r="ED4" i="22"/>
  <c r="EZ4" i="22"/>
  <c r="GF4" i="22"/>
  <c r="DD5" i="22"/>
  <c r="FO5" i="22"/>
  <c r="DK6" i="22"/>
  <c r="FS7" i="22"/>
  <c r="FR8" i="22"/>
  <c r="DJ9" i="22"/>
  <c r="EY10" i="22"/>
  <c r="EW11" i="22"/>
  <c r="AA4" i="22"/>
  <c r="AL4" i="22"/>
  <c r="BI4" i="22"/>
  <c r="AL8" i="22"/>
  <c r="AM4" i="22"/>
  <c r="AE8" i="22"/>
  <c r="EN15" i="22" s="1"/>
  <c r="AD8" i="22"/>
  <c r="EO14" i="22" s="1"/>
  <c r="AL5" i="22"/>
  <c r="AE9" i="22"/>
  <c r="EL13" i="22" s="1"/>
  <c r="AD9" i="22"/>
  <c r="EM12" i="22" s="1"/>
  <c r="AD10" i="22"/>
  <c r="EQ16" i="22" s="1"/>
  <c r="AM10" i="22"/>
  <c r="BJ29" i="22"/>
  <c r="BI32" i="22"/>
  <c r="BI30" i="22"/>
  <c r="BJ31" i="22"/>
  <c r="BJ27" i="22"/>
  <c r="BI26" i="22"/>
  <c r="BI25" i="22"/>
  <c r="BI31" i="22"/>
  <c r="BI27" i="22"/>
  <c r="BI29" i="22"/>
  <c r="BJ32" i="22"/>
  <c r="BJ25" i="22"/>
  <c r="BI22" i="22"/>
  <c r="BJ30" i="22"/>
  <c r="BJ20" i="22"/>
  <c r="BJ22" i="22"/>
  <c r="BI21" i="22"/>
  <c r="BI19" i="22"/>
  <c r="BJ15" i="22"/>
  <c r="BJ14" i="22"/>
  <c r="BJ24" i="22"/>
  <c r="BJ19" i="22"/>
  <c r="BI15" i="22"/>
  <c r="BI14" i="22"/>
  <c r="BI24" i="22"/>
  <c r="BJ17" i="22"/>
  <c r="BI20" i="22"/>
  <c r="BI17" i="22"/>
  <c r="BJ4" i="22"/>
  <c r="BJ9" i="22"/>
  <c r="G10" i="22"/>
  <c r="AN10" i="22" s="1"/>
  <c r="AE11" i="22"/>
  <c r="ER19" i="22" s="1"/>
  <c r="BJ12" i="22"/>
  <c r="BI16" i="22"/>
  <c r="AD21" i="22"/>
  <c r="EN12" i="22" s="1"/>
  <c r="AM21" i="22"/>
  <c r="AE21" i="22"/>
  <c r="EL14" i="22" s="1"/>
  <c r="BJ21" i="22"/>
  <c r="Z13" i="22"/>
  <c r="AA13" i="22" s="1"/>
  <c r="AE13" i="22"/>
  <c r="EV23" i="22" s="1"/>
  <c r="AD13" i="22"/>
  <c r="EW22" i="22" s="1"/>
  <c r="BJ16" i="22"/>
  <c r="BI10" i="22"/>
  <c r="G11" i="22"/>
  <c r="AN11" i="22" s="1"/>
  <c r="G12" i="22"/>
  <c r="AN12" i="22" s="1"/>
  <c r="AE18" i="22"/>
  <c r="EI11" i="22" s="1"/>
  <c r="AL18" i="22"/>
  <c r="Z18" i="22"/>
  <c r="AA18" i="22" s="1"/>
  <c r="AD18" i="22"/>
  <c r="EK9" i="22" s="1"/>
  <c r="AE22" i="22"/>
  <c r="EP18" i="22" s="1"/>
  <c r="AD22" i="22"/>
  <c r="ER16" i="22" s="1"/>
  <c r="Z22" i="22"/>
  <c r="AA22" i="22" s="1"/>
  <c r="BJ26" i="22"/>
  <c r="G44" i="22"/>
  <c r="AN44" i="22" s="1"/>
  <c r="G37" i="22"/>
  <c r="AN37" i="22" s="1"/>
  <c r="G35" i="22"/>
  <c r="AN35" i="22" s="1"/>
  <c r="G33" i="22"/>
  <c r="AN33" i="22" s="1"/>
  <c r="G32" i="22"/>
  <c r="AN32" i="22" s="1"/>
  <c r="G29" i="22"/>
  <c r="AN29" i="22" s="1"/>
  <c r="G53" i="22"/>
  <c r="AN53" i="22" s="1"/>
  <c r="G51" i="22"/>
  <c r="AN51" i="22" s="1"/>
  <c r="G49" i="22"/>
  <c r="AN49" i="22" s="1"/>
  <c r="G43" i="22"/>
  <c r="AN43" i="22" s="1"/>
  <c r="G39" i="22"/>
  <c r="AN39" i="22" s="1"/>
  <c r="G48" i="22"/>
  <c r="AN48" i="22" s="1"/>
  <c r="G41" i="22"/>
  <c r="AN41" i="22" s="1"/>
  <c r="G36" i="22"/>
  <c r="AN36" i="22" s="1"/>
  <c r="G47" i="22"/>
  <c r="AN47" i="22" s="1"/>
  <c r="G54" i="22"/>
  <c r="AN54" i="22" s="1"/>
  <c r="G30" i="22"/>
  <c r="AN30" i="22" s="1"/>
  <c r="G38" i="22"/>
  <c r="AN38" i="22" s="1"/>
  <c r="G25" i="22"/>
  <c r="AN25" i="22" s="1"/>
  <c r="G40" i="22"/>
  <c r="AN40" i="22" s="1"/>
  <c r="G31" i="22"/>
  <c r="AN31" i="22" s="1"/>
  <c r="G27" i="22"/>
  <c r="AN27" i="22" s="1"/>
  <c r="G26" i="22"/>
  <c r="AN26" i="22" s="1"/>
  <c r="G52" i="22"/>
  <c r="AN52" i="22" s="1"/>
  <c r="G28" i="22"/>
  <c r="AN28" i="22" s="1"/>
  <c r="G50" i="22"/>
  <c r="AN50" i="22" s="1"/>
  <c r="G46" i="22"/>
  <c r="AN46" i="22" s="1"/>
  <c r="G34" i="22"/>
  <c r="AN34" i="22" s="1"/>
  <c r="G45" i="22"/>
  <c r="AN45" i="22" s="1"/>
  <c r="G21" i="22"/>
  <c r="AN21" i="22" s="1"/>
  <c r="G20" i="22"/>
  <c r="AN20" i="22" s="1"/>
  <c r="G19" i="22"/>
  <c r="AN19" i="22" s="1"/>
  <c r="G22" i="22"/>
  <c r="AN22" i="22" s="1"/>
  <c r="G13" i="22"/>
  <c r="AN13" i="22" s="1"/>
  <c r="G16" i="22"/>
  <c r="AN16" i="22" s="1"/>
  <c r="G15" i="22"/>
  <c r="AN15" i="22" s="1"/>
  <c r="G42" i="22"/>
  <c r="AN42" i="22" s="1"/>
  <c r="G23" i="22"/>
  <c r="AN23" i="22" s="1"/>
  <c r="G14" i="22"/>
  <c r="AN14" i="22" s="1"/>
  <c r="BJ10" i="22"/>
  <c r="AD12" i="22"/>
  <c r="EU20" i="22" s="1"/>
  <c r="AM12" i="22"/>
  <c r="Z17" i="22"/>
  <c r="AA17" i="22" s="1"/>
  <c r="AE17" i="22"/>
  <c r="ED6" i="22" s="1"/>
  <c r="AD17" i="22"/>
  <c r="EF4" i="22" s="1"/>
  <c r="AM17" i="22"/>
  <c r="Z14" i="22"/>
  <c r="AA14" i="22" s="1"/>
  <c r="AE15" i="22"/>
  <c r="EZ27" i="22" s="1"/>
  <c r="AE16" i="22"/>
  <c r="EE7" i="22" s="1"/>
  <c r="Z20" i="22"/>
  <c r="AA20" i="22" s="1"/>
  <c r="Z15" i="22"/>
  <c r="AA15" i="22" s="1"/>
  <c r="Z16" i="22"/>
  <c r="AA16" i="22" s="1"/>
  <c r="AD20" i="22"/>
  <c r="EO13" i="22" s="1"/>
  <c r="AM20" i="22"/>
  <c r="AM22" i="22"/>
  <c r="AL22" i="22"/>
  <c r="AL40" i="22"/>
  <c r="Z35" i="22"/>
  <c r="AA35" i="22" s="1"/>
  <c r="AE35" i="22"/>
  <c r="ES16" i="22" s="1"/>
  <c r="AD35" i="22"/>
  <c r="EP19" i="22" s="1"/>
  <c r="AM35" i="22"/>
  <c r="AL35" i="22"/>
  <c r="Z24" i="22"/>
  <c r="AA24" i="22" s="1"/>
  <c r="AE24" i="22"/>
  <c r="EU23" i="22" s="1"/>
  <c r="AD24" i="22"/>
  <c r="EW21" i="22" s="1"/>
  <c r="AM24" i="22"/>
  <c r="AL23" i="22"/>
  <c r="AA26" i="22"/>
  <c r="Y42" i="22"/>
  <c r="S42" i="22"/>
  <c r="X42" i="22"/>
  <c r="AL46" i="22"/>
  <c r="Z25" i="22"/>
  <c r="AA25" i="22" s="1"/>
  <c r="AD26" i="22"/>
  <c r="EZ24" i="22" s="1"/>
  <c r="Y44" i="22"/>
  <c r="S44" i="22"/>
  <c r="X44" i="22"/>
  <c r="T54" i="22"/>
  <c r="AL25" i="22"/>
  <c r="AL50" i="22"/>
  <c r="Z27" i="22"/>
  <c r="AA27" i="22" s="1"/>
  <c r="Z28" i="22"/>
  <c r="AA28" i="22" s="1"/>
  <c r="AM28" i="22"/>
  <c r="AL28" i="22"/>
  <c r="Z31" i="22"/>
  <c r="AA31" i="22" s="1"/>
  <c r="AE31" i="22"/>
  <c r="EI10" i="22" s="1"/>
  <c r="AD31" i="22"/>
  <c r="EJ9" i="22" s="1"/>
  <c r="AM31" i="22"/>
  <c r="AL39" i="22"/>
  <c r="AA42" i="22"/>
  <c r="Z42" i="22"/>
  <c r="T42" i="22"/>
  <c r="Y45" i="22"/>
  <c r="S45" i="22"/>
  <c r="X45" i="22"/>
  <c r="Z32" i="22"/>
  <c r="AA32" i="22" s="1"/>
  <c r="AE32" i="22"/>
  <c r="EO12" i="22" s="1"/>
  <c r="AD32" i="22"/>
  <c r="EL15" i="22" s="1"/>
  <c r="Z37" i="22"/>
  <c r="AA37" i="22" s="1"/>
  <c r="AE37" i="22"/>
  <c r="EW20" i="22" s="1"/>
  <c r="AD37" i="22"/>
  <c r="ET23" i="22" s="1"/>
  <c r="Z39" i="22"/>
  <c r="AA39" i="22" s="1"/>
  <c r="AE39" i="22"/>
  <c r="FA24" i="22" s="1"/>
  <c r="AL42" i="22"/>
  <c r="AA44" i="22"/>
  <c r="Z44" i="22"/>
  <c r="T44" i="22"/>
  <c r="AA45" i="22"/>
  <c r="Z45" i="22"/>
  <c r="T45" i="22"/>
  <c r="AL52" i="22"/>
  <c r="AL27" i="22"/>
  <c r="AD29" i="22"/>
  <c r="EF5" i="22" s="1"/>
  <c r="AM29" i="22"/>
  <c r="Z30" i="22"/>
  <c r="AA30" i="22" s="1"/>
  <c r="AE30" i="22"/>
  <c r="EK8" i="22" s="1"/>
  <c r="AD30" i="22"/>
  <c r="EH11" i="22" s="1"/>
  <c r="AM30" i="22"/>
  <c r="AD39" i="22"/>
  <c r="EX27" i="22" s="1"/>
  <c r="Y40" i="22"/>
  <c r="S40" i="22"/>
  <c r="X40" i="22"/>
  <c r="AL48" i="22"/>
  <c r="AM53" i="22"/>
  <c r="AL54" i="22"/>
  <c r="Z33" i="22"/>
  <c r="AA33" i="22" s="1"/>
  <c r="AE33" i="22"/>
  <c r="EM14" i="22" s="1"/>
  <c r="AD33" i="22"/>
  <c r="EN13" i="22" s="1"/>
  <c r="AA40" i="22"/>
  <c r="Z40" i="22"/>
  <c r="T40" i="22"/>
  <c r="AM43" i="22"/>
  <c r="AL44" i="22"/>
  <c r="AM48" i="22"/>
  <c r="AM49" i="22"/>
  <c r="AL34" i="22"/>
  <c r="AL38" i="22"/>
  <c r="T43" i="22"/>
  <c r="T49" i="22"/>
  <c r="Z49" i="22"/>
  <c r="T51" i="22"/>
  <c r="Z51" i="22"/>
  <c r="T53" i="22"/>
  <c r="AM38" i="22"/>
  <c r="AD34" i="22"/>
  <c r="ER17" i="22" s="1"/>
  <c r="AL36" i="22"/>
  <c r="AL43" i="22"/>
  <c r="AL49" i="22"/>
  <c r="AL51" i="22"/>
  <c r="AL53" i="22"/>
  <c r="T46" i="22"/>
  <c r="S47" i="22"/>
  <c r="GA6" i="21"/>
  <c r="Z7" i="21"/>
  <c r="AA7" i="21" s="1"/>
  <c r="AE7" i="21"/>
  <c r="AD7" i="21"/>
  <c r="EL7" i="21"/>
  <c r="EX8" i="21"/>
  <c r="EQ10" i="21"/>
  <c r="CZ4" i="21"/>
  <c r="DR4" i="21"/>
  <c r="ET4" i="21"/>
  <c r="FP4" i="21"/>
  <c r="DI5" i="21"/>
  <c r="EO5" i="21"/>
  <c r="CZ6" i="21"/>
  <c r="EH6" i="21"/>
  <c r="FP6" i="21"/>
  <c r="CV7" i="21"/>
  <c r="FX7" i="21"/>
  <c r="AE8" i="21"/>
  <c r="AD8" i="21"/>
  <c r="AM8" i="21"/>
  <c r="DH8" i="21"/>
  <c r="FL8" i="21"/>
  <c r="EL9" i="21"/>
  <c r="CW12" i="21"/>
  <c r="EW13" i="21"/>
  <c r="ES14" i="21"/>
  <c r="EW15" i="21"/>
  <c r="EO16" i="21"/>
  <c r="GC17" i="21"/>
  <c r="DA20" i="21"/>
  <c r="AM4" i="21"/>
  <c r="BI4" i="21"/>
  <c r="CV4" i="21"/>
  <c r="DB4" i="21"/>
  <c r="DH4" i="21"/>
  <c r="DN4" i="21"/>
  <c r="ED4" i="21"/>
  <c r="EJ4" i="21"/>
  <c r="EP4" i="21"/>
  <c r="EV4" i="21"/>
  <c r="FL4" i="21"/>
  <c r="FR4" i="21"/>
  <c r="FY4" i="21"/>
  <c r="GF4" i="21"/>
  <c r="DC5" i="21"/>
  <c r="DL5" i="21"/>
  <c r="EH5" i="21"/>
  <c r="ET5" i="21"/>
  <c r="FP5" i="21"/>
  <c r="GB5" i="21"/>
  <c r="AA6" i="21"/>
  <c r="DE6" i="21"/>
  <c r="DQ6" i="21"/>
  <c r="EM6" i="21"/>
  <c r="EY6" i="21"/>
  <c r="FU6" i="21"/>
  <c r="GG6" i="21"/>
  <c r="BI7" i="21"/>
  <c r="CX7" i="21"/>
  <c r="DJ7" i="21"/>
  <c r="EF7" i="21"/>
  <c r="ER7" i="21"/>
  <c r="FN7" i="21"/>
  <c r="FZ7" i="21"/>
  <c r="CX8" i="21"/>
  <c r="DJ8" i="21"/>
  <c r="EF8" i="21"/>
  <c r="ER8" i="21"/>
  <c r="FN8" i="21"/>
  <c r="FZ8" i="21"/>
  <c r="CY9" i="21"/>
  <c r="DQ9" i="21"/>
  <c r="ES9" i="21"/>
  <c r="FU9" i="21"/>
  <c r="DE10" i="21"/>
  <c r="EG10" i="21"/>
  <c r="EY10" i="21"/>
  <c r="GA10" i="21"/>
  <c r="Z11" i="21"/>
  <c r="AA11" i="21" s="1"/>
  <c r="AL11" i="21"/>
  <c r="DB11" i="21"/>
  <c r="ED11" i="21"/>
  <c r="EV11" i="21"/>
  <c r="FX11" i="21"/>
  <c r="BF12" i="21"/>
  <c r="DH12" i="21"/>
  <c r="ER12" i="21"/>
  <c r="GD12" i="21"/>
  <c r="EF13" i="21"/>
  <c r="FP13" i="21"/>
  <c r="DK14" i="21"/>
  <c r="FO14" i="21"/>
  <c r="DE15" i="21"/>
  <c r="EY15" i="21"/>
  <c r="DB16" i="21"/>
  <c r="EV16" i="21"/>
  <c r="DA17" i="21"/>
  <c r="EU17" i="21"/>
  <c r="DL18" i="21"/>
  <c r="FP18" i="21"/>
  <c r="DM19" i="21"/>
  <c r="GC19" i="21"/>
  <c r="DG20" i="21"/>
  <c r="AE21" i="21"/>
  <c r="EL14" i="21" s="1"/>
  <c r="AD21" i="21"/>
  <c r="EN12" i="21" s="1"/>
  <c r="AM21" i="21"/>
  <c r="AL21" i="21"/>
  <c r="Z21" i="21"/>
  <c r="AA21" i="21" s="1"/>
  <c r="EL26" i="21"/>
  <c r="BF6" i="21"/>
  <c r="DK6" i="21"/>
  <c r="FO6" i="21"/>
  <c r="DD7" i="21"/>
  <c r="EX7" i="21"/>
  <c r="GF7" i="21"/>
  <c r="DP8" i="21"/>
  <c r="FT8" i="21"/>
  <c r="EI9" i="21"/>
  <c r="CW10" i="21"/>
  <c r="DL11" i="21"/>
  <c r="FP11" i="21"/>
  <c r="ED12" i="21"/>
  <c r="DJ13" i="21"/>
  <c r="GF13" i="21"/>
  <c r="GG14" i="21"/>
  <c r="GA15" i="21"/>
  <c r="ED16" i="21"/>
  <c r="DS17" i="21"/>
  <c r="EN18" i="21"/>
  <c r="EU19" i="21"/>
  <c r="FR20" i="21"/>
  <c r="AA4" i="21"/>
  <c r="DF4" i="21"/>
  <c r="EH4" i="21"/>
  <c r="EZ4" i="21"/>
  <c r="GD4" i="21"/>
  <c r="DS5" i="21"/>
  <c r="FW5" i="21"/>
  <c r="DL6" i="21"/>
  <c r="ET6" i="21"/>
  <c r="GB6" i="21"/>
  <c r="EP7" i="21"/>
  <c r="CV8" i="21"/>
  <c r="EP8" i="21"/>
  <c r="FN9" i="21"/>
  <c r="DC10" i="21"/>
  <c r="EW10" i="21"/>
  <c r="DM11" i="21"/>
  <c r="FQ11" i="21"/>
  <c r="EE12" i="21"/>
  <c r="DK13" i="21"/>
  <c r="CY14" i="21"/>
  <c r="DC15" i="21"/>
  <c r="GI16" i="21"/>
  <c r="EI17" i="21"/>
  <c r="CZ18" i="21"/>
  <c r="DH19" i="21"/>
  <c r="BJ21" i="21"/>
  <c r="DF24" i="21"/>
  <c r="AL4" i="21"/>
  <c r="DG4" i="21"/>
  <c r="DS4" i="21"/>
  <c r="EO4" i="21"/>
  <c r="FA4" i="21"/>
  <c r="FX4" i="21"/>
  <c r="AD5" i="21"/>
  <c r="EG6" i="21" s="1"/>
  <c r="BF5" i="21"/>
  <c r="DK5" i="21"/>
  <c r="ES5" i="21"/>
  <c r="GA5" i="21"/>
  <c r="DP6" i="21"/>
  <c r="EX6" i="21"/>
  <c r="GF6" i="21"/>
  <c r="CW7" i="21"/>
  <c r="EQ7" i="21"/>
  <c r="FM7" i="21"/>
  <c r="FY7" i="21"/>
  <c r="EQ8" i="21"/>
  <c r="EN24" i="21"/>
  <c r="BJ32" i="21"/>
  <c r="BI32" i="21"/>
  <c r="BJ30" i="21"/>
  <c r="BJ29" i="21"/>
  <c r="BI30" i="21"/>
  <c r="BI29" i="21"/>
  <c r="BJ31" i="21"/>
  <c r="BJ27" i="21"/>
  <c r="BJ24" i="21"/>
  <c r="BI31" i="21"/>
  <c r="BI27" i="21"/>
  <c r="BJ25" i="21"/>
  <c r="BI24" i="21"/>
  <c r="BJ26" i="21"/>
  <c r="BI25" i="21"/>
  <c r="BI26" i="21"/>
  <c r="BJ22" i="21"/>
  <c r="BI21" i="21"/>
  <c r="BI22" i="21"/>
  <c r="BI17" i="21"/>
  <c r="BJ20" i="21"/>
  <c r="BJ19" i="21"/>
  <c r="BJ16" i="21"/>
  <c r="BI16" i="21"/>
  <c r="BI14" i="21"/>
  <c r="BJ9" i="21"/>
  <c r="BJ15" i="21"/>
  <c r="BJ12" i="21"/>
  <c r="BJ11" i="21"/>
  <c r="BI9" i="21"/>
  <c r="BI15" i="21"/>
  <c r="BI11" i="21"/>
  <c r="BJ6" i="21"/>
  <c r="BJ14" i="21"/>
  <c r="BI12" i="21"/>
  <c r="BJ10" i="21"/>
  <c r="BI6" i="21"/>
  <c r="BI19" i="21"/>
  <c r="BI10" i="21"/>
  <c r="AD4" i="21"/>
  <c r="BJ4" i="21"/>
  <c r="CW4" i="21"/>
  <c r="DC4" i="21"/>
  <c r="DI4" i="21"/>
  <c r="DO4" i="21"/>
  <c r="EE4" i="21"/>
  <c r="EK4" i="21"/>
  <c r="EQ4" i="21"/>
  <c r="EW4" i="21"/>
  <c r="FM4" i="21"/>
  <c r="FS4" i="21"/>
  <c r="FZ4" i="21"/>
  <c r="GG4" i="21"/>
  <c r="Z5" i="21"/>
  <c r="AA5" i="21" s="1"/>
  <c r="DE5" i="21"/>
  <c r="DM5" i="21"/>
  <c r="EI5" i="21"/>
  <c r="EU5" i="21"/>
  <c r="FQ5" i="21"/>
  <c r="GC5" i="21"/>
  <c r="AD6" i="21"/>
  <c r="DF6" i="21"/>
  <c r="DR6" i="21"/>
  <c r="EN6" i="21"/>
  <c r="EZ6" i="21"/>
  <c r="FV6" i="21"/>
  <c r="GH6" i="21"/>
  <c r="AL7" i="21"/>
  <c r="BJ7" i="21"/>
  <c r="DB7" i="21"/>
  <c r="DN7" i="21"/>
  <c r="EJ7" i="21"/>
  <c r="EV7" i="21"/>
  <c r="FR7" i="21"/>
  <c r="GD7" i="21"/>
  <c r="DB8" i="21"/>
  <c r="DN8" i="21"/>
  <c r="EJ8" i="21"/>
  <c r="EV8" i="21"/>
  <c r="FR8" i="21"/>
  <c r="GD8" i="21"/>
  <c r="CZ9" i="21"/>
  <c r="DR9" i="21"/>
  <c r="ET9" i="21"/>
  <c r="FV9" i="21"/>
  <c r="DK10" i="21"/>
  <c r="EM10" i="21"/>
  <c r="FO10" i="21"/>
  <c r="GG10" i="21"/>
  <c r="DC11" i="21"/>
  <c r="EE11" i="21"/>
  <c r="EW11" i="21"/>
  <c r="FY11" i="21"/>
  <c r="DI12" i="21"/>
  <c r="EU12" i="21"/>
  <c r="GE12" i="21"/>
  <c r="CY13" i="21"/>
  <c r="EK13" i="21"/>
  <c r="FU13" i="21"/>
  <c r="DQ14" i="21"/>
  <c r="FU14" i="21"/>
  <c r="EE15" i="21"/>
  <c r="FY15" i="21"/>
  <c r="DM16" i="21"/>
  <c r="FQ16" i="21"/>
  <c r="DG17" i="21"/>
  <c r="FA17" i="21"/>
  <c r="DR18" i="21"/>
  <c r="FV18" i="21"/>
  <c r="BI20" i="21"/>
  <c r="EE21" i="21"/>
  <c r="AM5" i="21"/>
  <c r="CY6" i="21"/>
  <c r="ES6" i="21"/>
  <c r="DP7" i="21"/>
  <c r="FT7" i="21"/>
  <c r="DD8" i="21"/>
  <c r="EL8" i="21"/>
  <c r="GG8" i="21"/>
  <c r="DG9" i="21"/>
  <c r="FA9" i="21"/>
  <c r="GC9" i="21"/>
  <c r="DO10" i="21"/>
  <c r="FS10" i="21"/>
  <c r="EN11" i="21"/>
  <c r="GH11" i="21"/>
  <c r="CV12" i="21"/>
  <c r="FN12" i="21"/>
  <c r="ET13" i="21"/>
  <c r="EG15" i="21"/>
  <c r="FX16" i="21"/>
  <c r="FW17" i="21"/>
  <c r="GH18" i="21"/>
  <c r="ET22" i="21"/>
  <c r="DL4" i="21"/>
  <c r="EN4" i="21"/>
  <c r="FW4" i="21"/>
  <c r="CZ5" i="21"/>
  <c r="GI5" i="21"/>
  <c r="DH7" i="21"/>
  <c r="FL7" i="21"/>
  <c r="ED8" i="21"/>
  <c r="FX8" i="21"/>
  <c r="AD9" i="21"/>
  <c r="DJ9" i="21"/>
  <c r="GF9" i="21"/>
  <c r="EE10" i="21"/>
  <c r="FY10" i="21"/>
  <c r="EO11" i="21"/>
  <c r="GI11" i="21"/>
  <c r="FQ12" i="21"/>
  <c r="GG13" i="21"/>
  <c r="ET18" i="21"/>
  <c r="FX19" i="21"/>
  <c r="EZ22" i="21"/>
  <c r="DA4" i="21"/>
  <c r="DM4" i="21"/>
  <c r="EI4" i="21"/>
  <c r="EU4" i="21"/>
  <c r="FQ4" i="21"/>
  <c r="GE4" i="21"/>
  <c r="DA5" i="21"/>
  <c r="FO5" i="21"/>
  <c r="DD6" i="21"/>
  <c r="EL6" i="21"/>
  <c r="FT6" i="21"/>
  <c r="CW8" i="21"/>
  <c r="DI8" i="21"/>
  <c r="EE8" i="21"/>
  <c r="FM8" i="21"/>
  <c r="FY8" i="21"/>
  <c r="AE9" i="21"/>
  <c r="EL13" i="21" s="1"/>
  <c r="BF9" i="21"/>
  <c r="DK9" i="21"/>
  <c r="EM9" i="21"/>
  <c r="FO9" i="21"/>
  <c r="GG9" i="21"/>
  <c r="DD10" i="21"/>
  <c r="EF10" i="21"/>
  <c r="EX10" i="21"/>
  <c r="FZ10" i="21"/>
  <c r="CV11" i="21"/>
  <c r="DN11" i="21"/>
  <c r="EP11" i="21"/>
  <c r="FR11" i="21"/>
  <c r="DD12" i="21"/>
  <c r="FY12" i="21"/>
  <c r="DL13" i="21"/>
  <c r="EX13" i="21"/>
  <c r="GH13" i="21"/>
  <c r="DB14" i="21"/>
  <c r="EV14" i="21"/>
  <c r="DD15" i="21"/>
  <c r="EX15" i="21"/>
  <c r="CV16" i="21"/>
  <c r="EP16" i="21"/>
  <c r="CZ17" i="21"/>
  <c r="ET17" i="21"/>
  <c r="DA18" i="21"/>
  <c r="EU18" i="21"/>
  <c r="DI19" i="21"/>
  <c r="FY19" i="21"/>
  <c r="BF32" i="21"/>
  <c r="BF31" i="21"/>
  <c r="BF30" i="21"/>
  <c r="GD27" i="21"/>
  <c r="FX27" i="21"/>
  <c r="FR27" i="21"/>
  <c r="FL27" i="21"/>
  <c r="EV27" i="21"/>
  <c r="EP27" i="21"/>
  <c r="EJ27" i="21"/>
  <c r="ED27" i="21"/>
  <c r="DN27" i="21"/>
  <c r="DH27" i="21"/>
  <c r="DB27" i="21"/>
  <c r="CV27" i="21"/>
  <c r="GI26" i="21"/>
  <c r="GC26" i="21"/>
  <c r="FW26" i="21"/>
  <c r="FQ26" i="21"/>
  <c r="EU26" i="21"/>
  <c r="EO26" i="21"/>
  <c r="EI26" i="21"/>
  <c r="DS26" i="21"/>
  <c r="DM26" i="21"/>
  <c r="DG26" i="21"/>
  <c r="DA26" i="21"/>
  <c r="GI25" i="21"/>
  <c r="GC25" i="21"/>
  <c r="FW25" i="21"/>
  <c r="FQ25" i="21"/>
  <c r="EU25" i="21"/>
  <c r="EO25" i="21"/>
  <c r="EI25" i="21"/>
  <c r="GI27" i="21"/>
  <c r="GC27" i="21"/>
  <c r="FW27" i="21"/>
  <c r="FQ27" i="21"/>
  <c r="FA27" i="21"/>
  <c r="EU27" i="21"/>
  <c r="EO27" i="21"/>
  <c r="EI27" i="21"/>
  <c r="DS27" i="21"/>
  <c r="DM27" i="21"/>
  <c r="DG27" i="21"/>
  <c r="DA27" i="21"/>
  <c r="GH26" i="21"/>
  <c r="GB26" i="21"/>
  <c r="FV26" i="21"/>
  <c r="FP26" i="21"/>
  <c r="EZ26" i="21"/>
  <c r="ET26" i="21"/>
  <c r="EN26" i="21"/>
  <c r="EH26" i="21"/>
  <c r="DR26" i="21"/>
  <c r="DL26" i="21"/>
  <c r="DF26" i="21"/>
  <c r="CZ26" i="21"/>
  <c r="BF26" i="21"/>
  <c r="GH25" i="21"/>
  <c r="GH27" i="21"/>
  <c r="GB27" i="21"/>
  <c r="FV27" i="21"/>
  <c r="FP27" i="21"/>
  <c r="ET27" i="21"/>
  <c r="EN27" i="21"/>
  <c r="EH27" i="21"/>
  <c r="DR27" i="21"/>
  <c r="DL27" i="21"/>
  <c r="DF27" i="21"/>
  <c r="CZ27" i="21"/>
  <c r="BF27" i="21"/>
  <c r="GG26" i="21"/>
  <c r="GA26" i="21"/>
  <c r="FU26" i="21"/>
  <c r="FO26" i="21"/>
  <c r="ES26" i="21"/>
  <c r="EM26" i="21"/>
  <c r="EG26" i="21"/>
  <c r="DQ26" i="21"/>
  <c r="DK26" i="21"/>
  <c r="DE26" i="21"/>
  <c r="CY26" i="21"/>
  <c r="FY27" i="21"/>
  <c r="FM27" i="21"/>
  <c r="EQ27" i="21"/>
  <c r="EE27" i="21"/>
  <c r="DI27" i="21"/>
  <c r="CW27" i="21"/>
  <c r="GD26" i="21"/>
  <c r="FR26" i="21"/>
  <c r="EV26" i="21"/>
  <c r="EJ26" i="21"/>
  <c r="DN26" i="21"/>
  <c r="DB26" i="21"/>
  <c r="GA25" i="21"/>
  <c r="FT25" i="21"/>
  <c r="FM25" i="21"/>
  <c r="EV25" i="21"/>
  <c r="EN25" i="21"/>
  <c r="EG25" i="21"/>
  <c r="DQ25" i="21"/>
  <c r="DK25" i="21"/>
  <c r="DE25" i="21"/>
  <c r="CY25" i="21"/>
  <c r="GF24" i="21"/>
  <c r="FZ24" i="21"/>
  <c r="FT24" i="21"/>
  <c r="FN24" i="21"/>
  <c r="EX24" i="21"/>
  <c r="ER24" i="21"/>
  <c r="EL24" i="21"/>
  <c r="EF24" i="21"/>
  <c r="DP24" i="21"/>
  <c r="DJ24" i="21"/>
  <c r="DD24" i="21"/>
  <c r="CX24" i="21"/>
  <c r="GE23" i="21"/>
  <c r="FY23" i="21"/>
  <c r="FS23" i="21"/>
  <c r="FM23" i="21"/>
  <c r="EW23" i="21"/>
  <c r="EQ23" i="21"/>
  <c r="EK23" i="21"/>
  <c r="EE23" i="21"/>
  <c r="DO23" i="21"/>
  <c r="DI23" i="21"/>
  <c r="DC23" i="21"/>
  <c r="CW23" i="21"/>
  <c r="GD22" i="21"/>
  <c r="FX22" i="21"/>
  <c r="FR22" i="21"/>
  <c r="FL22" i="21"/>
  <c r="EV22" i="21"/>
  <c r="EP22" i="21"/>
  <c r="EJ22" i="21"/>
  <c r="ED22" i="21"/>
  <c r="BF29" i="21"/>
  <c r="GG27" i="21"/>
  <c r="FU27" i="21"/>
  <c r="EM27" i="21"/>
  <c r="DQ27" i="21"/>
  <c r="DE27" i="21"/>
  <c r="FZ26" i="21"/>
  <c r="FN26" i="21"/>
  <c r="ER26" i="21"/>
  <c r="EF26" i="21"/>
  <c r="DJ26" i="21"/>
  <c r="CX26" i="21"/>
  <c r="GG25" i="21"/>
  <c r="FZ25" i="21"/>
  <c r="FS25" i="21"/>
  <c r="FL25" i="21"/>
  <c r="ET25" i="21"/>
  <c r="EM25" i="21"/>
  <c r="EF25" i="21"/>
  <c r="DP25" i="21"/>
  <c r="DJ25" i="21"/>
  <c r="DD25" i="21"/>
  <c r="CX25" i="21"/>
  <c r="GE24" i="21"/>
  <c r="FY24" i="21"/>
  <c r="FS24" i="21"/>
  <c r="FM24" i="21"/>
  <c r="EW24" i="21"/>
  <c r="EQ24" i="21"/>
  <c r="EK24" i="21"/>
  <c r="EE24" i="21"/>
  <c r="DO24" i="21"/>
  <c r="DI24" i="21"/>
  <c r="DC24" i="21"/>
  <c r="CW24" i="21"/>
  <c r="GD23" i="21"/>
  <c r="FX23" i="21"/>
  <c r="FR23" i="21"/>
  <c r="FL23" i="21"/>
  <c r="EV23" i="21"/>
  <c r="EP23" i="21"/>
  <c r="EJ23" i="21"/>
  <c r="ED23" i="21"/>
  <c r="DN23" i="21"/>
  <c r="DH23" i="21"/>
  <c r="DB23" i="21"/>
  <c r="CV23" i="21"/>
  <c r="GF27" i="21"/>
  <c r="FT27" i="21"/>
  <c r="EX27" i="21"/>
  <c r="EL27" i="21"/>
  <c r="DP27" i="21"/>
  <c r="DD27" i="21"/>
  <c r="FY26" i="21"/>
  <c r="FM26" i="21"/>
  <c r="EQ26" i="21"/>
  <c r="EE26" i="21"/>
  <c r="DI26" i="21"/>
  <c r="CW26" i="21"/>
  <c r="GF25" i="21"/>
  <c r="FY25" i="21"/>
  <c r="FR25" i="21"/>
  <c r="ES25" i="21"/>
  <c r="EL25" i="21"/>
  <c r="EE25" i="21"/>
  <c r="DO25" i="21"/>
  <c r="DI25" i="21"/>
  <c r="DC25" i="21"/>
  <c r="CW25" i="21"/>
  <c r="GD24" i="21"/>
  <c r="FX24" i="21"/>
  <c r="FR24" i="21"/>
  <c r="FL24" i="21"/>
  <c r="EV24" i="21"/>
  <c r="EP24" i="21"/>
  <c r="EJ24" i="21"/>
  <c r="ED24" i="21"/>
  <c r="DN24" i="21"/>
  <c r="DH24" i="21"/>
  <c r="DB24" i="21"/>
  <c r="CV24" i="21"/>
  <c r="GI23" i="21"/>
  <c r="GC23" i="21"/>
  <c r="FW23" i="21"/>
  <c r="FQ23" i="21"/>
  <c r="FA23" i="21"/>
  <c r="EU23" i="21"/>
  <c r="EO23" i="21"/>
  <c r="EI23" i="21"/>
  <c r="DS23" i="21"/>
  <c r="DM23" i="21"/>
  <c r="DG23" i="21"/>
  <c r="DA23" i="21"/>
  <c r="GH22" i="21"/>
  <c r="FO27" i="21"/>
  <c r="EG27" i="21"/>
  <c r="CY27" i="21"/>
  <c r="FL26" i="21"/>
  <c r="ED26" i="21"/>
  <c r="CV26" i="21"/>
  <c r="GE25" i="21"/>
  <c r="FP25" i="21"/>
  <c r="ER25" i="21"/>
  <c r="ED25" i="21"/>
  <c r="DH25" i="21"/>
  <c r="CV25" i="21"/>
  <c r="GG24" i="21"/>
  <c r="FU24" i="21"/>
  <c r="EY24" i="21"/>
  <c r="EM24" i="21"/>
  <c r="DQ24" i="21"/>
  <c r="DE24" i="21"/>
  <c r="GA23" i="21"/>
  <c r="FO23" i="21"/>
  <c r="ES23" i="21"/>
  <c r="EG23" i="21"/>
  <c r="DK23" i="21"/>
  <c r="CY23" i="21"/>
  <c r="GE22" i="21"/>
  <c r="FW22" i="21"/>
  <c r="FP22" i="21"/>
  <c r="EY22" i="21"/>
  <c r="ER22" i="21"/>
  <c r="EK22" i="21"/>
  <c r="DS22" i="21"/>
  <c r="DM22" i="21"/>
  <c r="DG22" i="21"/>
  <c r="DA22" i="21"/>
  <c r="GD21" i="21"/>
  <c r="FX21" i="21"/>
  <c r="FR21" i="21"/>
  <c r="FL21" i="21"/>
  <c r="EV21" i="21"/>
  <c r="FN27" i="21"/>
  <c r="EF27" i="21"/>
  <c r="CX27" i="21"/>
  <c r="GF26" i="21"/>
  <c r="DP26" i="21"/>
  <c r="GD25" i="21"/>
  <c r="FO25" i="21"/>
  <c r="EQ25" i="21"/>
  <c r="DS25" i="21"/>
  <c r="DG25" i="21"/>
  <c r="GC24" i="21"/>
  <c r="FQ24" i="21"/>
  <c r="EU24" i="21"/>
  <c r="EI24" i="21"/>
  <c r="DM24" i="21"/>
  <c r="DA24" i="21"/>
  <c r="FZ23" i="21"/>
  <c r="FN23" i="21"/>
  <c r="ER23" i="21"/>
  <c r="EF23" i="21"/>
  <c r="DJ23" i="21"/>
  <c r="CX23" i="21"/>
  <c r="GC22" i="21"/>
  <c r="FV22" i="21"/>
  <c r="FO22" i="21"/>
  <c r="EX22" i="21"/>
  <c r="EQ22" i="21"/>
  <c r="EI22" i="21"/>
  <c r="DR22" i="21"/>
  <c r="DL22" i="21"/>
  <c r="DF22" i="21"/>
  <c r="CZ22" i="21"/>
  <c r="BF22" i="21"/>
  <c r="GI21" i="21"/>
  <c r="GC21" i="21"/>
  <c r="FW21" i="21"/>
  <c r="FQ21" i="21"/>
  <c r="FA21" i="21"/>
  <c r="EU21" i="21"/>
  <c r="EO21" i="21"/>
  <c r="EI21" i="21"/>
  <c r="DS21" i="21"/>
  <c r="DM21" i="21"/>
  <c r="DG21" i="21"/>
  <c r="DA21" i="21"/>
  <c r="GH20" i="21"/>
  <c r="GB20" i="21"/>
  <c r="FV20" i="21"/>
  <c r="FP20" i="21"/>
  <c r="EZ20" i="21"/>
  <c r="ET20" i="21"/>
  <c r="EN20" i="21"/>
  <c r="EH20" i="21"/>
  <c r="DR20" i="21"/>
  <c r="DL20" i="21"/>
  <c r="DF20" i="21"/>
  <c r="CZ20" i="21"/>
  <c r="BF20" i="21"/>
  <c r="GE27" i="21"/>
  <c r="EW27" i="21"/>
  <c r="DO27" i="21"/>
  <c r="GE26" i="21"/>
  <c r="EW26" i="21"/>
  <c r="DO26" i="21"/>
  <c r="GB25" i="21"/>
  <c r="FN25" i="21"/>
  <c r="EP25" i="21"/>
  <c r="DR25" i="21"/>
  <c r="DF25" i="21"/>
  <c r="BF25" i="21"/>
  <c r="GB24" i="21"/>
  <c r="FP24" i="21"/>
  <c r="ET24" i="21"/>
  <c r="EH24" i="21"/>
  <c r="DL24" i="21"/>
  <c r="CZ24" i="21"/>
  <c r="GH23" i="21"/>
  <c r="FV23" i="21"/>
  <c r="EZ23" i="21"/>
  <c r="EN23" i="21"/>
  <c r="DR23" i="21"/>
  <c r="DF23" i="21"/>
  <c r="GB22" i="21"/>
  <c r="FU22" i="21"/>
  <c r="FN22" i="21"/>
  <c r="EO22" i="21"/>
  <c r="EH22" i="21"/>
  <c r="DQ22" i="21"/>
  <c r="DK22" i="21"/>
  <c r="DE22" i="21"/>
  <c r="CY22" i="21"/>
  <c r="GH21" i="21"/>
  <c r="GB21" i="21"/>
  <c r="FV21" i="21"/>
  <c r="FP21" i="21"/>
  <c r="EZ21" i="21"/>
  <c r="ET21" i="21"/>
  <c r="EN21" i="21"/>
  <c r="EH21" i="21"/>
  <c r="DR21" i="21"/>
  <c r="DL21" i="21"/>
  <c r="DF21" i="21"/>
  <c r="CZ21" i="21"/>
  <c r="BF21" i="21"/>
  <c r="GG20" i="21"/>
  <c r="GA20" i="21"/>
  <c r="FU20" i="21"/>
  <c r="FO20" i="21"/>
  <c r="EY20" i="21"/>
  <c r="ES20" i="21"/>
  <c r="EM20" i="21"/>
  <c r="EG20" i="21"/>
  <c r="DQ20" i="21"/>
  <c r="DK20" i="21"/>
  <c r="GA27" i="21"/>
  <c r="ES27" i="21"/>
  <c r="DK27" i="21"/>
  <c r="FX26" i="21"/>
  <c r="EP26" i="21"/>
  <c r="DH26" i="21"/>
  <c r="FX25" i="21"/>
  <c r="EY25" i="21"/>
  <c r="EK25" i="21"/>
  <c r="DN25" i="21"/>
  <c r="DB25" i="21"/>
  <c r="GA24" i="21"/>
  <c r="FO24" i="21"/>
  <c r="ES24" i="21"/>
  <c r="EG24" i="21"/>
  <c r="DK24" i="21"/>
  <c r="CY24" i="21"/>
  <c r="GG23" i="21"/>
  <c r="FU23" i="21"/>
  <c r="EY23" i="21"/>
  <c r="EM23" i="21"/>
  <c r="DQ23" i="21"/>
  <c r="DE23" i="21"/>
  <c r="GI22" i="21"/>
  <c r="GA22" i="21"/>
  <c r="FT22" i="21"/>
  <c r="FM22" i="21"/>
  <c r="EU22" i="21"/>
  <c r="EN22" i="21"/>
  <c r="EG22" i="21"/>
  <c r="DP22" i="21"/>
  <c r="DJ22" i="21"/>
  <c r="DD22" i="21"/>
  <c r="CX22" i="21"/>
  <c r="GG21" i="21"/>
  <c r="GA21" i="21"/>
  <c r="FU21" i="21"/>
  <c r="FO21" i="21"/>
  <c r="EY21" i="21"/>
  <c r="ES21" i="21"/>
  <c r="EM21" i="21"/>
  <c r="EG21" i="21"/>
  <c r="DQ21" i="21"/>
  <c r="DK21" i="21"/>
  <c r="DE21" i="21"/>
  <c r="CY21" i="21"/>
  <c r="GF20" i="21"/>
  <c r="FZ20" i="21"/>
  <c r="FT20" i="21"/>
  <c r="FN20" i="21"/>
  <c r="EX20" i="21"/>
  <c r="ER20" i="21"/>
  <c r="EL20" i="21"/>
  <c r="EF20" i="21"/>
  <c r="FS27" i="21"/>
  <c r="EK26" i="21"/>
  <c r="EJ25" i="21"/>
  <c r="FW24" i="21"/>
  <c r="DS24" i="21"/>
  <c r="FP23" i="21"/>
  <c r="DL23" i="21"/>
  <c r="FS22" i="21"/>
  <c r="EM22" i="21"/>
  <c r="DI22" i="21"/>
  <c r="GF21" i="21"/>
  <c r="FN21" i="21"/>
  <c r="EP21" i="21"/>
  <c r="ED21" i="21"/>
  <c r="DH21" i="21"/>
  <c r="CV21" i="21"/>
  <c r="GC20" i="21"/>
  <c r="FQ20" i="21"/>
  <c r="EU20" i="21"/>
  <c r="EI20" i="21"/>
  <c r="DN20" i="21"/>
  <c r="DE20" i="21"/>
  <c r="CX20" i="21"/>
  <c r="GH19" i="21"/>
  <c r="GB19" i="21"/>
  <c r="FV19" i="21"/>
  <c r="FP19" i="21"/>
  <c r="EZ19" i="21"/>
  <c r="ET19" i="21"/>
  <c r="EN19" i="21"/>
  <c r="EH19" i="21"/>
  <c r="DR19" i="21"/>
  <c r="DL19" i="21"/>
  <c r="DF19" i="21"/>
  <c r="CZ19" i="21"/>
  <c r="ER27" i="21"/>
  <c r="DD26" i="21"/>
  <c r="EH25" i="21"/>
  <c r="FV24" i="21"/>
  <c r="DR24" i="21"/>
  <c r="EX23" i="21"/>
  <c r="DD23" i="21"/>
  <c r="FQ22" i="21"/>
  <c r="EL22" i="21"/>
  <c r="DH22" i="21"/>
  <c r="GE21" i="21"/>
  <c r="FM21" i="21"/>
  <c r="EL21" i="21"/>
  <c r="DP21" i="21"/>
  <c r="DD21" i="21"/>
  <c r="FY20" i="21"/>
  <c r="FM20" i="21"/>
  <c r="EQ20" i="21"/>
  <c r="EE20" i="21"/>
  <c r="DM20" i="21"/>
  <c r="DD20" i="21"/>
  <c r="CW20" i="21"/>
  <c r="GG19" i="21"/>
  <c r="GA19" i="21"/>
  <c r="FU19" i="21"/>
  <c r="FO19" i="21"/>
  <c r="EY19" i="21"/>
  <c r="ES19" i="21"/>
  <c r="EM19" i="21"/>
  <c r="EG19" i="21"/>
  <c r="DQ19" i="21"/>
  <c r="DK19" i="21"/>
  <c r="DE19" i="21"/>
  <c r="CY19" i="21"/>
  <c r="GG18" i="21"/>
  <c r="GA18" i="21"/>
  <c r="FU18" i="21"/>
  <c r="FO18" i="21"/>
  <c r="EY18" i="21"/>
  <c r="EM18" i="21"/>
  <c r="EG18" i="21"/>
  <c r="DQ18" i="21"/>
  <c r="DK18" i="21"/>
  <c r="DE18" i="21"/>
  <c r="CY18" i="21"/>
  <c r="GE17" i="21"/>
  <c r="FY17" i="21"/>
  <c r="FS17" i="21"/>
  <c r="FM17" i="21"/>
  <c r="EW17" i="21"/>
  <c r="EQ17" i="21"/>
  <c r="EK17" i="21"/>
  <c r="EE17" i="21"/>
  <c r="DO17" i="21"/>
  <c r="DI17" i="21"/>
  <c r="DC17" i="21"/>
  <c r="CW17" i="21"/>
  <c r="GG16" i="21"/>
  <c r="GA16" i="21"/>
  <c r="FU16" i="21"/>
  <c r="FO16" i="21"/>
  <c r="EY16" i="21"/>
  <c r="EM16" i="21"/>
  <c r="EG16" i="21"/>
  <c r="DQ16" i="21"/>
  <c r="DK16" i="21"/>
  <c r="DE16" i="21"/>
  <c r="CY16" i="21"/>
  <c r="GI15" i="21"/>
  <c r="GC15" i="21"/>
  <c r="FW15" i="21"/>
  <c r="FQ15" i="21"/>
  <c r="FA15" i="21"/>
  <c r="EU15" i="21"/>
  <c r="EO15" i="21"/>
  <c r="EI15" i="21"/>
  <c r="DS15" i="21"/>
  <c r="DM15" i="21"/>
  <c r="DG15" i="21"/>
  <c r="DA15" i="21"/>
  <c r="GI14" i="21"/>
  <c r="GC14" i="21"/>
  <c r="FW14" i="21"/>
  <c r="FQ14" i="21"/>
  <c r="FA14" i="21"/>
  <c r="EU14" i="21"/>
  <c r="EO14" i="21"/>
  <c r="EI14" i="21"/>
  <c r="DS14" i="21"/>
  <c r="DM14" i="21"/>
  <c r="DG14" i="21"/>
  <c r="DA14" i="21"/>
  <c r="GD13" i="21"/>
  <c r="FX13" i="21"/>
  <c r="FR13" i="21"/>
  <c r="FL13" i="21"/>
  <c r="EV13" i="21"/>
  <c r="EP13" i="21"/>
  <c r="EJ13" i="21"/>
  <c r="ED13" i="21"/>
  <c r="DN13" i="21"/>
  <c r="DH13" i="21"/>
  <c r="DB13" i="21"/>
  <c r="CV13" i="21"/>
  <c r="GH12" i="21"/>
  <c r="GB12" i="21"/>
  <c r="FV12" i="21"/>
  <c r="FP12" i="21"/>
  <c r="EZ12" i="21"/>
  <c r="ET12" i="21"/>
  <c r="EH12" i="21"/>
  <c r="DR12" i="21"/>
  <c r="DL12" i="21"/>
  <c r="EK27" i="21"/>
  <c r="DC26" i="21"/>
  <c r="FV25" i="21"/>
  <c r="DM25" i="21"/>
  <c r="FA24" i="21"/>
  <c r="DG24" i="21"/>
  <c r="ET23" i="21"/>
  <c r="CZ23" i="21"/>
  <c r="GG22" i="21"/>
  <c r="FA22" i="21"/>
  <c r="EF22" i="21"/>
  <c r="DC22" i="21"/>
  <c r="FZ21" i="21"/>
  <c r="EX21" i="21"/>
  <c r="EK21" i="21"/>
  <c r="DO21" i="21"/>
  <c r="DC21" i="21"/>
  <c r="FX20" i="21"/>
  <c r="FL20" i="21"/>
  <c r="EP20" i="21"/>
  <c r="ED20" i="21"/>
  <c r="DJ20" i="21"/>
  <c r="DC20" i="21"/>
  <c r="CV20" i="21"/>
  <c r="GF19" i="21"/>
  <c r="FZ19" i="21"/>
  <c r="FT19" i="21"/>
  <c r="FN19" i="21"/>
  <c r="EX19" i="21"/>
  <c r="EL19" i="21"/>
  <c r="EF19" i="21"/>
  <c r="DP19" i="21"/>
  <c r="DJ19" i="21"/>
  <c r="DD19" i="21"/>
  <c r="CX19" i="21"/>
  <c r="GF18" i="21"/>
  <c r="FZ18" i="21"/>
  <c r="FT18" i="21"/>
  <c r="FN18" i="21"/>
  <c r="EX18" i="21"/>
  <c r="ER18" i="21"/>
  <c r="EL18" i="21"/>
  <c r="EF18" i="21"/>
  <c r="DP18" i="21"/>
  <c r="DJ18" i="21"/>
  <c r="DD18" i="21"/>
  <c r="CX18" i="21"/>
  <c r="GD17" i="21"/>
  <c r="FX17" i="21"/>
  <c r="FR17" i="21"/>
  <c r="FL17" i="21"/>
  <c r="EV17" i="21"/>
  <c r="EP17" i="21"/>
  <c r="EJ17" i="21"/>
  <c r="ED17" i="21"/>
  <c r="DN17" i="21"/>
  <c r="DH17" i="21"/>
  <c r="DB17" i="21"/>
  <c r="CV17" i="21"/>
  <c r="GF16" i="21"/>
  <c r="FZ16" i="21"/>
  <c r="FT16" i="21"/>
  <c r="FN16" i="21"/>
  <c r="EX16" i="21"/>
  <c r="EL16" i="21"/>
  <c r="EF16" i="21"/>
  <c r="DP16" i="21"/>
  <c r="DJ16" i="21"/>
  <c r="DD16" i="21"/>
  <c r="CX16" i="21"/>
  <c r="GH15" i="21"/>
  <c r="GB15" i="21"/>
  <c r="FV15" i="21"/>
  <c r="FP15" i="21"/>
  <c r="EZ15" i="21"/>
  <c r="ET15" i="21"/>
  <c r="EN15" i="21"/>
  <c r="EH15" i="21"/>
  <c r="DR15" i="21"/>
  <c r="DL15" i="21"/>
  <c r="DF15" i="21"/>
  <c r="CZ15" i="21"/>
  <c r="BF15" i="21"/>
  <c r="GH14" i="21"/>
  <c r="GB14" i="21"/>
  <c r="FV14" i="21"/>
  <c r="FP14" i="21"/>
  <c r="EZ14" i="21"/>
  <c r="ET14" i="21"/>
  <c r="EN14" i="21"/>
  <c r="EH14" i="21"/>
  <c r="DR14" i="21"/>
  <c r="DL14" i="21"/>
  <c r="DF14" i="21"/>
  <c r="CZ14" i="21"/>
  <c r="BF14" i="21"/>
  <c r="GI13" i="21"/>
  <c r="GC13" i="21"/>
  <c r="FW13" i="21"/>
  <c r="FQ13" i="21"/>
  <c r="FA13" i="21"/>
  <c r="EU13" i="21"/>
  <c r="EO13" i="21"/>
  <c r="EI13" i="21"/>
  <c r="DS13" i="21"/>
  <c r="DM13" i="21"/>
  <c r="DG13" i="21"/>
  <c r="DA13" i="21"/>
  <c r="GG12" i="21"/>
  <c r="GA12" i="21"/>
  <c r="FU12" i="21"/>
  <c r="FO12" i="21"/>
  <c r="EY12" i="21"/>
  <c r="ES12" i="21"/>
  <c r="EM12" i="21"/>
  <c r="EG12" i="21"/>
  <c r="DQ12" i="21"/>
  <c r="DK12" i="21"/>
  <c r="DE12" i="21"/>
  <c r="CY12" i="21"/>
  <c r="DL25" i="21"/>
  <c r="GH24" i="21"/>
  <c r="EH23" i="21"/>
  <c r="ES22" i="21"/>
  <c r="CV22" i="21"/>
  <c r="ER21" i="21"/>
  <c r="DJ21" i="21"/>
  <c r="GD20" i="21"/>
  <c r="EV20" i="21"/>
  <c r="DO20" i="21"/>
  <c r="CY20" i="21"/>
  <c r="GI19" i="21"/>
  <c r="FW19" i="21"/>
  <c r="FA19" i="21"/>
  <c r="EO19" i="21"/>
  <c r="DS19" i="21"/>
  <c r="DG19" i="21"/>
  <c r="GC18" i="21"/>
  <c r="FS18" i="21"/>
  <c r="FA18" i="21"/>
  <c r="EI18" i="21"/>
  <c r="DO18" i="21"/>
  <c r="DG18" i="21"/>
  <c r="CW18" i="21"/>
  <c r="GB17" i="21"/>
  <c r="FT17" i="21"/>
  <c r="EZ17" i="21"/>
  <c r="EH17" i="21"/>
  <c r="DP17" i="21"/>
  <c r="DF17" i="21"/>
  <c r="CX17" i="21"/>
  <c r="BF17" i="21"/>
  <c r="GE16" i="21"/>
  <c r="FW16" i="21"/>
  <c r="FM16" i="21"/>
  <c r="EU16" i="21"/>
  <c r="EK16" i="21"/>
  <c r="DS16" i="21"/>
  <c r="DI16" i="21"/>
  <c r="DA16" i="21"/>
  <c r="GF15" i="21"/>
  <c r="FX15" i="21"/>
  <c r="FN15" i="21"/>
  <c r="EV15" i="21"/>
  <c r="ED15" i="21"/>
  <c r="DJ15" i="21"/>
  <c r="DB15" i="21"/>
  <c r="GD14" i="21"/>
  <c r="FT14" i="21"/>
  <c r="FL14" i="21"/>
  <c r="ER14" i="21"/>
  <c r="EJ14" i="21"/>
  <c r="DP14" i="21"/>
  <c r="DH14" i="21"/>
  <c r="CX14" i="21"/>
  <c r="GB13" i="21"/>
  <c r="FT13" i="21"/>
  <c r="EZ13" i="21"/>
  <c r="ER13" i="21"/>
  <c r="EH13" i="21"/>
  <c r="DP13" i="21"/>
  <c r="DF13" i="21"/>
  <c r="CX13" i="21"/>
  <c r="GC12" i="21"/>
  <c r="FS12" i="21"/>
  <c r="FA12" i="21"/>
  <c r="EQ12" i="21"/>
  <c r="EI12" i="21"/>
  <c r="DO12" i="21"/>
  <c r="DG12" i="21"/>
  <c r="CZ12" i="21"/>
  <c r="GG11" i="21"/>
  <c r="GA11" i="21"/>
  <c r="FU11" i="21"/>
  <c r="FO11" i="21"/>
  <c r="EY11" i="21"/>
  <c r="ES11" i="21"/>
  <c r="EM11" i="21"/>
  <c r="EG11" i="21"/>
  <c r="DQ11" i="21"/>
  <c r="DK11" i="21"/>
  <c r="DE11" i="21"/>
  <c r="CY11" i="21"/>
  <c r="GI10" i="21"/>
  <c r="GC10" i="21"/>
  <c r="FW10" i="21"/>
  <c r="FQ10" i="21"/>
  <c r="FA10" i="21"/>
  <c r="EU10" i="21"/>
  <c r="EO10" i="21"/>
  <c r="DS10" i="21"/>
  <c r="DM10" i="21"/>
  <c r="DG10" i="21"/>
  <c r="DA10" i="21"/>
  <c r="GE9" i="21"/>
  <c r="FY9" i="21"/>
  <c r="FS9" i="21"/>
  <c r="FM9" i="21"/>
  <c r="EW9" i="21"/>
  <c r="EQ9" i="21"/>
  <c r="EK9" i="21"/>
  <c r="EE9" i="21"/>
  <c r="DO9" i="21"/>
  <c r="DI9" i="21"/>
  <c r="DC9" i="21"/>
  <c r="CW9" i="21"/>
  <c r="FZ27" i="21"/>
  <c r="FT26" i="21"/>
  <c r="DA25" i="21"/>
  <c r="DP23" i="21"/>
  <c r="GF22" i="21"/>
  <c r="EE22" i="21"/>
  <c r="EQ21" i="21"/>
  <c r="DI21" i="21"/>
  <c r="FW20" i="21"/>
  <c r="EO20" i="21"/>
  <c r="DI20" i="21"/>
  <c r="GE19" i="21"/>
  <c r="FS19" i="21"/>
  <c r="EW19" i="21"/>
  <c r="EK19" i="21"/>
  <c r="DO19" i="21"/>
  <c r="DC19" i="21"/>
  <c r="GB18" i="21"/>
  <c r="FR18" i="21"/>
  <c r="EZ18" i="21"/>
  <c r="EH18" i="21"/>
  <c r="DN18" i="21"/>
  <c r="DF18" i="21"/>
  <c r="CV18" i="21"/>
  <c r="GI17" i="21"/>
  <c r="GA17" i="21"/>
  <c r="FQ17" i="21"/>
  <c r="EY17" i="21"/>
  <c r="EO17" i="21"/>
  <c r="EG17" i="21"/>
  <c r="DM17" i="21"/>
  <c r="DE17" i="21"/>
  <c r="GD16" i="21"/>
  <c r="FV16" i="21"/>
  <c r="FL16" i="21"/>
  <c r="ET16" i="21"/>
  <c r="EJ16" i="21"/>
  <c r="DR16" i="21"/>
  <c r="DH16" i="21"/>
  <c r="CZ16" i="21"/>
  <c r="GE15" i="21"/>
  <c r="FU15" i="21"/>
  <c r="FM15" i="21"/>
  <c r="ES15" i="21"/>
  <c r="EK15" i="21"/>
  <c r="DQ15" i="21"/>
  <c r="DI15" i="21"/>
  <c r="CY15" i="21"/>
  <c r="GA14" i="21"/>
  <c r="FS14" i="21"/>
  <c r="EY14" i="21"/>
  <c r="EQ14" i="21"/>
  <c r="EG14" i="21"/>
  <c r="DO14" i="21"/>
  <c r="DE14" i="21"/>
  <c r="CW14" i="21"/>
  <c r="GA13" i="21"/>
  <c r="FS13" i="21"/>
  <c r="EY13" i="21"/>
  <c r="EQ13" i="21"/>
  <c r="EG13" i="21"/>
  <c r="DO13" i="21"/>
  <c r="DE13" i="21"/>
  <c r="CW13" i="21"/>
  <c r="FZ12" i="21"/>
  <c r="FR12" i="21"/>
  <c r="EX12" i="21"/>
  <c r="EP12" i="21"/>
  <c r="EF12" i="21"/>
  <c r="DN12" i="21"/>
  <c r="DF12" i="21"/>
  <c r="CX12" i="21"/>
  <c r="GF11" i="21"/>
  <c r="FZ11" i="21"/>
  <c r="FT11" i="21"/>
  <c r="FN11" i="21"/>
  <c r="EX11" i="21"/>
  <c r="ER11" i="21"/>
  <c r="EL11" i="21"/>
  <c r="EF11" i="21"/>
  <c r="DP11" i="21"/>
  <c r="DJ11" i="21"/>
  <c r="DD11" i="21"/>
  <c r="CX11" i="21"/>
  <c r="GH10" i="21"/>
  <c r="GB10" i="21"/>
  <c r="FV10" i="21"/>
  <c r="FP10" i="21"/>
  <c r="EZ10" i="21"/>
  <c r="ET10" i="21"/>
  <c r="EN10" i="21"/>
  <c r="EH10" i="21"/>
  <c r="DR10" i="21"/>
  <c r="DL10" i="21"/>
  <c r="DF10" i="21"/>
  <c r="CZ10" i="21"/>
  <c r="BF10" i="21"/>
  <c r="GD9" i="21"/>
  <c r="FX9" i="21"/>
  <c r="FR9" i="21"/>
  <c r="FL9" i="21"/>
  <c r="EV9" i="21"/>
  <c r="EP9" i="21"/>
  <c r="ED9" i="21"/>
  <c r="DN9" i="21"/>
  <c r="DH9" i="21"/>
  <c r="DB9" i="21"/>
  <c r="CV9" i="21"/>
  <c r="GE8" i="21"/>
  <c r="DJ27" i="21"/>
  <c r="FS26" i="21"/>
  <c r="CZ25" i="21"/>
  <c r="EO24" i="21"/>
  <c r="GF23" i="21"/>
  <c r="FZ22" i="21"/>
  <c r="DO22" i="21"/>
  <c r="FY21" i="21"/>
  <c r="EJ21" i="21"/>
  <c r="DB21" i="21"/>
  <c r="FS20" i="21"/>
  <c r="EK20" i="21"/>
  <c r="DH20" i="21"/>
  <c r="GD19" i="21"/>
  <c r="FR19" i="21"/>
  <c r="EV19" i="21"/>
  <c r="EJ19" i="21"/>
  <c r="DN19" i="21"/>
  <c r="DB19" i="21"/>
  <c r="BF19" i="21"/>
  <c r="GI18" i="21"/>
  <c r="FY18" i="21"/>
  <c r="FQ18" i="21"/>
  <c r="EW18" i="21"/>
  <c r="EO18" i="21"/>
  <c r="EE18" i="21"/>
  <c r="DM18" i="21"/>
  <c r="DC18" i="21"/>
  <c r="GH17" i="21"/>
  <c r="FZ17" i="21"/>
  <c r="FP17" i="21"/>
  <c r="EX17" i="21"/>
  <c r="EN17" i="21"/>
  <c r="EF17" i="21"/>
  <c r="DL17" i="21"/>
  <c r="DD17" i="21"/>
  <c r="GC16" i="21"/>
  <c r="FS16" i="21"/>
  <c r="FA16" i="21"/>
  <c r="EQ16" i="21"/>
  <c r="EI16" i="21"/>
  <c r="DO16" i="21"/>
  <c r="DG16" i="21"/>
  <c r="CW16" i="21"/>
  <c r="GD15" i="21"/>
  <c r="FT15" i="21"/>
  <c r="FL15" i="21"/>
  <c r="ER15" i="21"/>
  <c r="EJ15" i="21"/>
  <c r="DP15" i="21"/>
  <c r="DH15" i="21"/>
  <c r="CX15" i="21"/>
  <c r="FZ14" i="21"/>
  <c r="FR14" i="21"/>
  <c r="EX14" i="21"/>
  <c r="EP14" i="21"/>
  <c r="EF14" i="21"/>
  <c r="DN14" i="21"/>
  <c r="DD14" i="21"/>
  <c r="CV14" i="21"/>
  <c r="DC27" i="21"/>
  <c r="EW25" i="21"/>
  <c r="GB23" i="21"/>
  <c r="DB22" i="21"/>
  <c r="DN21" i="21"/>
  <c r="EJ20" i="21"/>
  <c r="FQ19" i="21"/>
  <c r="EI19" i="21"/>
  <c r="DA19" i="21"/>
  <c r="GE18" i="21"/>
  <c r="FM18" i="21"/>
  <c r="EK18" i="21"/>
  <c r="DI18" i="21"/>
  <c r="FU17" i="21"/>
  <c r="DQ17" i="21"/>
  <c r="CY17" i="21"/>
  <c r="GH16" i="21"/>
  <c r="FP16" i="21"/>
  <c r="EN16" i="21"/>
  <c r="DL16" i="21"/>
  <c r="FS15" i="21"/>
  <c r="EQ15" i="21"/>
  <c r="DO15" i="21"/>
  <c r="CW15" i="21"/>
  <c r="GF14" i="21"/>
  <c r="FN14" i="21"/>
  <c r="DJ14" i="21"/>
  <c r="GE13" i="21"/>
  <c r="FO13" i="21"/>
  <c r="ES13" i="21"/>
  <c r="EE13" i="21"/>
  <c r="DI13" i="21"/>
  <c r="FX12" i="21"/>
  <c r="FL12" i="21"/>
  <c r="EL12" i="21"/>
  <c r="DP12" i="21"/>
  <c r="DC12" i="21"/>
  <c r="GE11" i="21"/>
  <c r="FW11" i="21"/>
  <c r="FM11" i="21"/>
  <c r="EU11" i="21"/>
  <c r="EK11" i="21"/>
  <c r="DS11" i="21"/>
  <c r="DI11" i="21"/>
  <c r="DA11" i="21"/>
  <c r="GF10" i="21"/>
  <c r="FX10" i="21"/>
  <c r="FN10" i="21"/>
  <c r="EV10" i="21"/>
  <c r="EL10" i="21"/>
  <c r="ED10" i="21"/>
  <c r="DJ10" i="21"/>
  <c r="DB10" i="21"/>
  <c r="GB9" i="21"/>
  <c r="FT9" i="21"/>
  <c r="EZ9" i="21"/>
  <c r="ER9" i="21"/>
  <c r="EH9" i="21"/>
  <c r="DP9" i="21"/>
  <c r="DF9" i="21"/>
  <c r="CX9" i="21"/>
  <c r="GC8" i="21"/>
  <c r="FW8" i="21"/>
  <c r="FQ8" i="21"/>
  <c r="FA8" i="21"/>
  <c r="EU8" i="21"/>
  <c r="EO8" i="21"/>
  <c r="EI8" i="21"/>
  <c r="DS8" i="21"/>
  <c r="DM8" i="21"/>
  <c r="DG8" i="21"/>
  <c r="DA8" i="21"/>
  <c r="GI7" i="21"/>
  <c r="GC7" i="21"/>
  <c r="FW7" i="21"/>
  <c r="FQ7" i="21"/>
  <c r="FA7" i="21"/>
  <c r="EU7" i="21"/>
  <c r="EO7" i="21"/>
  <c r="EI7" i="21"/>
  <c r="DS7" i="21"/>
  <c r="DM7" i="21"/>
  <c r="DG7" i="21"/>
  <c r="DA7" i="21"/>
  <c r="GE6" i="21"/>
  <c r="FY6" i="21"/>
  <c r="FS6" i="21"/>
  <c r="FM6" i="21"/>
  <c r="EW6" i="21"/>
  <c r="EQ6" i="21"/>
  <c r="EK6" i="21"/>
  <c r="EE6" i="21"/>
  <c r="DO6" i="21"/>
  <c r="DI6" i="21"/>
  <c r="DC6" i="21"/>
  <c r="CW6" i="21"/>
  <c r="GF5" i="21"/>
  <c r="FZ5" i="21"/>
  <c r="FT5" i="21"/>
  <c r="FN5" i="21"/>
  <c r="EX5" i="21"/>
  <c r="ER5" i="21"/>
  <c r="EL5" i="21"/>
  <c r="EF5" i="21"/>
  <c r="DP5" i="21"/>
  <c r="DJ5" i="21"/>
  <c r="DD5" i="21"/>
  <c r="CX5" i="21"/>
  <c r="GH4" i="21"/>
  <c r="GB4" i="21"/>
  <c r="FV4" i="21"/>
  <c r="BF24" i="21"/>
  <c r="FT23" i="21"/>
  <c r="CW22" i="21"/>
  <c r="FT21" i="21"/>
  <c r="CX21" i="21"/>
  <c r="GI20" i="21"/>
  <c r="DS20" i="21"/>
  <c r="FM19" i="21"/>
  <c r="EE19" i="21"/>
  <c r="CW19" i="21"/>
  <c r="GD18" i="21"/>
  <c r="FL18" i="21"/>
  <c r="EJ18" i="21"/>
  <c r="DH18" i="21"/>
  <c r="GG17" i="21"/>
  <c r="FO17" i="21"/>
  <c r="EM17" i="21"/>
  <c r="DK17" i="21"/>
  <c r="GB16" i="21"/>
  <c r="EZ16" i="21"/>
  <c r="EH16" i="21"/>
  <c r="DF16" i="21"/>
  <c r="BF16" i="21"/>
  <c r="FR15" i="21"/>
  <c r="EP15" i="21"/>
  <c r="DN15" i="21"/>
  <c r="CV15" i="21"/>
  <c r="GE14" i="21"/>
  <c r="FM14" i="21"/>
  <c r="EK14" i="21"/>
  <c r="DI14" i="21"/>
  <c r="FZ13" i="21"/>
  <c r="FN13" i="21"/>
  <c r="DR13" i="21"/>
  <c r="DD13" i="21"/>
  <c r="GI12" i="21"/>
  <c r="FW12" i="21"/>
  <c r="EW12" i="21"/>
  <c r="EK12" i="21"/>
  <c r="DM12" i="21"/>
  <c r="DB12" i="21"/>
  <c r="GD11" i="21"/>
  <c r="FV11" i="21"/>
  <c r="FL11" i="21"/>
  <c r="ET11" i="21"/>
  <c r="EJ11" i="21"/>
  <c r="DR11" i="21"/>
  <c r="DH11" i="21"/>
  <c r="CZ11" i="21"/>
  <c r="GE10" i="21"/>
  <c r="FU10" i="21"/>
  <c r="FM10" i="21"/>
  <c r="ES10" i="21"/>
  <c r="EK10" i="21"/>
  <c r="DQ10" i="21"/>
  <c r="DI10" i="21"/>
  <c r="CY10" i="21"/>
  <c r="GI9" i="21"/>
  <c r="GA9" i="21"/>
  <c r="FQ9" i="21"/>
  <c r="EY9" i="21"/>
  <c r="EO9" i="21"/>
  <c r="EG9" i="21"/>
  <c r="DM9" i="21"/>
  <c r="DE9" i="21"/>
  <c r="GI8" i="21"/>
  <c r="GB8" i="21"/>
  <c r="FV8" i="21"/>
  <c r="FP8" i="21"/>
  <c r="EZ8" i="21"/>
  <c r="ET8" i="21"/>
  <c r="EN8" i="21"/>
  <c r="EH8" i="21"/>
  <c r="DR8" i="21"/>
  <c r="DL8" i="21"/>
  <c r="DF8" i="21"/>
  <c r="CZ8" i="21"/>
  <c r="GH7" i="21"/>
  <c r="GB7" i="21"/>
  <c r="FV7" i="21"/>
  <c r="FP7" i="21"/>
  <c r="EZ7" i="21"/>
  <c r="ET7" i="21"/>
  <c r="EN7" i="21"/>
  <c r="EH7" i="21"/>
  <c r="DR7" i="21"/>
  <c r="DL7" i="21"/>
  <c r="DF7" i="21"/>
  <c r="CZ7" i="21"/>
  <c r="GD6" i="21"/>
  <c r="FX6" i="21"/>
  <c r="FR6" i="21"/>
  <c r="FL6" i="21"/>
  <c r="EV6" i="21"/>
  <c r="EP6" i="21"/>
  <c r="EJ6" i="21"/>
  <c r="ED6" i="21"/>
  <c r="DN6" i="21"/>
  <c r="DH6" i="21"/>
  <c r="DB6" i="21"/>
  <c r="CV6" i="21"/>
  <c r="GE5" i="21"/>
  <c r="FY5" i="21"/>
  <c r="FS5" i="21"/>
  <c r="FM5" i="21"/>
  <c r="EW5" i="21"/>
  <c r="EQ5" i="21"/>
  <c r="EK5" i="21"/>
  <c r="EE5" i="21"/>
  <c r="DO5" i="21"/>
  <c r="GI24" i="21"/>
  <c r="EL23" i="21"/>
  <c r="FY22" i="21"/>
  <c r="FS21" i="21"/>
  <c r="CW21" i="21"/>
  <c r="GE20" i="21"/>
  <c r="DP20" i="21"/>
  <c r="FL19" i="21"/>
  <c r="ED19" i="21"/>
  <c r="CV19" i="21"/>
  <c r="FX18" i="21"/>
  <c r="EV18" i="21"/>
  <c r="ED18" i="21"/>
  <c r="DB18" i="21"/>
  <c r="GF17" i="21"/>
  <c r="FN17" i="21"/>
  <c r="EL17" i="21"/>
  <c r="DJ17" i="21"/>
  <c r="FY16" i="21"/>
  <c r="EW16" i="21"/>
  <c r="EE16" i="21"/>
  <c r="DC16" i="21"/>
  <c r="GG15" i="21"/>
  <c r="FO15" i="21"/>
  <c r="EM15" i="21"/>
  <c r="DK15" i="21"/>
  <c r="FY14" i="21"/>
  <c r="EW14" i="21"/>
  <c r="EE14" i="21"/>
  <c r="DC14" i="21"/>
  <c r="FY13" i="21"/>
  <c r="FM13" i="21"/>
  <c r="EM13" i="21"/>
  <c r="DQ13" i="21"/>
  <c r="DC13" i="21"/>
  <c r="GF12" i="21"/>
  <c r="FT12" i="21"/>
  <c r="EV12" i="21"/>
  <c r="EJ12" i="21"/>
  <c r="DJ12" i="21"/>
  <c r="DA12" i="21"/>
  <c r="GC11" i="21"/>
  <c r="FS11" i="21"/>
  <c r="FA11" i="21"/>
  <c r="EQ11" i="21"/>
  <c r="EI11" i="21"/>
  <c r="DO11" i="21"/>
  <c r="DG11" i="21"/>
  <c r="CW11" i="21"/>
  <c r="GD10" i="21"/>
  <c r="FT10" i="21"/>
  <c r="FL10" i="21"/>
  <c r="ER10" i="21"/>
  <c r="EJ10" i="21"/>
  <c r="DP10" i="21"/>
  <c r="DH10" i="21"/>
  <c r="CX10" i="21"/>
  <c r="GH9" i="21"/>
  <c r="FZ9" i="21"/>
  <c r="FP9" i="21"/>
  <c r="EX9" i="21"/>
  <c r="EN9" i="21"/>
  <c r="EF9" i="21"/>
  <c r="DL9" i="21"/>
  <c r="DD9" i="21"/>
  <c r="GH8" i="21"/>
  <c r="GA8" i="21"/>
  <c r="FU8" i="21"/>
  <c r="FO8" i="21"/>
  <c r="EY8" i="21"/>
  <c r="ES8" i="21"/>
  <c r="EM8" i="21"/>
  <c r="EG8" i="21"/>
  <c r="DQ8" i="21"/>
  <c r="DK8" i="21"/>
  <c r="DE8" i="21"/>
  <c r="CY8" i="21"/>
  <c r="GG7" i="21"/>
  <c r="GA7" i="21"/>
  <c r="FU7" i="21"/>
  <c r="FO7" i="21"/>
  <c r="EY7" i="21"/>
  <c r="ES7" i="21"/>
  <c r="EM7" i="21"/>
  <c r="EG7" i="21"/>
  <c r="DQ7" i="21"/>
  <c r="DK7" i="21"/>
  <c r="DE7" i="21"/>
  <c r="CY7" i="21"/>
  <c r="BF7" i="21"/>
  <c r="GI6" i="21"/>
  <c r="GC6" i="21"/>
  <c r="FW6" i="21"/>
  <c r="FQ6" i="21"/>
  <c r="FA6" i="21"/>
  <c r="EU6" i="21"/>
  <c r="EO6" i="21"/>
  <c r="EI6" i="21"/>
  <c r="DS6" i="21"/>
  <c r="DM6" i="21"/>
  <c r="DG6" i="21"/>
  <c r="DA6" i="21"/>
  <c r="GD5" i="21"/>
  <c r="FX5" i="21"/>
  <c r="FR5" i="21"/>
  <c r="FL5" i="21"/>
  <c r="EV5" i="21"/>
  <c r="EP5" i="21"/>
  <c r="EJ5" i="21"/>
  <c r="ED5" i="21"/>
  <c r="DN5" i="21"/>
  <c r="DH5" i="21"/>
  <c r="DB5" i="21"/>
  <c r="CV5" i="21"/>
  <c r="CX4" i="21"/>
  <c r="DD4" i="21"/>
  <c r="DJ4" i="21"/>
  <c r="DP4" i="21"/>
  <c r="EF4" i="21"/>
  <c r="EL4" i="21"/>
  <c r="ER4" i="21"/>
  <c r="EX4" i="21"/>
  <c r="FN4" i="21"/>
  <c r="FT4" i="21"/>
  <c r="GA4" i="21"/>
  <c r="GI4" i="21"/>
  <c r="AL5" i="21"/>
  <c r="BI5" i="21"/>
  <c r="CW5" i="21"/>
  <c r="DF5" i="21"/>
  <c r="DQ5" i="21"/>
  <c r="EM5" i="21"/>
  <c r="EY5" i="21"/>
  <c r="FU5" i="21"/>
  <c r="GG5" i="21"/>
  <c r="CX6" i="21"/>
  <c r="DJ6" i="21"/>
  <c r="EF6" i="21"/>
  <c r="ER6" i="21"/>
  <c r="FN6" i="21"/>
  <c r="FZ6" i="21"/>
  <c r="AM7" i="21"/>
  <c r="DC7" i="21"/>
  <c r="DO7" i="21"/>
  <c r="EK7" i="21"/>
  <c r="EW7" i="21"/>
  <c r="FS7" i="21"/>
  <c r="GE7" i="21"/>
  <c r="Z8" i="21"/>
  <c r="AA8" i="21" s="1"/>
  <c r="AL8" i="21"/>
  <c r="DC8" i="21"/>
  <c r="DO8" i="21"/>
  <c r="EW8" i="21"/>
  <c r="FS8" i="21"/>
  <c r="GF8" i="21"/>
  <c r="AL9" i="21"/>
  <c r="AM9" i="21"/>
  <c r="DA9" i="21"/>
  <c r="DS9" i="21"/>
  <c r="EU9" i="21"/>
  <c r="FW9" i="21"/>
  <c r="CV10" i="21"/>
  <c r="DN10" i="21"/>
  <c r="EP10" i="21"/>
  <c r="FR10" i="21"/>
  <c r="AE11" i="21"/>
  <c r="ER19" i="21" s="1"/>
  <c r="AD11" i="21"/>
  <c r="ES18" i="21" s="1"/>
  <c r="BF11" i="21"/>
  <c r="DF11" i="21"/>
  <c r="EZ11" i="21"/>
  <c r="GB11" i="21"/>
  <c r="DS12" i="21"/>
  <c r="FM12" i="21"/>
  <c r="CZ13" i="21"/>
  <c r="FV13" i="21"/>
  <c r="ED14" i="21"/>
  <c r="FX14" i="21"/>
  <c r="EF15" i="21"/>
  <c r="FZ15" i="21"/>
  <c r="DN16" i="21"/>
  <c r="FR16" i="21"/>
  <c r="DR17" i="21"/>
  <c r="FV17" i="21"/>
  <c r="DS18" i="21"/>
  <c r="FW18" i="21"/>
  <c r="FA20" i="21"/>
  <c r="EF21" i="21"/>
  <c r="DN22" i="21"/>
  <c r="G12" i="21"/>
  <c r="AN12" i="21" s="1"/>
  <c r="AA13" i="21"/>
  <c r="AA10" i="21"/>
  <c r="AL10" i="21"/>
  <c r="AE16" i="21"/>
  <c r="EE7" i="21" s="1"/>
  <c r="AD16" i="21"/>
  <c r="EG5" i="21" s="1"/>
  <c r="G44" i="21"/>
  <c r="AN44" i="21" s="1"/>
  <c r="G37" i="21"/>
  <c r="AN37" i="21" s="1"/>
  <c r="G35" i="21"/>
  <c r="AN35" i="21" s="1"/>
  <c r="G33" i="21"/>
  <c r="AN33" i="21" s="1"/>
  <c r="G32" i="21"/>
  <c r="AN32" i="21" s="1"/>
  <c r="G29" i="21"/>
  <c r="AN29" i="21" s="1"/>
  <c r="G53" i="21"/>
  <c r="AN53" i="21" s="1"/>
  <c r="G51" i="21"/>
  <c r="AN51" i="21" s="1"/>
  <c r="G49" i="21"/>
  <c r="AN49" i="21" s="1"/>
  <c r="G43" i="21"/>
  <c r="AN43" i="21" s="1"/>
  <c r="G39" i="21"/>
  <c r="AN39" i="21" s="1"/>
  <c r="G48" i="21"/>
  <c r="AN48" i="21" s="1"/>
  <c r="G41" i="21"/>
  <c r="AN41" i="21" s="1"/>
  <c r="G36" i="21"/>
  <c r="AN36" i="21" s="1"/>
  <c r="G54" i="21"/>
  <c r="AN54" i="21" s="1"/>
  <c r="G34" i="21"/>
  <c r="AN34" i="21" s="1"/>
  <c r="G31" i="21"/>
  <c r="AN31" i="21" s="1"/>
  <c r="G28" i="21"/>
  <c r="AN28" i="21" s="1"/>
  <c r="G52" i="21"/>
  <c r="AN52" i="21" s="1"/>
  <c r="G47" i="21"/>
  <c r="AN47" i="21" s="1"/>
  <c r="G45" i="21"/>
  <c r="AN45" i="21" s="1"/>
  <c r="G42" i="21"/>
  <c r="AN42" i="21" s="1"/>
  <c r="G38" i="21"/>
  <c r="AN38" i="21" s="1"/>
  <c r="G26" i="21"/>
  <c r="AN26" i="21" s="1"/>
  <c r="G23" i="21"/>
  <c r="AN23" i="21" s="1"/>
  <c r="G46" i="21"/>
  <c r="AN46" i="21" s="1"/>
  <c r="G40" i="21"/>
  <c r="AN40" i="21" s="1"/>
  <c r="G24" i="21"/>
  <c r="AN24" i="21" s="1"/>
  <c r="G25" i="21"/>
  <c r="AN25" i="21" s="1"/>
  <c r="G27" i="21"/>
  <c r="AN27" i="21" s="1"/>
  <c r="G22" i="21"/>
  <c r="AN22" i="21" s="1"/>
  <c r="G30" i="21"/>
  <c r="AN30" i="21" s="1"/>
  <c r="G50" i="21"/>
  <c r="AN50" i="21" s="1"/>
  <c r="G18" i="21"/>
  <c r="AN18" i="21" s="1"/>
  <c r="G21" i="21"/>
  <c r="AN21" i="21" s="1"/>
  <c r="G19" i="21"/>
  <c r="AN19" i="21" s="1"/>
  <c r="G14" i="21"/>
  <c r="AN14" i="21" s="1"/>
  <c r="G13" i="21"/>
  <c r="AN13" i="21" s="1"/>
  <c r="G10" i="21"/>
  <c r="AN10" i="21" s="1"/>
  <c r="G15" i="21"/>
  <c r="AN15" i="21" s="1"/>
  <c r="G9" i="21"/>
  <c r="AN9" i="21" s="1"/>
  <c r="G17" i="21"/>
  <c r="AN17" i="21" s="1"/>
  <c r="AM10" i="21"/>
  <c r="G16" i="21"/>
  <c r="AN16" i="21" s="1"/>
  <c r="AE23" i="21"/>
  <c r="EQ19" i="21" s="1"/>
  <c r="AD23" i="21"/>
  <c r="ES17" i="21" s="1"/>
  <c r="AL12" i="21"/>
  <c r="Z14" i="21"/>
  <c r="AA14" i="21" s="1"/>
  <c r="AE14" i="21"/>
  <c r="EX25" i="21" s="1"/>
  <c r="AM14" i="21"/>
  <c r="AE15" i="21"/>
  <c r="EZ27" i="21" s="1"/>
  <c r="AD15" i="21"/>
  <c r="FA26" i="21" s="1"/>
  <c r="AA18" i="21"/>
  <c r="AL18" i="21"/>
  <c r="AD13" i="21"/>
  <c r="EW22" i="21" s="1"/>
  <c r="AM13" i="21"/>
  <c r="AM18" i="21"/>
  <c r="Z22" i="21"/>
  <c r="AA22" i="21" s="1"/>
  <c r="AE22" i="21"/>
  <c r="EP18" i="21" s="1"/>
  <c r="AD22" i="21"/>
  <c r="ER16" i="21" s="1"/>
  <c r="Z35" i="21"/>
  <c r="AA35" i="21" s="1"/>
  <c r="AE35" i="21"/>
  <c r="ES16" i="21" s="1"/>
  <c r="AL35" i="21"/>
  <c r="AD35" i="21"/>
  <c r="EP19" i="21" s="1"/>
  <c r="AM35" i="21"/>
  <c r="Z28" i="21"/>
  <c r="AA28" i="21" s="1"/>
  <c r="AE28" i="21"/>
  <c r="EG4" i="21" s="1"/>
  <c r="AD28" i="21"/>
  <c r="ED7" i="21" s="1"/>
  <c r="AL28" i="21"/>
  <c r="Z33" i="21"/>
  <c r="AA33" i="21" s="1"/>
  <c r="AE33" i="21"/>
  <c r="EM14" i="21" s="1"/>
  <c r="AD33" i="21"/>
  <c r="EN13" i="21" s="1"/>
  <c r="AL33" i="21"/>
  <c r="AL40" i="21"/>
  <c r="AL52" i="21"/>
  <c r="AA24" i="21"/>
  <c r="Z27" i="21"/>
  <c r="AA27" i="21" s="1"/>
  <c r="AE27" i="21"/>
  <c r="EY27" i="21" s="1"/>
  <c r="AD27" i="21"/>
  <c r="FA25" i="21" s="1"/>
  <c r="AL27" i="21"/>
  <c r="AD24" i="21"/>
  <c r="EW21" i="21" s="1"/>
  <c r="Z37" i="21"/>
  <c r="AA37" i="21" s="1"/>
  <c r="AE37" i="21"/>
  <c r="EW20" i="21" s="1"/>
  <c r="AL37" i="21"/>
  <c r="AM37" i="21"/>
  <c r="AA42" i="21"/>
  <c r="Z42" i="21"/>
  <c r="T42" i="21"/>
  <c r="AA45" i="21"/>
  <c r="Z45" i="21"/>
  <c r="T45" i="21"/>
  <c r="Y50" i="21"/>
  <c r="S50" i="21"/>
  <c r="X50" i="21"/>
  <c r="AA29" i="21"/>
  <c r="AL44" i="21"/>
  <c r="Y54" i="21"/>
  <c r="S54" i="21"/>
  <c r="X54" i="21"/>
  <c r="AL25" i="21"/>
  <c r="Z26" i="21"/>
  <c r="AA26" i="21" s="1"/>
  <c r="AE26" i="21"/>
  <c r="EX26" i="21" s="1"/>
  <c r="AD26" i="21"/>
  <c r="EZ24" i="21" s="1"/>
  <c r="Z30" i="21"/>
  <c r="AA30" i="21" s="1"/>
  <c r="AE30" i="21"/>
  <c r="EK8" i="21" s="1"/>
  <c r="AD30" i="21"/>
  <c r="EH11" i="21" s="1"/>
  <c r="AM30" i="21"/>
  <c r="AL30" i="21"/>
  <c r="AD32" i="21"/>
  <c r="EL15" i="21" s="1"/>
  <c r="Y40" i="21"/>
  <c r="S40" i="21"/>
  <c r="X40" i="21"/>
  <c r="Y46" i="21"/>
  <c r="S46" i="21"/>
  <c r="X46" i="21"/>
  <c r="AM49" i="21"/>
  <c r="AL29" i="21"/>
  <c r="AE38" i="21"/>
  <c r="EY26" i="21" s="1"/>
  <c r="AD38" i="21"/>
  <c r="EZ25" i="21" s="1"/>
  <c r="AM38" i="21"/>
  <c r="AL39" i="21"/>
  <c r="AM39" i="21"/>
  <c r="AL41" i="21"/>
  <c r="AA44" i="21"/>
  <c r="Z44" i="21"/>
  <c r="T44" i="21"/>
  <c r="Z46" i="21"/>
  <c r="T46" i="21"/>
  <c r="Z50" i="21"/>
  <c r="T50" i="21"/>
  <c r="AL54" i="21"/>
  <c r="AM29" i="21"/>
  <c r="Z31" i="21"/>
  <c r="AA31" i="21" s="1"/>
  <c r="AE31" i="21"/>
  <c r="EI10" i="21" s="1"/>
  <c r="AD31" i="21"/>
  <c r="EJ9" i="21" s="1"/>
  <c r="AE34" i="21"/>
  <c r="EQ18" i="21" s="1"/>
  <c r="AD34" i="21"/>
  <c r="ER17" i="21" s="1"/>
  <c r="AM34" i="21"/>
  <c r="AA39" i="21"/>
  <c r="AA40" i="21"/>
  <c r="Z40" i="21"/>
  <c r="T40" i="21"/>
  <c r="AM41" i="21"/>
  <c r="Y42" i="21"/>
  <c r="S42" i="21"/>
  <c r="Y45" i="21"/>
  <c r="S45" i="21"/>
  <c r="AL47" i="21"/>
  <c r="Y52" i="21"/>
  <c r="S52" i="21"/>
  <c r="X52" i="21"/>
  <c r="AM53" i="21"/>
  <c r="Z32" i="21"/>
  <c r="AA32" i="21" s="1"/>
  <c r="AE32" i="21"/>
  <c r="EO12" i="21" s="1"/>
  <c r="AM32" i="21"/>
  <c r="AA36" i="21"/>
  <c r="AD39" i="21"/>
  <c r="Z52" i="21"/>
  <c r="T52" i="21"/>
  <c r="AL36" i="21"/>
  <c r="AL43" i="21"/>
  <c r="AL49" i="21"/>
  <c r="AL51" i="21"/>
  <c r="AL53" i="21"/>
  <c r="S47" i="21"/>
  <c r="BW5" i="20"/>
  <c r="DA5" i="20"/>
  <c r="EU5" i="20"/>
  <c r="CZ6" i="20"/>
  <c r="ET6" i="20"/>
  <c r="Z7" i="20"/>
  <c r="AA7" i="20" s="1"/>
  <c r="AE7" i="20"/>
  <c r="DK7" i="20"/>
  <c r="FO7" i="20"/>
  <c r="EF8" i="20"/>
  <c r="FZ8" i="20"/>
  <c r="DD9" i="20"/>
  <c r="EX9" i="20"/>
  <c r="ER10" i="20"/>
  <c r="DS12" i="20"/>
  <c r="GE13" i="20"/>
  <c r="CX4" i="20"/>
  <c r="DP4" i="20"/>
  <c r="ER4" i="20"/>
  <c r="FT4" i="20"/>
  <c r="DB5" i="20"/>
  <c r="EV5" i="20"/>
  <c r="FX5" i="20"/>
  <c r="DA6" i="20"/>
  <c r="DS6" i="20"/>
  <c r="EU6" i="20"/>
  <c r="FW6" i="20"/>
  <c r="AD7" i="20"/>
  <c r="EK10" i="20" s="1"/>
  <c r="BF7" i="20"/>
  <c r="CX7" i="20"/>
  <c r="DP7" i="20"/>
  <c r="ER7" i="20"/>
  <c r="FT7" i="20"/>
  <c r="DE8" i="20"/>
  <c r="EG8" i="20"/>
  <c r="EY8" i="20"/>
  <c r="GA8" i="20"/>
  <c r="DI9" i="20"/>
  <c r="FM9" i="20"/>
  <c r="GE9" i="20"/>
  <c r="DI10" i="20"/>
  <c r="FS10" i="20"/>
  <c r="EO11" i="20"/>
  <c r="EP12" i="20"/>
  <c r="DJ13" i="20"/>
  <c r="CV14" i="20"/>
  <c r="DB15" i="20"/>
  <c r="DS5" i="20"/>
  <c r="FW5" i="20"/>
  <c r="DR6" i="20"/>
  <c r="FV6" i="20"/>
  <c r="EM7" i="20"/>
  <c r="GG7" i="20"/>
  <c r="DD8" i="20"/>
  <c r="EX8" i="20"/>
  <c r="EF9" i="20"/>
  <c r="FZ9" i="20"/>
  <c r="DC10" i="20"/>
  <c r="EJ11" i="20"/>
  <c r="DI13" i="20"/>
  <c r="BJ29" i="20"/>
  <c r="BI32" i="20"/>
  <c r="BI30" i="20"/>
  <c r="BJ26" i="20"/>
  <c r="BJ31" i="20"/>
  <c r="BJ27" i="20"/>
  <c r="BI26" i="20"/>
  <c r="BI25" i="20"/>
  <c r="BI31" i="20"/>
  <c r="BI29" i="20"/>
  <c r="BI27" i="20"/>
  <c r="BJ30" i="20"/>
  <c r="BI24" i="20"/>
  <c r="BJ25" i="20"/>
  <c r="BJ32" i="20"/>
  <c r="BJ22" i="20"/>
  <c r="BJ24" i="20"/>
  <c r="BJ20" i="20"/>
  <c r="BJ21" i="20"/>
  <c r="BI20" i="20"/>
  <c r="BJ19" i="20"/>
  <c r="BI22" i="20"/>
  <c r="BI21" i="20"/>
  <c r="BI19" i="20"/>
  <c r="BI17" i="20"/>
  <c r="BJ16" i="20"/>
  <c r="BI16" i="20"/>
  <c r="BJ12" i="20"/>
  <c r="BJ11" i="20"/>
  <c r="BJ15" i="20"/>
  <c r="BJ14" i="20"/>
  <c r="BI12" i="20"/>
  <c r="BI11" i="20"/>
  <c r="BJ17" i="20"/>
  <c r="BI9" i="20"/>
  <c r="BJ7" i="20"/>
  <c r="BI4" i="20"/>
  <c r="BI14" i="20"/>
  <c r="BI7" i="20"/>
  <c r="BJ10" i="20"/>
  <c r="BJ6" i="20"/>
  <c r="BI15" i="20"/>
  <c r="BI10" i="20"/>
  <c r="BI6" i="20"/>
  <c r="BJ5" i="20"/>
  <c r="BK5" i="20" s="1"/>
  <c r="BV5" i="20" s="1"/>
  <c r="DC4" i="20"/>
  <c r="EE4" i="20"/>
  <c r="EW4" i="20"/>
  <c r="FY4" i="20"/>
  <c r="DG5" i="20"/>
  <c r="EI5" i="20"/>
  <c r="FA5" i="20"/>
  <c r="GC5" i="20"/>
  <c r="DF6" i="20"/>
  <c r="EH6" i="20"/>
  <c r="EZ6" i="20"/>
  <c r="GB6" i="20"/>
  <c r="CY7" i="20"/>
  <c r="DQ7" i="20"/>
  <c r="ES7" i="20"/>
  <c r="FU7" i="20"/>
  <c r="DJ8" i="20"/>
  <c r="EL8" i="20"/>
  <c r="FN8" i="20"/>
  <c r="GF8" i="20"/>
  <c r="Z9" i="20"/>
  <c r="AA9" i="20" s="1"/>
  <c r="AE9" i="20"/>
  <c r="AD9" i="20"/>
  <c r="DJ9" i="20"/>
  <c r="EL9" i="20"/>
  <c r="FN9" i="20"/>
  <c r="GF9" i="20"/>
  <c r="Z10" i="20"/>
  <c r="AA10" i="20" s="1"/>
  <c r="AE10" i="20"/>
  <c r="AD10" i="20"/>
  <c r="AM10" i="20"/>
  <c r="DJ10" i="20"/>
  <c r="FT10" i="20"/>
  <c r="Z11" i="20"/>
  <c r="AA11" i="20" s="1"/>
  <c r="AE11" i="20"/>
  <c r="AD11" i="20"/>
  <c r="AM11" i="20"/>
  <c r="AL11" i="20"/>
  <c r="FL11" i="20"/>
  <c r="EU12" i="20"/>
  <c r="EK13" i="20"/>
  <c r="DN14" i="20"/>
  <c r="ED15" i="20"/>
  <c r="BF29" i="20"/>
  <c r="BF32" i="20"/>
  <c r="BF31" i="20"/>
  <c r="BF30" i="20"/>
  <c r="GG27" i="20"/>
  <c r="GA27" i="20"/>
  <c r="FU27" i="20"/>
  <c r="FO27" i="20"/>
  <c r="EY27" i="20"/>
  <c r="ES27" i="20"/>
  <c r="EM27" i="20"/>
  <c r="EG27" i="20"/>
  <c r="DQ27" i="20"/>
  <c r="DK27" i="20"/>
  <c r="DE27" i="20"/>
  <c r="CY27" i="20"/>
  <c r="GF26" i="20"/>
  <c r="FZ26" i="20"/>
  <c r="FT26" i="20"/>
  <c r="FN26" i="20"/>
  <c r="EX26" i="20"/>
  <c r="ER26" i="20"/>
  <c r="EL26" i="20"/>
  <c r="EF26" i="20"/>
  <c r="DP26" i="20"/>
  <c r="DJ26" i="20"/>
  <c r="DD26" i="20"/>
  <c r="CX26" i="20"/>
  <c r="GF25" i="20"/>
  <c r="FZ25" i="20"/>
  <c r="FT25" i="20"/>
  <c r="FN25" i="20"/>
  <c r="ER25" i="20"/>
  <c r="EL25" i="20"/>
  <c r="EF25" i="20"/>
  <c r="DP25" i="20"/>
  <c r="DJ25" i="20"/>
  <c r="DD25" i="20"/>
  <c r="CX25" i="20"/>
  <c r="GF27" i="20"/>
  <c r="FZ27" i="20"/>
  <c r="FT27" i="20"/>
  <c r="FN27" i="20"/>
  <c r="EX27" i="20"/>
  <c r="ER27" i="20"/>
  <c r="EL27" i="20"/>
  <c r="EF27" i="20"/>
  <c r="DP27" i="20"/>
  <c r="DJ27" i="20"/>
  <c r="DD27" i="20"/>
  <c r="CX27" i="20"/>
  <c r="GE26" i="20"/>
  <c r="FY26" i="20"/>
  <c r="FS26" i="20"/>
  <c r="FM26" i="20"/>
  <c r="EW26" i="20"/>
  <c r="EQ26" i="20"/>
  <c r="EK26" i="20"/>
  <c r="EE26" i="20"/>
  <c r="DO26" i="20"/>
  <c r="DI26" i="20"/>
  <c r="DC26" i="20"/>
  <c r="CW26" i="20"/>
  <c r="GE25" i="20"/>
  <c r="FY25" i="20"/>
  <c r="FS25" i="20"/>
  <c r="FM25" i="20"/>
  <c r="EW25" i="20"/>
  <c r="EQ25" i="20"/>
  <c r="EK25" i="20"/>
  <c r="EE25" i="20"/>
  <c r="DO25" i="20"/>
  <c r="DI25" i="20"/>
  <c r="DC25" i="20"/>
  <c r="CW25" i="20"/>
  <c r="GD24" i="20"/>
  <c r="FX24" i="20"/>
  <c r="FR24" i="20"/>
  <c r="FL24" i="20"/>
  <c r="EV24" i="20"/>
  <c r="EP24" i="20"/>
  <c r="EJ24" i="20"/>
  <c r="GE27" i="20"/>
  <c r="FY27" i="20"/>
  <c r="FS27" i="20"/>
  <c r="FM27" i="20"/>
  <c r="EW27" i="20"/>
  <c r="EQ27" i="20"/>
  <c r="EK27" i="20"/>
  <c r="EE27" i="20"/>
  <c r="DO27" i="20"/>
  <c r="DI27" i="20"/>
  <c r="DC27" i="20"/>
  <c r="CW27" i="20"/>
  <c r="GD26" i="20"/>
  <c r="FX26" i="20"/>
  <c r="FR26" i="20"/>
  <c r="FL26" i="20"/>
  <c r="EV26" i="20"/>
  <c r="EP26" i="20"/>
  <c r="EJ26" i="20"/>
  <c r="ED26" i="20"/>
  <c r="DN26" i="20"/>
  <c r="DH26" i="20"/>
  <c r="DB26" i="20"/>
  <c r="CV26" i="20"/>
  <c r="GD25" i="20"/>
  <c r="FX25" i="20"/>
  <c r="FR25" i="20"/>
  <c r="FL25" i="20"/>
  <c r="EV25" i="20"/>
  <c r="EP25" i="20"/>
  <c r="EJ25" i="20"/>
  <c r="ED25" i="20"/>
  <c r="DN25" i="20"/>
  <c r="DH25" i="20"/>
  <c r="DB25" i="20"/>
  <c r="CV25" i="20"/>
  <c r="GI24" i="20"/>
  <c r="GC24" i="20"/>
  <c r="FW24" i="20"/>
  <c r="FQ24" i="20"/>
  <c r="GD27" i="20"/>
  <c r="FX27" i="20"/>
  <c r="FR27" i="20"/>
  <c r="FL27" i="20"/>
  <c r="EV27" i="20"/>
  <c r="EP27" i="20"/>
  <c r="EJ27" i="20"/>
  <c r="ED27" i="20"/>
  <c r="DN27" i="20"/>
  <c r="DH27" i="20"/>
  <c r="DB27" i="20"/>
  <c r="CV27" i="20"/>
  <c r="GI26" i="20"/>
  <c r="GC26" i="20"/>
  <c r="FW26" i="20"/>
  <c r="FQ26" i="20"/>
  <c r="EU26" i="20"/>
  <c r="EO26" i="20"/>
  <c r="EI26" i="20"/>
  <c r="DS26" i="20"/>
  <c r="DM26" i="20"/>
  <c r="DG26" i="20"/>
  <c r="DA26" i="20"/>
  <c r="GI25" i="20"/>
  <c r="GC25" i="20"/>
  <c r="FW25" i="20"/>
  <c r="FQ25" i="20"/>
  <c r="FA25" i="20"/>
  <c r="EU25" i="20"/>
  <c r="FV27" i="20"/>
  <c r="ET27" i="20"/>
  <c r="DR27" i="20"/>
  <c r="CZ27" i="20"/>
  <c r="GH26" i="20"/>
  <c r="FP26" i="20"/>
  <c r="EN26" i="20"/>
  <c r="DL26" i="20"/>
  <c r="GH25" i="20"/>
  <c r="FP25" i="20"/>
  <c r="EO25" i="20"/>
  <c r="DS25" i="20"/>
  <c r="DG25" i="20"/>
  <c r="GB24" i="20"/>
  <c r="FT24" i="20"/>
  <c r="ES24" i="20"/>
  <c r="EL24" i="20"/>
  <c r="EE24" i="20"/>
  <c r="DO24" i="20"/>
  <c r="DI24" i="20"/>
  <c r="DC24" i="20"/>
  <c r="CW24" i="20"/>
  <c r="GD23" i="20"/>
  <c r="FX23" i="20"/>
  <c r="FR23" i="20"/>
  <c r="FL23" i="20"/>
  <c r="EV23" i="20"/>
  <c r="EP23" i="20"/>
  <c r="EJ23" i="20"/>
  <c r="ED23" i="20"/>
  <c r="DN23" i="20"/>
  <c r="DH23" i="20"/>
  <c r="DB23" i="20"/>
  <c r="CV23" i="20"/>
  <c r="GI22" i="20"/>
  <c r="GC22" i="20"/>
  <c r="FW22" i="20"/>
  <c r="FQ22" i="20"/>
  <c r="FA22" i="20"/>
  <c r="EU22" i="20"/>
  <c r="EO22" i="20"/>
  <c r="EI22" i="20"/>
  <c r="DS22" i="20"/>
  <c r="DM22" i="20"/>
  <c r="DG22" i="20"/>
  <c r="DA22" i="20"/>
  <c r="GD21" i="20"/>
  <c r="FX21" i="20"/>
  <c r="FR21" i="20"/>
  <c r="FL21" i="20"/>
  <c r="GI27" i="20"/>
  <c r="FQ27" i="20"/>
  <c r="EO27" i="20"/>
  <c r="DM27" i="20"/>
  <c r="GG26" i="20"/>
  <c r="FO26" i="20"/>
  <c r="EM26" i="20"/>
  <c r="DK26" i="20"/>
  <c r="GG25" i="20"/>
  <c r="FO25" i="20"/>
  <c r="EN25" i="20"/>
  <c r="DR25" i="20"/>
  <c r="DF25" i="20"/>
  <c r="GA24" i="20"/>
  <c r="FS24" i="20"/>
  <c r="ER24" i="20"/>
  <c r="EK24" i="20"/>
  <c r="ED24" i="20"/>
  <c r="DN24" i="20"/>
  <c r="DH24" i="20"/>
  <c r="DB24" i="20"/>
  <c r="CV24" i="20"/>
  <c r="GI23" i="20"/>
  <c r="GC23" i="20"/>
  <c r="FW23" i="20"/>
  <c r="FQ23" i="20"/>
  <c r="FA23" i="20"/>
  <c r="EO23" i="20"/>
  <c r="EI23" i="20"/>
  <c r="DS23" i="20"/>
  <c r="DM23" i="20"/>
  <c r="DG23" i="20"/>
  <c r="DA23" i="20"/>
  <c r="GH22" i="20"/>
  <c r="GB22" i="20"/>
  <c r="FV22" i="20"/>
  <c r="FP22" i="20"/>
  <c r="EZ22" i="20"/>
  <c r="ET22" i="20"/>
  <c r="EN22" i="20"/>
  <c r="EH22" i="20"/>
  <c r="GH27" i="20"/>
  <c r="FP27" i="20"/>
  <c r="EN27" i="20"/>
  <c r="DL27" i="20"/>
  <c r="GB26" i="20"/>
  <c r="EZ26" i="20"/>
  <c r="EH26" i="20"/>
  <c r="DF26" i="20"/>
  <c r="GB25" i="20"/>
  <c r="EM25" i="20"/>
  <c r="DQ25" i="20"/>
  <c r="DE25" i="20"/>
  <c r="GH24" i="20"/>
  <c r="FZ24" i="20"/>
  <c r="FP24" i="20"/>
  <c r="EX24" i="20"/>
  <c r="EQ24" i="20"/>
  <c r="EI24" i="20"/>
  <c r="DS24" i="20"/>
  <c r="DM24" i="20"/>
  <c r="DG24" i="20"/>
  <c r="DA24" i="20"/>
  <c r="GH23" i="20"/>
  <c r="GB23" i="20"/>
  <c r="FV23" i="20"/>
  <c r="FP23" i="20"/>
  <c r="EZ23" i="20"/>
  <c r="EN23" i="20"/>
  <c r="EH23" i="20"/>
  <c r="DR23" i="20"/>
  <c r="DL23" i="20"/>
  <c r="DF23" i="20"/>
  <c r="CZ23" i="20"/>
  <c r="GG22" i="20"/>
  <c r="GA22" i="20"/>
  <c r="FU22" i="20"/>
  <c r="FO22" i="20"/>
  <c r="EY22" i="20"/>
  <c r="ES22" i="20"/>
  <c r="EM22" i="20"/>
  <c r="EG22" i="20"/>
  <c r="DQ22" i="20"/>
  <c r="DK22" i="20"/>
  <c r="DE22" i="20"/>
  <c r="CY22" i="20"/>
  <c r="GH21" i="20"/>
  <c r="GB21" i="20"/>
  <c r="FV21" i="20"/>
  <c r="FP21" i="20"/>
  <c r="EZ21" i="20"/>
  <c r="ET21" i="20"/>
  <c r="EN21" i="20"/>
  <c r="EH21" i="20"/>
  <c r="DR21" i="20"/>
  <c r="DL21" i="20"/>
  <c r="DF21" i="20"/>
  <c r="CZ21" i="20"/>
  <c r="GC27" i="20"/>
  <c r="FA27" i="20"/>
  <c r="EI27" i="20"/>
  <c r="DG27" i="20"/>
  <c r="GA26" i="20"/>
  <c r="EY26" i="20"/>
  <c r="EG26" i="20"/>
  <c r="DE26" i="20"/>
  <c r="BF26" i="20"/>
  <c r="GA25" i="20"/>
  <c r="EY25" i="20"/>
  <c r="EI25" i="20"/>
  <c r="DM25" i="20"/>
  <c r="DA25" i="20"/>
  <c r="BF25" i="20"/>
  <c r="GG24" i="20"/>
  <c r="FY24" i="20"/>
  <c r="FO24" i="20"/>
  <c r="EW24" i="20"/>
  <c r="EO24" i="20"/>
  <c r="EH24" i="20"/>
  <c r="DR24" i="20"/>
  <c r="DL24" i="20"/>
  <c r="DF24" i="20"/>
  <c r="CZ24" i="20"/>
  <c r="BF24" i="20"/>
  <c r="GG23" i="20"/>
  <c r="GA23" i="20"/>
  <c r="FU23" i="20"/>
  <c r="FO23" i="20"/>
  <c r="EY23" i="20"/>
  <c r="ES23" i="20"/>
  <c r="EM23" i="20"/>
  <c r="EG23" i="20"/>
  <c r="DQ23" i="20"/>
  <c r="DK23" i="20"/>
  <c r="DE23" i="20"/>
  <c r="CY23" i="20"/>
  <c r="GF22" i="20"/>
  <c r="FZ22" i="20"/>
  <c r="FT22" i="20"/>
  <c r="FN22" i="20"/>
  <c r="EX22" i="20"/>
  <c r="ER22" i="20"/>
  <c r="EL22" i="20"/>
  <c r="EF22" i="20"/>
  <c r="DP22" i="20"/>
  <c r="DJ22" i="20"/>
  <c r="DD22" i="20"/>
  <c r="CX22" i="20"/>
  <c r="GG21" i="20"/>
  <c r="GA21" i="20"/>
  <c r="FU21" i="20"/>
  <c r="FO21" i="20"/>
  <c r="EY21" i="20"/>
  <c r="ES21" i="20"/>
  <c r="EM21" i="20"/>
  <c r="EG21" i="20"/>
  <c r="DQ21" i="20"/>
  <c r="DK21" i="20"/>
  <c r="GB27" i="20"/>
  <c r="DF27" i="20"/>
  <c r="FV26" i="20"/>
  <c r="CZ26" i="20"/>
  <c r="FV25" i="20"/>
  <c r="DL25" i="20"/>
  <c r="FN24" i="20"/>
  <c r="EG24" i="20"/>
  <c r="DE24" i="20"/>
  <c r="GF23" i="20"/>
  <c r="FN23" i="20"/>
  <c r="EL23" i="20"/>
  <c r="DJ23" i="20"/>
  <c r="GD22" i="20"/>
  <c r="FL22" i="20"/>
  <c r="EJ22" i="20"/>
  <c r="DL22" i="20"/>
  <c r="CZ22" i="20"/>
  <c r="GC21" i="20"/>
  <c r="FQ21" i="20"/>
  <c r="EL21" i="20"/>
  <c r="ED21" i="20"/>
  <c r="DJ21" i="20"/>
  <c r="DC21" i="20"/>
  <c r="CV21" i="20"/>
  <c r="GF20" i="20"/>
  <c r="FZ20" i="20"/>
  <c r="FT20" i="20"/>
  <c r="FN20" i="20"/>
  <c r="EX20" i="20"/>
  <c r="ER20" i="20"/>
  <c r="EL20" i="20"/>
  <c r="EF20" i="20"/>
  <c r="DP20" i="20"/>
  <c r="DJ20" i="20"/>
  <c r="DD20" i="20"/>
  <c r="CX20" i="20"/>
  <c r="GG19" i="20"/>
  <c r="GA19" i="20"/>
  <c r="FU19" i="20"/>
  <c r="FO19" i="20"/>
  <c r="EY19" i="20"/>
  <c r="ES19" i="20"/>
  <c r="EM19" i="20"/>
  <c r="EG19" i="20"/>
  <c r="DQ19" i="20"/>
  <c r="DK19" i="20"/>
  <c r="DE19" i="20"/>
  <c r="CY19" i="20"/>
  <c r="GG18" i="20"/>
  <c r="GA18" i="20"/>
  <c r="FU18" i="20"/>
  <c r="FO18" i="20"/>
  <c r="EY18" i="20"/>
  <c r="FW27" i="20"/>
  <c r="DA27" i="20"/>
  <c r="FU26" i="20"/>
  <c r="CY26" i="20"/>
  <c r="FU25" i="20"/>
  <c r="DK25" i="20"/>
  <c r="FM24" i="20"/>
  <c r="EF24" i="20"/>
  <c r="DD24" i="20"/>
  <c r="GE23" i="20"/>
  <c r="FM23" i="20"/>
  <c r="EK23" i="20"/>
  <c r="DI23" i="20"/>
  <c r="FY22" i="20"/>
  <c r="EW22" i="20"/>
  <c r="EE22" i="20"/>
  <c r="DI22" i="20"/>
  <c r="CW22" i="20"/>
  <c r="FZ21" i="20"/>
  <c r="FN21" i="20"/>
  <c r="EU21" i="20"/>
  <c r="EK21" i="20"/>
  <c r="DS21" i="20"/>
  <c r="DI21" i="20"/>
  <c r="DB21" i="20"/>
  <c r="GE20" i="20"/>
  <c r="FY20" i="20"/>
  <c r="FS20" i="20"/>
  <c r="FM20" i="20"/>
  <c r="EQ20" i="20"/>
  <c r="EK20" i="20"/>
  <c r="EE20" i="20"/>
  <c r="DO20" i="20"/>
  <c r="DI20" i="20"/>
  <c r="DC20" i="20"/>
  <c r="CW20" i="20"/>
  <c r="GF19" i="20"/>
  <c r="FZ19" i="20"/>
  <c r="FT19" i="20"/>
  <c r="FN19" i="20"/>
  <c r="EX19" i="20"/>
  <c r="ER19" i="20"/>
  <c r="EL19" i="20"/>
  <c r="EF19" i="20"/>
  <c r="DP19" i="20"/>
  <c r="DJ19" i="20"/>
  <c r="DD19" i="20"/>
  <c r="CX19" i="20"/>
  <c r="GF18" i="20"/>
  <c r="FZ18" i="20"/>
  <c r="FT18" i="20"/>
  <c r="FN18" i="20"/>
  <c r="EX18" i="20"/>
  <c r="ER18" i="20"/>
  <c r="EL18" i="20"/>
  <c r="ET26" i="20"/>
  <c r="ET25" i="20"/>
  <c r="CZ25" i="20"/>
  <c r="GF24" i="20"/>
  <c r="EU24" i="20"/>
  <c r="DQ24" i="20"/>
  <c r="CY24" i="20"/>
  <c r="FZ23" i="20"/>
  <c r="EX23" i="20"/>
  <c r="EF23" i="20"/>
  <c r="DD23" i="20"/>
  <c r="FX22" i="20"/>
  <c r="EV22" i="20"/>
  <c r="ED22" i="20"/>
  <c r="DH22" i="20"/>
  <c r="CV22" i="20"/>
  <c r="FY21" i="20"/>
  <c r="FM21" i="20"/>
  <c r="ER21" i="20"/>
  <c r="EJ21" i="20"/>
  <c r="DP21" i="20"/>
  <c r="DH21" i="20"/>
  <c r="DA21" i="20"/>
  <c r="GD20" i="20"/>
  <c r="FX20" i="20"/>
  <c r="FR20" i="20"/>
  <c r="FL20" i="20"/>
  <c r="EV20" i="20"/>
  <c r="EP20" i="20"/>
  <c r="EJ20" i="20"/>
  <c r="ED20" i="20"/>
  <c r="DN20" i="20"/>
  <c r="DH20" i="20"/>
  <c r="DB20" i="20"/>
  <c r="CV20" i="20"/>
  <c r="GE19" i="20"/>
  <c r="FY19" i="20"/>
  <c r="FS19" i="20"/>
  <c r="FM19" i="20"/>
  <c r="EW19" i="20"/>
  <c r="EK19" i="20"/>
  <c r="EE19" i="20"/>
  <c r="DO19" i="20"/>
  <c r="DI19" i="20"/>
  <c r="DC19" i="20"/>
  <c r="CW19" i="20"/>
  <c r="GE18" i="20"/>
  <c r="FY18" i="20"/>
  <c r="FS18" i="20"/>
  <c r="FM18" i="20"/>
  <c r="EW18" i="20"/>
  <c r="EQ18" i="20"/>
  <c r="EK18" i="20"/>
  <c r="EE18" i="20"/>
  <c r="DO18" i="20"/>
  <c r="EU27" i="20"/>
  <c r="ES26" i="20"/>
  <c r="ES25" i="20"/>
  <c r="CY25" i="20"/>
  <c r="GE24" i="20"/>
  <c r="ET24" i="20"/>
  <c r="DP24" i="20"/>
  <c r="CX24" i="20"/>
  <c r="FY23" i="20"/>
  <c r="EW23" i="20"/>
  <c r="EE23" i="20"/>
  <c r="DC23" i="20"/>
  <c r="FS22" i="20"/>
  <c r="EQ22" i="20"/>
  <c r="DR22" i="20"/>
  <c r="DF22" i="20"/>
  <c r="GI21" i="20"/>
  <c r="FW21" i="20"/>
  <c r="FA21" i="20"/>
  <c r="EQ21" i="20"/>
  <c r="EI21" i="20"/>
  <c r="DO21" i="20"/>
  <c r="DG21" i="20"/>
  <c r="CY21" i="20"/>
  <c r="GI20" i="20"/>
  <c r="GC20" i="20"/>
  <c r="FW20" i="20"/>
  <c r="FQ20" i="20"/>
  <c r="FA20" i="20"/>
  <c r="EU20" i="20"/>
  <c r="EO20" i="20"/>
  <c r="EI20" i="20"/>
  <c r="DS20" i="20"/>
  <c r="DM20" i="20"/>
  <c r="DG20" i="20"/>
  <c r="DA20" i="20"/>
  <c r="GD19" i="20"/>
  <c r="FX19" i="20"/>
  <c r="FR19" i="20"/>
  <c r="FL19" i="20"/>
  <c r="EV19" i="20"/>
  <c r="EJ19" i="20"/>
  <c r="ED19" i="20"/>
  <c r="DN19" i="20"/>
  <c r="DH19" i="20"/>
  <c r="DB19" i="20"/>
  <c r="CV19" i="20"/>
  <c r="GD18" i="20"/>
  <c r="DQ26" i="20"/>
  <c r="FU24" i="20"/>
  <c r="FS23" i="20"/>
  <c r="CW23" i="20"/>
  <c r="FM22" i="20"/>
  <c r="DB22" i="20"/>
  <c r="BF22" i="20"/>
  <c r="FT21" i="20"/>
  <c r="EF21" i="20"/>
  <c r="CX21" i="20"/>
  <c r="GA20" i="20"/>
  <c r="EY20" i="20"/>
  <c r="EG20" i="20"/>
  <c r="DE20" i="20"/>
  <c r="BF20" i="20"/>
  <c r="FW19" i="20"/>
  <c r="EU19" i="20"/>
  <c r="DS19" i="20"/>
  <c r="DA19" i="20"/>
  <c r="FX18" i="20"/>
  <c r="FL18" i="20"/>
  <c r="ES18" i="20"/>
  <c r="EI18" i="20"/>
  <c r="DR18" i="20"/>
  <c r="DK18" i="20"/>
  <c r="DE18" i="20"/>
  <c r="CY18" i="20"/>
  <c r="GE17" i="20"/>
  <c r="FY17" i="20"/>
  <c r="FS17" i="20"/>
  <c r="FM17" i="20"/>
  <c r="EW17" i="20"/>
  <c r="EQ17" i="20"/>
  <c r="EK17" i="20"/>
  <c r="EE17" i="20"/>
  <c r="DO17" i="20"/>
  <c r="DI17" i="20"/>
  <c r="DC17" i="20"/>
  <c r="CW17" i="20"/>
  <c r="GG16" i="20"/>
  <c r="GA16" i="20"/>
  <c r="FU16" i="20"/>
  <c r="FO16" i="20"/>
  <c r="EY16" i="20"/>
  <c r="EM16" i="20"/>
  <c r="EG16" i="20"/>
  <c r="DQ16" i="20"/>
  <c r="DK16" i="20"/>
  <c r="DE16" i="20"/>
  <c r="CY16" i="20"/>
  <c r="GI15" i="20"/>
  <c r="GC15" i="20"/>
  <c r="FW15" i="20"/>
  <c r="FQ15" i="20"/>
  <c r="FA15" i="20"/>
  <c r="EU15" i="20"/>
  <c r="EO15" i="20"/>
  <c r="EI15" i="20"/>
  <c r="DS15" i="20"/>
  <c r="DM15" i="20"/>
  <c r="DG15" i="20"/>
  <c r="DA15" i="20"/>
  <c r="GI14" i="20"/>
  <c r="GC14" i="20"/>
  <c r="FW14" i="20"/>
  <c r="FQ14" i="20"/>
  <c r="FA14" i="20"/>
  <c r="EU14" i="20"/>
  <c r="EI14" i="20"/>
  <c r="DS14" i="20"/>
  <c r="DM14" i="20"/>
  <c r="DG14" i="20"/>
  <c r="DA14" i="20"/>
  <c r="GD13" i="20"/>
  <c r="FX13" i="20"/>
  <c r="FR13" i="20"/>
  <c r="FL13" i="20"/>
  <c r="EV13" i="20"/>
  <c r="EP13" i="20"/>
  <c r="EJ13" i="20"/>
  <c r="ED13" i="20"/>
  <c r="DN13" i="20"/>
  <c r="DH13" i="20"/>
  <c r="DB13" i="20"/>
  <c r="CV13" i="20"/>
  <c r="GH12" i="20"/>
  <c r="GB12" i="20"/>
  <c r="FV12" i="20"/>
  <c r="FP12" i="20"/>
  <c r="EZ12" i="20"/>
  <c r="ET12" i="20"/>
  <c r="EN12" i="20"/>
  <c r="EH12" i="20"/>
  <c r="DR12" i="20"/>
  <c r="DL12" i="20"/>
  <c r="DF12" i="20"/>
  <c r="CZ12" i="20"/>
  <c r="BF12" i="20"/>
  <c r="GH11" i="20"/>
  <c r="GB11" i="20"/>
  <c r="FV11" i="20"/>
  <c r="FP11" i="20"/>
  <c r="EZ11" i="20"/>
  <c r="ET11" i="20"/>
  <c r="EN11" i="20"/>
  <c r="DR11" i="20"/>
  <c r="DL11" i="20"/>
  <c r="DF11" i="20"/>
  <c r="CZ11" i="20"/>
  <c r="BF11" i="20"/>
  <c r="GD10" i="20"/>
  <c r="FX10" i="20"/>
  <c r="FR10" i="20"/>
  <c r="FL10" i="20"/>
  <c r="EV10" i="20"/>
  <c r="EP10" i="20"/>
  <c r="EJ10" i="20"/>
  <c r="ED10" i="20"/>
  <c r="EN24" i="20"/>
  <c r="ER23" i="20"/>
  <c r="EP22" i="20"/>
  <c r="FS21" i="20"/>
  <c r="EE21" i="20"/>
  <c r="CW21" i="20"/>
  <c r="FV20" i="20"/>
  <c r="ET20" i="20"/>
  <c r="DR20" i="20"/>
  <c r="CZ20" i="20"/>
  <c r="FV19" i="20"/>
  <c r="ET19" i="20"/>
  <c r="DR19" i="20"/>
  <c r="CZ19" i="20"/>
  <c r="FW18" i="20"/>
  <c r="FA18" i="20"/>
  <c r="EH18" i="20"/>
  <c r="DQ18" i="20"/>
  <c r="DJ18" i="20"/>
  <c r="DD18" i="20"/>
  <c r="CX18" i="20"/>
  <c r="GD17" i="20"/>
  <c r="FX17" i="20"/>
  <c r="FR17" i="20"/>
  <c r="FL17" i="20"/>
  <c r="EV17" i="20"/>
  <c r="EP17" i="20"/>
  <c r="EJ17" i="20"/>
  <c r="ED17" i="20"/>
  <c r="DN17" i="20"/>
  <c r="DH17" i="20"/>
  <c r="DB17" i="20"/>
  <c r="CV17" i="20"/>
  <c r="GF16" i="20"/>
  <c r="FZ16" i="20"/>
  <c r="FT16" i="20"/>
  <c r="FN16" i="20"/>
  <c r="EX16" i="20"/>
  <c r="ER16" i="20"/>
  <c r="EL16" i="20"/>
  <c r="EF16" i="20"/>
  <c r="DP16" i="20"/>
  <c r="DJ16" i="20"/>
  <c r="DD16" i="20"/>
  <c r="CX16" i="20"/>
  <c r="GH15" i="20"/>
  <c r="GB15" i="20"/>
  <c r="FV15" i="20"/>
  <c r="FP15" i="20"/>
  <c r="EZ15" i="20"/>
  <c r="ET15" i="20"/>
  <c r="EH15" i="20"/>
  <c r="DR15" i="20"/>
  <c r="DL15" i="20"/>
  <c r="DF15" i="20"/>
  <c r="CZ15" i="20"/>
  <c r="BF15" i="20"/>
  <c r="GH14" i="20"/>
  <c r="GB14" i="20"/>
  <c r="FV14" i="20"/>
  <c r="FP14" i="20"/>
  <c r="EZ14" i="20"/>
  <c r="ET14" i="20"/>
  <c r="EN14" i="20"/>
  <c r="EH14" i="20"/>
  <c r="DR14" i="20"/>
  <c r="DL14" i="20"/>
  <c r="DF14" i="20"/>
  <c r="CZ14" i="20"/>
  <c r="BF14" i="20"/>
  <c r="GI13" i="20"/>
  <c r="GC13" i="20"/>
  <c r="FW13" i="20"/>
  <c r="FQ13" i="20"/>
  <c r="FA13" i="20"/>
  <c r="EU13" i="20"/>
  <c r="EO13" i="20"/>
  <c r="EI13" i="20"/>
  <c r="DS13" i="20"/>
  <c r="DM13" i="20"/>
  <c r="DG13" i="20"/>
  <c r="DA13" i="20"/>
  <c r="GG12" i="20"/>
  <c r="GA12" i="20"/>
  <c r="FU12" i="20"/>
  <c r="FO12" i="20"/>
  <c r="EY12" i="20"/>
  <c r="ES12" i="20"/>
  <c r="EM12" i="20"/>
  <c r="EG12" i="20"/>
  <c r="DQ12" i="20"/>
  <c r="DK12" i="20"/>
  <c r="DE12" i="20"/>
  <c r="CY12" i="20"/>
  <c r="GG11" i="20"/>
  <c r="GA11" i="20"/>
  <c r="FU11" i="20"/>
  <c r="FO11" i="20"/>
  <c r="EY11" i="20"/>
  <c r="ES11" i="20"/>
  <c r="EM11" i="20"/>
  <c r="EG11" i="20"/>
  <c r="DQ11" i="20"/>
  <c r="DK11" i="20"/>
  <c r="DE11" i="20"/>
  <c r="CY11" i="20"/>
  <c r="GI10" i="20"/>
  <c r="GC10" i="20"/>
  <c r="FW10" i="20"/>
  <c r="FQ10" i="20"/>
  <c r="FA10" i="20"/>
  <c r="EU10" i="20"/>
  <c r="EO10" i="20"/>
  <c r="EH27" i="20"/>
  <c r="EH25" i="20"/>
  <c r="EM24" i="20"/>
  <c r="EQ23" i="20"/>
  <c r="EK22" i="20"/>
  <c r="EX21" i="20"/>
  <c r="DN21" i="20"/>
  <c r="FU20" i="20"/>
  <c r="ES20" i="20"/>
  <c r="DQ20" i="20"/>
  <c r="CY20" i="20"/>
  <c r="GI19" i="20"/>
  <c r="FQ19" i="20"/>
  <c r="EO19" i="20"/>
  <c r="DM19" i="20"/>
  <c r="GI18" i="20"/>
  <c r="FV18" i="20"/>
  <c r="EZ18" i="20"/>
  <c r="EO18" i="20"/>
  <c r="EG18" i="20"/>
  <c r="DP18" i="20"/>
  <c r="DI18" i="20"/>
  <c r="DC18" i="20"/>
  <c r="CW18" i="20"/>
  <c r="GI17" i="20"/>
  <c r="GC17" i="20"/>
  <c r="FW17" i="20"/>
  <c r="FQ17" i="20"/>
  <c r="FA17" i="20"/>
  <c r="EU17" i="20"/>
  <c r="EO17" i="20"/>
  <c r="EI17" i="20"/>
  <c r="DS17" i="20"/>
  <c r="DM17" i="20"/>
  <c r="DG17" i="20"/>
  <c r="DA17" i="20"/>
  <c r="GE16" i="20"/>
  <c r="FY16" i="20"/>
  <c r="FS16" i="20"/>
  <c r="FM16" i="20"/>
  <c r="EW16" i="20"/>
  <c r="EQ16" i="20"/>
  <c r="EK16" i="20"/>
  <c r="EE16" i="20"/>
  <c r="DO16" i="20"/>
  <c r="DI16" i="20"/>
  <c r="DC16" i="20"/>
  <c r="CW16" i="20"/>
  <c r="GG15" i="20"/>
  <c r="GA15" i="20"/>
  <c r="FU15" i="20"/>
  <c r="FO15" i="20"/>
  <c r="EY15" i="20"/>
  <c r="ES15" i="20"/>
  <c r="EM15" i="20"/>
  <c r="EG15" i="20"/>
  <c r="DQ15" i="20"/>
  <c r="DK15" i="20"/>
  <c r="DE15" i="20"/>
  <c r="CY15" i="20"/>
  <c r="GG14" i="20"/>
  <c r="GA14" i="20"/>
  <c r="FU14" i="20"/>
  <c r="FO14" i="20"/>
  <c r="EY14" i="20"/>
  <c r="ES14" i="20"/>
  <c r="EG14" i="20"/>
  <c r="DQ14" i="20"/>
  <c r="DK14" i="20"/>
  <c r="DE14" i="20"/>
  <c r="CY14" i="20"/>
  <c r="GH13" i="20"/>
  <c r="GB13" i="20"/>
  <c r="FV13" i="20"/>
  <c r="FP13" i="20"/>
  <c r="EZ13" i="20"/>
  <c r="ET13" i="20"/>
  <c r="EH13" i="20"/>
  <c r="DR13" i="20"/>
  <c r="DL13" i="20"/>
  <c r="DF13" i="20"/>
  <c r="CZ13" i="20"/>
  <c r="GF12" i="20"/>
  <c r="FZ12" i="20"/>
  <c r="FT12" i="20"/>
  <c r="FN12" i="20"/>
  <c r="EX12" i="20"/>
  <c r="ER12" i="20"/>
  <c r="EL12" i="20"/>
  <c r="EF12" i="20"/>
  <c r="DP12" i="20"/>
  <c r="DJ12" i="20"/>
  <c r="DD12" i="20"/>
  <c r="CX12" i="20"/>
  <c r="GF11" i="20"/>
  <c r="FZ11" i="20"/>
  <c r="FT11" i="20"/>
  <c r="FN11" i="20"/>
  <c r="EX11" i="20"/>
  <c r="ER11" i="20"/>
  <c r="EL11" i="20"/>
  <c r="EF11" i="20"/>
  <c r="DP11" i="20"/>
  <c r="DJ11" i="20"/>
  <c r="DD11" i="20"/>
  <c r="CX11" i="20"/>
  <c r="GH10" i="20"/>
  <c r="GB10" i="20"/>
  <c r="FV10" i="20"/>
  <c r="FP10" i="20"/>
  <c r="EZ10" i="20"/>
  <c r="ET10" i="20"/>
  <c r="EN10" i="20"/>
  <c r="EH10" i="20"/>
  <c r="DR10" i="20"/>
  <c r="DS27" i="20"/>
  <c r="EG25" i="20"/>
  <c r="DK24" i="20"/>
  <c r="DP23" i="20"/>
  <c r="DO22" i="20"/>
  <c r="DM21" i="20"/>
  <c r="BF21" i="20"/>
  <c r="GH20" i="20"/>
  <c r="FP20" i="20"/>
  <c r="EN20" i="20"/>
  <c r="DL20" i="20"/>
  <c r="GH19" i="20"/>
  <c r="FP19" i="20"/>
  <c r="EN19" i="20"/>
  <c r="DL19" i="20"/>
  <c r="GH18" i="20"/>
  <c r="FR18" i="20"/>
  <c r="EV18" i="20"/>
  <c r="EN18" i="20"/>
  <c r="EF18" i="20"/>
  <c r="DN18" i="20"/>
  <c r="DH18" i="20"/>
  <c r="DB18" i="20"/>
  <c r="CV18" i="20"/>
  <c r="GH17" i="20"/>
  <c r="GB17" i="20"/>
  <c r="FV17" i="20"/>
  <c r="FP17" i="20"/>
  <c r="EZ17" i="20"/>
  <c r="ET17" i="20"/>
  <c r="EN17" i="20"/>
  <c r="EH17" i="20"/>
  <c r="DR17" i="20"/>
  <c r="DL17" i="20"/>
  <c r="DF17" i="20"/>
  <c r="CZ17" i="20"/>
  <c r="BF17" i="20"/>
  <c r="GD16" i="20"/>
  <c r="FX16" i="20"/>
  <c r="FR16" i="20"/>
  <c r="FL16" i="20"/>
  <c r="EV16" i="20"/>
  <c r="EP16" i="20"/>
  <c r="EJ16" i="20"/>
  <c r="ED16" i="20"/>
  <c r="DN16" i="20"/>
  <c r="DH16" i="20"/>
  <c r="DB16" i="20"/>
  <c r="CV16" i="20"/>
  <c r="GF15" i="20"/>
  <c r="FZ15" i="20"/>
  <c r="FT15" i="20"/>
  <c r="FN15" i="20"/>
  <c r="EX15" i="20"/>
  <c r="ER15" i="20"/>
  <c r="EF15" i="20"/>
  <c r="DP15" i="20"/>
  <c r="DJ15" i="20"/>
  <c r="DD15" i="20"/>
  <c r="CX15" i="20"/>
  <c r="GF14" i="20"/>
  <c r="FZ14" i="20"/>
  <c r="FT14" i="20"/>
  <c r="FN14" i="20"/>
  <c r="EX14" i="20"/>
  <c r="ER14" i="20"/>
  <c r="EL14" i="20"/>
  <c r="EF14" i="20"/>
  <c r="DP14" i="20"/>
  <c r="DJ14" i="20"/>
  <c r="DD14" i="20"/>
  <c r="CX14" i="20"/>
  <c r="GG13" i="20"/>
  <c r="GA13" i="20"/>
  <c r="FU13" i="20"/>
  <c r="FO13" i="20"/>
  <c r="EY13" i="20"/>
  <c r="ES13" i="20"/>
  <c r="EM13" i="20"/>
  <c r="EG13" i="20"/>
  <c r="DQ13" i="20"/>
  <c r="DK13" i="20"/>
  <c r="DE13" i="20"/>
  <c r="CY13" i="20"/>
  <c r="GE12" i="20"/>
  <c r="FY12" i="20"/>
  <c r="FS12" i="20"/>
  <c r="FM12" i="20"/>
  <c r="EW12" i="20"/>
  <c r="EQ12" i="20"/>
  <c r="EK12" i="20"/>
  <c r="EE12" i="20"/>
  <c r="DO12" i="20"/>
  <c r="DI12" i="20"/>
  <c r="DC12" i="20"/>
  <c r="CW12" i="20"/>
  <c r="GE11" i="20"/>
  <c r="FY11" i="20"/>
  <c r="FS11" i="20"/>
  <c r="FM11" i="20"/>
  <c r="EW11" i="20"/>
  <c r="EQ11" i="20"/>
  <c r="EK11" i="20"/>
  <c r="EE11" i="20"/>
  <c r="DO11" i="20"/>
  <c r="DI11" i="20"/>
  <c r="DC11" i="20"/>
  <c r="CW11" i="20"/>
  <c r="GG10" i="20"/>
  <c r="GA10" i="20"/>
  <c r="FU10" i="20"/>
  <c r="FO10" i="20"/>
  <c r="EY10" i="20"/>
  <c r="ES10" i="20"/>
  <c r="EM10" i="20"/>
  <c r="EG10" i="20"/>
  <c r="DQ10" i="20"/>
  <c r="DK10" i="20"/>
  <c r="DE10" i="20"/>
  <c r="CY10" i="20"/>
  <c r="DJ24" i="20"/>
  <c r="DO23" i="20"/>
  <c r="GE22" i="20"/>
  <c r="DN22" i="20"/>
  <c r="GF21" i="20"/>
  <c r="EP21" i="20"/>
  <c r="DE21" i="20"/>
  <c r="GG20" i="20"/>
  <c r="FO20" i="20"/>
  <c r="EM20" i="20"/>
  <c r="DK20" i="20"/>
  <c r="GC19" i="20"/>
  <c r="FA19" i="20"/>
  <c r="EI19" i="20"/>
  <c r="DG19" i="20"/>
  <c r="GC18" i="20"/>
  <c r="FQ18" i="20"/>
  <c r="EU18" i="20"/>
  <c r="EM18" i="20"/>
  <c r="ED18" i="20"/>
  <c r="DM18" i="20"/>
  <c r="DG18" i="20"/>
  <c r="DA18" i="20"/>
  <c r="GG17" i="20"/>
  <c r="GA17" i="20"/>
  <c r="FU17" i="20"/>
  <c r="FO17" i="20"/>
  <c r="EY17" i="20"/>
  <c r="EM17" i="20"/>
  <c r="EG17" i="20"/>
  <c r="DQ17" i="20"/>
  <c r="DK17" i="20"/>
  <c r="DE17" i="20"/>
  <c r="CY17" i="20"/>
  <c r="GI16" i="20"/>
  <c r="GC16" i="20"/>
  <c r="FW16" i="20"/>
  <c r="FQ16" i="20"/>
  <c r="FA16" i="20"/>
  <c r="EU16" i="20"/>
  <c r="EO16" i="20"/>
  <c r="EI16" i="20"/>
  <c r="DS16" i="20"/>
  <c r="DM16" i="20"/>
  <c r="DG16" i="20"/>
  <c r="DA16" i="20"/>
  <c r="GE15" i="20"/>
  <c r="FY15" i="20"/>
  <c r="FS15" i="20"/>
  <c r="FM15" i="20"/>
  <c r="EW15" i="20"/>
  <c r="EQ15" i="20"/>
  <c r="EK15" i="20"/>
  <c r="FR22" i="20"/>
  <c r="DD21" i="20"/>
  <c r="GB19" i="20"/>
  <c r="BF19" i="20"/>
  <c r="DL18" i="20"/>
  <c r="EX17" i="20"/>
  <c r="DD17" i="20"/>
  <c r="ET16" i="20"/>
  <c r="CZ16" i="20"/>
  <c r="BF16" i="20"/>
  <c r="FL15" i="20"/>
  <c r="DO15" i="20"/>
  <c r="CW15" i="20"/>
  <c r="GE14" i="20"/>
  <c r="FM14" i="20"/>
  <c r="EK14" i="20"/>
  <c r="DI14" i="20"/>
  <c r="FZ13" i="20"/>
  <c r="EX13" i="20"/>
  <c r="EF13" i="20"/>
  <c r="DD13" i="20"/>
  <c r="GI12" i="20"/>
  <c r="FQ12" i="20"/>
  <c r="DM12" i="20"/>
  <c r="GC11" i="20"/>
  <c r="FA11" i="20"/>
  <c r="DG11" i="20"/>
  <c r="GF10" i="20"/>
  <c r="FN10" i="20"/>
  <c r="EL10" i="20"/>
  <c r="DO10" i="20"/>
  <c r="DH10" i="20"/>
  <c r="DA10" i="20"/>
  <c r="BF10" i="20"/>
  <c r="GD9" i="20"/>
  <c r="FX9" i="20"/>
  <c r="FR9" i="20"/>
  <c r="FL9" i="20"/>
  <c r="EV9" i="20"/>
  <c r="EP9" i="20"/>
  <c r="ED9" i="20"/>
  <c r="DN9" i="20"/>
  <c r="DH9" i="20"/>
  <c r="DB9" i="20"/>
  <c r="CV9" i="20"/>
  <c r="GE8" i="20"/>
  <c r="FY8" i="20"/>
  <c r="FS8" i="20"/>
  <c r="FM8" i="20"/>
  <c r="EW8" i="20"/>
  <c r="EQ8" i="20"/>
  <c r="EE8" i="20"/>
  <c r="DO8" i="20"/>
  <c r="DI8" i="20"/>
  <c r="DC8" i="20"/>
  <c r="CW8" i="20"/>
  <c r="GE7" i="20"/>
  <c r="FY7" i="20"/>
  <c r="FS7" i="20"/>
  <c r="FM7" i="20"/>
  <c r="EW7" i="20"/>
  <c r="EQ7" i="20"/>
  <c r="EK7" i="20"/>
  <c r="EE7" i="20"/>
  <c r="DO7" i="20"/>
  <c r="DI7" i="20"/>
  <c r="DC7" i="20"/>
  <c r="CW7" i="20"/>
  <c r="GG6" i="20"/>
  <c r="GA6" i="20"/>
  <c r="FU6" i="20"/>
  <c r="FO6" i="20"/>
  <c r="EY6" i="20"/>
  <c r="ES6" i="20"/>
  <c r="EM6" i="20"/>
  <c r="DQ6" i="20"/>
  <c r="DK6" i="20"/>
  <c r="DE6" i="20"/>
  <c r="CY6" i="20"/>
  <c r="BF6" i="20"/>
  <c r="GH5" i="20"/>
  <c r="GB5" i="20"/>
  <c r="FV5" i="20"/>
  <c r="FP5" i="20"/>
  <c r="EZ5" i="20"/>
  <c r="ET5" i="20"/>
  <c r="EN5" i="20"/>
  <c r="EH5" i="20"/>
  <c r="DR5" i="20"/>
  <c r="DL5" i="20"/>
  <c r="DF5" i="20"/>
  <c r="CZ5" i="20"/>
  <c r="GD4" i="20"/>
  <c r="FX4" i="20"/>
  <c r="FR4" i="20"/>
  <c r="FL4" i="20"/>
  <c r="EV4" i="20"/>
  <c r="EP4" i="20"/>
  <c r="EJ4" i="20"/>
  <c r="ED4" i="20"/>
  <c r="DN4" i="20"/>
  <c r="DH4" i="20"/>
  <c r="DB4" i="20"/>
  <c r="CV4" i="20"/>
  <c r="GE21" i="20"/>
  <c r="DC15" i="20"/>
  <c r="EQ14" i="20"/>
  <c r="GF13" i="20"/>
  <c r="DC22" i="20"/>
  <c r="GB20" i="20"/>
  <c r="EZ19" i="20"/>
  <c r="GB18" i="20"/>
  <c r="DF18" i="20"/>
  <c r="CX17" i="20"/>
  <c r="GH16" i="20"/>
  <c r="EN16" i="20"/>
  <c r="EV15" i="20"/>
  <c r="DN15" i="20"/>
  <c r="CV15" i="20"/>
  <c r="GD14" i="20"/>
  <c r="FL14" i="20"/>
  <c r="EJ14" i="20"/>
  <c r="DH14" i="20"/>
  <c r="FY13" i="20"/>
  <c r="EW13" i="20"/>
  <c r="EE13" i="20"/>
  <c r="DC13" i="20"/>
  <c r="GD12" i="20"/>
  <c r="FL12" i="20"/>
  <c r="EJ12" i="20"/>
  <c r="DH12" i="20"/>
  <c r="FX11" i="20"/>
  <c r="EV11" i="20"/>
  <c r="ED11" i="20"/>
  <c r="DB11" i="20"/>
  <c r="GE10" i="20"/>
  <c r="FM10" i="20"/>
  <c r="DN10" i="20"/>
  <c r="DG10" i="20"/>
  <c r="CZ10" i="20"/>
  <c r="GI9" i="20"/>
  <c r="GC9" i="20"/>
  <c r="FW9" i="20"/>
  <c r="FQ9" i="20"/>
  <c r="FA9" i="20"/>
  <c r="EU9" i="20"/>
  <c r="EO9" i="20"/>
  <c r="EI9" i="20"/>
  <c r="DS9" i="20"/>
  <c r="DM9" i="20"/>
  <c r="DG9" i="20"/>
  <c r="DA9" i="20"/>
  <c r="GD8" i="20"/>
  <c r="FX8" i="20"/>
  <c r="FR8" i="20"/>
  <c r="FL8" i="20"/>
  <c r="EV8" i="20"/>
  <c r="EP8" i="20"/>
  <c r="EJ8" i="20"/>
  <c r="ED8" i="20"/>
  <c r="DN8" i="20"/>
  <c r="DH8" i="20"/>
  <c r="DB8" i="20"/>
  <c r="CV8" i="20"/>
  <c r="GD7" i="20"/>
  <c r="FX7" i="20"/>
  <c r="FR7" i="20"/>
  <c r="FL7" i="20"/>
  <c r="EV7" i="20"/>
  <c r="EP7" i="20"/>
  <c r="EJ7" i="20"/>
  <c r="DN7" i="20"/>
  <c r="DH7" i="20"/>
  <c r="DB7" i="20"/>
  <c r="CV7" i="20"/>
  <c r="GF6" i="20"/>
  <c r="FZ6" i="20"/>
  <c r="FT6" i="20"/>
  <c r="FN6" i="20"/>
  <c r="EX6" i="20"/>
  <c r="ER6" i="20"/>
  <c r="EL6" i="20"/>
  <c r="EF6" i="20"/>
  <c r="DP6" i="20"/>
  <c r="DJ6" i="20"/>
  <c r="DD6" i="20"/>
  <c r="CX6" i="20"/>
  <c r="GG5" i="20"/>
  <c r="GA5" i="20"/>
  <c r="FU5" i="20"/>
  <c r="FO5" i="20"/>
  <c r="EY5" i="20"/>
  <c r="ES5" i="20"/>
  <c r="EM5" i="20"/>
  <c r="DQ5" i="20"/>
  <c r="DK5" i="20"/>
  <c r="DE5" i="20"/>
  <c r="CY5" i="20"/>
  <c r="BF5" i="20"/>
  <c r="GI4" i="20"/>
  <c r="GC4" i="20"/>
  <c r="FW4" i="20"/>
  <c r="FQ4" i="20"/>
  <c r="FA4" i="20"/>
  <c r="EU4" i="20"/>
  <c r="EO4" i="20"/>
  <c r="EI4" i="20"/>
  <c r="DS4" i="20"/>
  <c r="DM4" i="20"/>
  <c r="DG4" i="20"/>
  <c r="DA4" i="20"/>
  <c r="DF20" i="20"/>
  <c r="FT17" i="20"/>
  <c r="DO14" i="20"/>
  <c r="BF27" i="20"/>
  <c r="DR26" i="20"/>
  <c r="FT23" i="20"/>
  <c r="EZ20" i="20"/>
  <c r="EH19" i="20"/>
  <c r="FP18" i="20"/>
  <c r="CZ18" i="20"/>
  <c r="GF17" i="20"/>
  <c r="EL17" i="20"/>
  <c r="GB16" i="20"/>
  <c r="EH16" i="20"/>
  <c r="EP15" i="20"/>
  <c r="DI15" i="20"/>
  <c r="FY14" i="20"/>
  <c r="EW14" i="20"/>
  <c r="EE14" i="20"/>
  <c r="DC14" i="20"/>
  <c r="FT13" i="20"/>
  <c r="ER13" i="20"/>
  <c r="DP13" i="20"/>
  <c r="CX13" i="20"/>
  <c r="GC12" i="20"/>
  <c r="FA12" i="20"/>
  <c r="EI12" i="20"/>
  <c r="DG12" i="20"/>
  <c r="FW11" i="20"/>
  <c r="EU11" i="20"/>
  <c r="DS11" i="20"/>
  <c r="DA11" i="20"/>
  <c r="FZ10" i="20"/>
  <c r="EX10" i="20"/>
  <c r="EF10" i="20"/>
  <c r="DM10" i="20"/>
  <c r="DF10" i="20"/>
  <c r="CX10" i="20"/>
  <c r="GH9" i="20"/>
  <c r="GB9" i="20"/>
  <c r="FV9" i="20"/>
  <c r="FP9" i="20"/>
  <c r="EZ9" i="20"/>
  <c r="ET9" i="20"/>
  <c r="EN9" i="20"/>
  <c r="EH9" i="20"/>
  <c r="DR9" i="20"/>
  <c r="DL9" i="20"/>
  <c r="DF9" i="20"/>
  <c r="CZ9" i="20"/>
  <c r="GI8" i="20"/>
  <c r="GC8" i="20"/>
  <c r="FW8" i="20"/>
  <c r="FQ8" i="20"/>
  <c r="FA8" i="20"/>
  <c r="EU8" i="20"/>
  <c r="EO8" i="20"/>
  <c r="EI8" i="20"/>
  <c r="DS8" i="20"/>
  <c r="DM8" i="20"/>
  <c r="DG8" i="20"/>
  <c r="DA8" i="20"/>
  <c r="GI7" i="20"/>
  <c r="GC7" i="20"/>
  <c r="FW7" i="20"/>
  <c r="FQ7" i="20"/>
  <c r="FA7" i="20"/>
  <c r="EU7" i="20"/>
  <c r="EO7" i="20"/>
  <c r="EI7" i="20"/>
  <c r="DS7" i="20"/>
  <c r="DM7" i="20"/>
  <c r="DG7" i="20"/>
  <c r="DA7" i="20"/>
  <c r="GE6" i="20"/>
  <c r="FY6" i="20"/>
  <c r="FS6" i="20"/>
  <c r="FM6" i="20"/>
  <c r="EW6" i="20"/>
  <c r="EQ6" i="20"/>
  <c r="EK6" i="20"/>
  <c r="DO6" i="20"/>
  <c r="DI6" i="20"/>
  <c r="DC6" i="20"/>
  <c r="CW6" i="20"/>
  <c r="GF5" i="20"/>
  <c r="FZ5" i="20"/>
  <c r="FT5" i="20"/>
  <c r="FN5" i="20"/>
  <c r="EX5" i="20"/>
  <c r="ER5" i="20"/>
  <c r="EL5" i="20"/>
  <c r="DP5" i="20"/>
  <c r="DJ5" i="20"/>
  <c r="DD5" i="20"/>
  <c r="CX5" i="20"/>
  <c r="GH4" i="20"/>
  <c r="GB4" i="20"/>
  <c r="FV4" i="20"/>
  <c r="FP4" i="20"/>
  <c r="EZ4" i="20"/>
  <c r="ET4" i="20"/>
  <c r="EN4" i="20"/>
  <c r="EH4" i="20"/>
  <c r="DR4" i="20"/>
  <c r="DL4" i="20"/>
  <c r="DF4" i="20"/>
  <c r="CZ4" i="20"/>
  <c r="FX15" i="20"/>
  <c r="FS14" i="20"/>
  <c r="CW14" i="20"/>
  <c r="FV24" i="20"/>
  <c r="CX23" i="20"/>
  <c r="EH20" i="20"/>
  <c r="DF19" i="20"/>
  <c r="ET18" i="20"/>
  <c r="FZ17" i="20"/>
  <c r="EF17" i="20"/>
  <c r="FV16" i="20"/>
  <c r="DR16" i="20"/>
  <c r="GD15" i="20"/>
  <c r="EJ15" i="20"/>
  <c r="DH15" i="20"/>
  <c r="FX14" i="20"/>
  <c r="EV14" i="20"/>
  <c r="ED14" i="20"/>
  <c r="DB14" i="20"/>
  <c r="FS13" i="20"/>
  <c r="EQ13" i="20"/>
  <c r="DO13" i="20"/>
  <c r="CW13" i="20"/>
  <c r="FX12" i="20"/>
  <c r="EV12" i="20"/>
  <c r="ED12" i="20"/>
  <c r="DB12" i="20"/>
  <c r="FR11" i="20"/>
  <c r="EP11" i="20"/>
  <c r="DN11" i="20"/>
  <c r="CV11" i="20"/>
  <c r="FY10" i="20"/>
  <c r="EW10" i="20"/>
  <c r="EE10" i="20"/>
  <c r="DL10" i="20"/>
  <c r="DD10" i="20"/>
  <c r="CW10" i="20"/>
  <c r="GG9" i="20"/>
  <c r="GA9" i="20"/>
  <c r="FU9" i="20"/>
  <c r="FO9" i="20"/>
  <c r="EY9" i="20"/>
  <c r="ES9" i="20"/>
  <c r="EM9" i="20"/>
  <c r="EG9" i="20"/>
  <c r="DQ9" i="20"/>
  <c r="DK9" i="20"/>
  <c r="DE9" i="20"/>
  <c r="CY9" i="20"/>
  <c r="BF9" i="20"/>
  <c r="GH8" i="20"/>
  <c r="GB8" i="20"/>
  <c r="FV8" i="20"/>
  <c r="FP8" i="20"/>
  <c r="EZ8" i="20"/>
  <c r="ET8" i="20"/>
  <c r="EN8" i="20"/>
  <c r="EH8" i="20"/>
  <c r="DR8" i="20"/>
  <c r="DL8" i="20"/>
  <c r="DF8" i="20"/>
  <c r="CZ8" i="20"/>
  <c r="GH7" i="20"/>
  <c r="GB7" i="20"/>
  <c r="FV7" i="20"/>
  <c r="FP7" i="20"/>
  <c r="EZ7" i="20"/>
  <c r="ET7" i="20"/>
  <c r="EN7" i="20"/>
  <c r="EH7" i="20"/>
  <c r="DR7" i="20"/>
  <c r="DL7" i="20"/>
  <c r="DF7" i="20"/>
  <c r="CZ7" i="20"/>
  <c r="GD6" i="20"/>
  <c r="FX6" i="20"/>
  <c r="FR6" i="20"/>
  <c r="FL6" i="20"/>
  <c r="EV6" i="20"/>
  <c r="EP6" i="20"/>
  <c r="EJ6" i="20"/>
  <c r="ED6" i="20"/>
  <c r="DN6" i="20"/>
  <c r="DH6" i="20"/>
  <c r="DB6" i="20"/>
  <c r="CV6" i="20"/>
  <c r="GE5" i="20"/>
  <c r="FY5" i="20"/>
  <c r="FS5" i="20"/>
  <c r="FM5" i="20"/>
  <c r="EW5" i="20"/>
  <c r="EQ5" i="20"/>
  <c r="EK5" i="20"/>
  <c r="EE5" i="20"/>
  <c r="DO5" i="20"/>
  <c r="DI5" i="20"/>
  <c r="DC5" i="20"/>
  <c r="CW5" i="20"/>
  <c r="GG4" i="20"/>
  <c r="GA4" i="20"/>
  <c r="FU4" i="20"/>
  <c r="FO4" i="20"/>
  <c r="EY4" i="20"/>
  <c r="ES4" i="20"/>
  <c r="EM4" i="20"/>
  <c r="DQ4" i="20"/>
  <c r="DK4" i="20"/>
  <c r="DE4" i="20"/>
  <c r="CY4" i="20"/>
  <c r="BF4" i="20"/>
  <c r="EJ18" i="20"/>
  <c r="DP17" i="20"/>
  <c r="FP16" i="20"/>
  <c r="DL16" i="20"/>
  <c r="EE15" i="20"/>
  <c r="EF4" i="20"/>
  <c r="FZ4" i="20"/>
  <c r="DH5" i="20"/>
  <c r="FL5" i="20"/>
  <c r="DG6" i="20"/>
  <c r="FA6" i="20"/>
  <c r="EX7" i="20"/>
  <c r="DK8" i="20"/>
  <c r="FO8" i="20"/>
  <c r="DO9" i="20"/>
  <c r="DP10" i="20"/>
  <c r="FQ11" i="20"/>
  <c r="FR12" i="20"/>
  <c r="EL13" i="20"/>
  <c r="FR15" i="20"/>
  <c r="DI4" i="20"/>
  <c r="EK4" i="20"/>
  <c r="FM4" i="20"/>
  <c r="GE4" i="20"/>
  <c r="Z5" i="20"/>
  <c r="AE5" i="20"/>
  <c r="EF7" i="20" s="1"/>
  <c r="AD5" i="20"/>
  <c r="EG6" i="20" s="1"/>
  <c r="DM5" i="20"/>
  <c r="EO5" i="20"/>
  <c r="FQ5" i="20"/>
  <c r="GI5" i="20"/>
  <c r="AA6" i="20"/>
  <c r="DL6" i="20"/>
  <c r="EN6" i="20"/>
  <c r="FP6" i="20"/>
  <c r="GH6" i="20"/>
  <c r="AM7" i="20"/>
  <c r="DE7" i="20"/>
  <c r="EG7" i="20"/>
  <c r="EY7" i="20"/>
  <c r="GA7" i="20"/>
  <c r="AM8" i="20"/>
  <c r="CX8" i="20"/>
  <c r="DP8" i="20"/>
  <c r="ER8" i="20"/>
  <c r="FT8" i="20"/>
  <c r="BJ9" i="20"/>
  <c r="CX9" i="20"/>
  <c r="DP9" i="20"/>
  <c r="ER9" i="20"/>
  <c r="FT9" i="20"/>
  <c r="CV10" i="20"/>
  <c r="DS10" i="20"/>
  <c r="DH11" i="20"/>
  <c r="GD11" i="20"/>
  <c r="DA12" i="20"/>
  <c r="FW12" i="20"/>
  <c r="FM13" i="20"/>
  <c r="FR14" i="20"/>
  <c r="DJ17" i="20"/>
  <c r="DS18" i="20"/>
  <c r="EO21" i="20"/>
  <c r="DD4" i="20"/>
  <c r="EX4" i="20"/>
  <c r="EJ5" i="20"/>
  <c r="GD5" i="20"/>
  <c r="EI6" i="20"/>
  <c r="GC6" i="20"/>
  <c r="DD7" i="20"/>
  <c r="FZ7" i="20"/>
  <c r="EM8" i="20"/>
  <c r="GG8" i="20"/>
  <c r="CW9" i="20"/>
  <c r="EQ9" i="20"/>
  <c r="FS9" i="20"/>
  <c r="CV12" i="20"/>
  <c r="EP14" i="20"/>
  <c r="EZ16" i="20"/>
  <c r="DJ4" i="20"/>
  <c r="EL4" i="20"/>
  <c r="FN4" i="20"/>
  <c r="GF4" i="20"/>
  <c r="CV5" i="20"/>
  <c r="DN5" i="20"/>
  <c r="EP5" i="20"/>
  <c r="FR5" i="20"/>
  <c r="DM6" i="20"/>
  <c r="EO6" i="20"/>
  <c r="FQ6" i="20"/>
  <c r="GI6" i="20"/>
  <c r="AL7" i="20"/>
  <c r="DJ7" i="20"/>
  <c r="EL7" i="20"/>
  <c r="FN7" i="20"/>
  <c r="GF7" i="20"/>
  <c r="Z8" i="20"/>
  <c r="AA8" i="20" s="1"/>
  <c r="AE8" i="20"/>
  <c r="EN15" i="20" s="1"/>
  <c r="AD8" i="20"/>
  <c r="EO14" i="20" s="1"/>
  <c r="CY8" i="20"/>
  <c r="DQ8" i="20"/>
  <c r="ES8" i="20"/>
  <c r="FU8" i="20"/>
  <c r="DC9" i="20"/>
  <c r="EE9" i="20"/>
  <c r="EW9" i="20"/>
  <c r="FY9" i="20"/>
  <c r="DB10" i="20"/>
  <c r="EQ10" i="20"/>
  <c r="DM11" i="20"/>
  <c r="GI11" i="20"/>
  <c r="DN12" i="20"/>
  <c r="FN13" i="20"/>
  <c r="FN17" i="20"/>
  <c r="Z14" i="20"/>
  <c r="AA14" i="20" s="1"/>
  <c r="AE14" i="20"/>
  <c r="EX25" i="20" s="1"/>
  <c r="AD14" i="20"/>
  <c r="EY24" i="20" s="1"/>
  <c r="AM14" i="20"/>
  <c r="Z18" i="20"/>
  <c r="AA18" i="20" s="1"/>
  <c r="AE18" i="20"/>
  <c r="EI11" i="20" s="1"/>
  <c r="AD18" i="20"/>
  <c r="EK9" i="20" s="1"/>
  <c r="AM18" i="20"/>
  <c r="AA4" i="20"/>
  <c r="AL6" i="20"/>
  <c r="G44" i="20"/>
  <c r="AN44" i="20" s="1"/>
  <c r="G37" i="20"/>
  <c r="AN37" i="20" s="1"/>
  <c r="G35" i="20"/>
  <c r="AN35" i="20" s="1"/>
  <c r="G33" i="20"/>
  <c r="AN33" i="20" s="1"/>
  <c r="G32" i="20"/>
  <c r="AN32" i="20" s="1"/>
  <c r="G29" i="20"/>
  <c r="AN29" i="20" s="1"/>
  <c r="G53" i="20"/>
  <c r="AN53" i="20" s="1"/>
  <c r="G51" i="20"/>
  <c r="AN51" i="20" s="1"/>
  <c r="G49" i="20"/>
  <c r="AN49" i="20" s="1"/>
  <c r="G43" i="20"/>
  <c r="AN43" i="20" s="1"/>
  <c r="G39" i="20"/>
  <c r="AN39" i="20" s="1"/>
  <c r="G48" i="20"/>
  <c r="AN48" i="20" s="1"/>
  <c r="G41" i="20"/>
  <c r="AN41" i="20" s="1"/>
  <c r="G36" i="20"/>
  <c r="AN36" i="20" s="1"/>
  <c r="G47" i="20"/>
  <c r="AN47" i="20" s="1"/>
  <c r="G38" i="20"/>
  <c r="AN38" i="20" s="1"/>
  <c r="G30" i="20"/>
  <c r="AN30" i="20" s="1"/>
  <c r="G25" i="20"/>
  <c r="AN25" i="20" s="1"/>
  <c r="G52" i="20"/>
  <c r="AN52" i="20" s="1"/>
  <c r="G40" i="20"/>
  <c r="AN40" i="20" s="1"/>
  <c r="G31" i="20"/>
  <c r="AN31" i="20" s="1"/>
  <c r="G27" i="20"/>
  <c r="AN27" i="20" s="1"/>
  <c r="G26" i="20"/>
  <c r="AN26" i="20" s="1"/>
  <c r="G42" i="20"/>
  <c r="AN42" i="20" s="1"/>
  <c r="G28" i="20"/>
  <c r="AN28" i="20" s="1"/>
  <c r="G24" i="20"/>
  <c r="AN24" i="20" s="1"/>
  <c r="G22" i="20"/>
  <c r="AN22" i="20" s="1"/>
  <c r="G45" i="20"/>
  <c r="AN45" i="20" s="1"/>
  <c r="G54" i="20"/>
  <c r="AN54" i="20" s="1"/>
  <c r="G34" i="20"/>
  <c r="AN34" i="20" s="1"/>
  <c r="G50" i="20"/>
  <c r="AN50" i="20" s="1"/>
  <c r="G46" i="20"/>
  <c r="AN46" i="20" s="1"/>
  <c r="G21" i="20"/>
  <c r="AN21" i="20" s="1"/>
  <c r="G20" i="20"/>
  <c r="AN20" i="20" s="1"/>
  <c r="G19" i="20"/>
  <c r="AN19" i="20" s="1"/>
  <c r="G18" i="20"/>
  <c r="AN18" i="20" s="1"/>
  <c r="G17" i="20"/>
  <c r="AN17" i="20" s="1"/>
  <c r="G23" i="20"/>
  <c r="AN23" i="20" s="1"/>
  <c r="G13" i="20"/>
  <c r="AN13" i="20" s="1"/>
  <c r="G12" i="20"/>
  <c r="AN12" i="20" s="1"/>
  <c r="G16" i="20"/>
  <c r="AN16" i="20" s="1"/>
  <c r="G14" i="20"/>
  <c r="AN14" i="20" s="1"/>
  <c r="Z23" i="20"/>
  <c r="AA23" i="20" s="1"/>
  <c r="AE23" i="20"/>
  <c r="EQ19" i="20" s="1"/>
  <c r="AD23" i="20"/>
  <c r="ES17" i="20" s="1"/>
  <c r="AM23" i="20"/>
  <c r="AL23" i="20"/>
  <c r="AL4" i="20"/>
  <c r="AM6" i="20"/>
  <c r="G7" i="20"/>
  <c r="AN7" i="20" s="1"/>
  <c r="G8" i="20"/>
  <c r="AN8" i="20" s="1"/>
  <c r="G9" i="20"/>
  <c r="AN9" i="20" s="1"/>
  <c r="AE22" i="20"/>
  <c r="EP18" i="20" s="1"/>
  <c r="AD22" i="20"/>
  <c r="AL22" i="20"/>
  <c r="Z22" i="20"/>
  <c r="AA22" i="20" s="1"/>
  <c r="AM22" i="20"/>
  <c r="AL15" i="20"/>
  <c r="AL16" i="20"/>
  <c r="AM15" i="20"/>
  <c r="AM16" i="20"/>
  <c r="AA19" i="20"/>
  <c r="AM12" i="20"/>
  <c r="AM13" i="20"/>
  <c r="AD15" i="20"/>
  <c r="FA26" i="20" s="1"/>
  <c r="AD16" i="20"/>
  <c r="EG5" i="20" s="1"/>
  <c r="AL17" i="20"/>
  <c r="Z20" i="20"/>
  <c r="AA20" i="20" s="1"/>
  <c r="Z21" i="20"/>
  <c r="AA21" i="20" s="1"/>
  <c r="AL52" i="20"/>
  <c r="Z24" i="20"/>
  <c r="AA24" i="20" s="1"/>
  <c r="AE24" i="20"/>
  <c r="EU23" i="20" s="1"/>
  <c r="AD24" i="20"/>
  <c r="EW21" i="20" s="1"/>
  <c r="AL19" i="20"/>
  <c r="AA25" i="20"/>
  <c r="AL25" i="20"/>
  <c r="Z35" i="20"/>
  <c r="AA35" i="20" s="1"/>
  <c r="AE35" i="20"/>
  <c r="ES16" i="20" s="1"/>
  <c r="AD35" i="20"/>
  <c r="EP19" i="20" s="1"/>
  <c r="AL35" i="20"/>
  <c r="AM25" i="20"/>
  <c r="AM33" i="20"/>
  <c r="AL40" i="20"/>
  <c r="Y44" i="20"/>
  <c r="S44" i="20"/>
  <c r="X44" i="20"/>
  <c r="Z28" i="20"/>
  <c r="AA28" i="20" s="1"/>
  <c r="AE28" i="20"/>
  <c r="EG4" i="20" s="1"/>
  <c r="AM28" i="20"/>
  <c r="Z29" i="20"/>
  <c r="AA29" i="20" s="1"/>
  <c r="AE29" i="20"/>
  <c r="EE6" i="20" s="1"/>
  <c r="AD29" i="20"/>
  <c r="EF5" i="20" s="1"/>
  <c r="Z31" i="20"/>
  <c r="AA31" i="20" s="1"/>
  <c r="AE31" i="20"/>
  <c r="EI10" i="20" s="1"/>
  <c r="AD31" i="20"/>
  <c r="EJ9" i="20" s="1"/>
  <c r="AM31" i="20"/>
  <c r="Y45" i="20"/>
  <c r="S45" i="20"/>
  <c r="X45" i="20"/>
  <c r="Z32" i="20"/>
  <c r="AA32" i="20" s="1"/>
  <c r="AE32" i="20"/>
  <c r="EO12" i="20" s="1"/>
  <c r="AD32" i="20"/>
  <c r="EL15" i="20" s="1"/>
  <c r="AL33" i="20"/>
  <c r="Z39" i="20"/>
  <c r="AA39" i="20" s="1"/>
  <c r="AE39" i="20"/>
  <c r="FA24" i="20" s="1"/>
  <c r="Y42" i="20"/>
  <c r="S42" i="20"/>
  <c r="X42" i="20"/>
  <c r="AA44" i="20"/>
  <c r="Z44" i="20"/>
  <c r="T44" i="20"/>
  <c r="AA45" i="20"/>
  <c r="Z45" i="20"/>
  <c r="T45" i="20"/>
  <c r="AM48" i="20"/>
  <c r="AD28" i="20"/>
  <c r="ED7" i="20" s="1"/>
  <c r="Z30" i="20"/>
  <c r="AA30" i="20" s="1"/>
  <c r="AE30" i="20"/>
  <c r="EK8" i="20" s="1"/>
  <c r="AD30" i="20"/>
  <c r="EH11" i="20" s="1"/>
  <c r="AM30" i="20"/>
  <c r="AA36" i="20"/>
  <c r="Z37" i="20"/>
  <c r="AA37" i="20" s="1"/>
  <c r="AE37" i="20"/>
  <c r="EW20" i="20" s="1"/>
  <c r="AD37" i="20"/>
  <c r="ET23" i="20" s="1"/>
  <c r="Y40" i="20"/>
  <c r="S40" i="20"/>
  <c r="X40" i="20"/>
  <c r="AA42" i="20"/>
  <c r="Z42" i="20"/>
  <c r="T42" i="20"/>
  <c r="AL43" i="20"/>
  <c r="AL45" i="20"/>
  <c r="AL54" i="20"/>
  <c r="Z33" i="20"/>
  <c r="AA33" i="20" s="1"/>
  <c r="AE33" i="20"/>
  <c r="EM14" i="20" s="1"/>
  <c r="AD33" i="20"/>
  <c r="EN13" i="20" s="1"/>
  <c r="AA40" i="20"/>
  <c r="Z40" i="20"/>
  <c r="T40" i="20"/>
  <c r="AM43" i="20"/>
  <c r="AL44" i="20"/>
  <c r="AL46" i="20"/>
  <c r="AL50" i="20"/>
  <c r="AM53" i="20"/>
  <c r="AL34" i="20"/>
  <c r="AL38" i="20"/>
  <c r="AL47" i="20"/>
  <c r="AM34" i="20"/>
  <c r="AM38" i="20"/>
  <c r="AL41" i="20"/>
  <c r="X46" i="20"/>
  <c r="X50" i="20"/>
  <c r="X52" i="20"/>
  <c r="X54" i="20"/>
  <c r="AD34" i="20"/>
  <c r="ER17" i="20" s="1"/>
  <c r="AL36" i="20"/>
  <c r="AD38" i="20"/>
  <c r="EZ25" i="20" s="1"/>
  <c r="S46" i="20"/>
  <c r="X47" i="20"/>
  <c r="AL49" i="20"/>
  <c r="S50" i="20"/>
  <c r="AL51" i="20"/>
  <c r="S52" i="20"/>
  <c r="AL53" i="20"/>
  <c r="S54" i="20"/>
  <c r="T46" i="20"/>
  <c r="S47" i="20"/>
  <c r="T50" i="20"/>
  <c r="T52" i="20"/>
  <c r="BW5" i="19"/>
  <c r="FW18" i="19"/>
  <c r="FT21" i="19"/>
  <c r="DN22" i="19"/>
  <c r="CV24" i="19"/>
  <c r="AA51" i="19"/>
  <c r="Z51" i="19"/>
  <c r="T51" i="19"/>
  <c r="Z4" i="19"/>
  <c r="BF4" i="19"/>
  <c r="DE4" i="19"/>
  <c r="DQ4" i="19"/>
  <c r="EM4" i="19"/>
  <c r="FO4" i="19"/>
  <c r="GA4" i="19"/>
  <c r="GG4" i="19"/>
  <c r="CW5" i="19"/>
  <c r="DI5" i="19"/>
  <c r="EE5" i="19"/>
  <c r="EQ5" i="19"/>
  <c r="FM5" i="19"/>
  <c r="FZ5" i="19"/>
  <c r="CW6" i="19"/>
  <c r="DO6" i="19"/>
  <c r="EJ6" i="19"/>
  <c r="FR6" i="19"/>
  <c r="CZ7" i="19"/>
  <c r="EK7" i="19"/>
  <c r="GE7" i="19"/>
  <c r="EK8" i="19"/>
  <c r="GE8" i="19"/>
  <c r="DQ9" i="19"/>
  <c r="FU9" i="19"/>
  <c r="DL10" i="19"/>
  <c r="EN10" i="19"/>
  <c r="GH10" i="19"/>
  <c r="DG11" i="19"/>
  <c r="ES12" i="19"/>
  <c r="DN17" i="19"/>
  <c r="CZ4" i="19"/>
  <c r="DF4" i="19"/>
  <c r="DL4" i="19"/>
  <c r="DR4" i="19"/>
  <c r="EH4" i="19"/>
  <c r="EN4" i="19"/>
  <c r="ET4" i="19"/>
  <c r="EZ4" i="19"/>
  <c r="FP4" i="19"/>
  <c r="FV4" i="19"/>
  <c r="GB4" i="19"/>
  <c r="GH4" i="19"/>
  <c r="AE5" i="19"/>
  <c r="CX5" i="19"/>
  <c r="DD5" i="19"/>
  <c r="DJ5" i="19"/>
  <c r="DP5" i="19"/>
  <c r="EF5" i="19"/>
  <c r="EL5" i="19"/>
  <c r="ER5" i="19"/>
  <c r="EX5" i="19"/>
  <c r="FN5" i="19"/>
  <c r="FT5" i="19"/>
  <c r="GA5" i="19"/>
  <c r="GH5" i="19"/>
  <c r="BF6" i="19"/>
  <c r="CX6" i="19"/>
  <c r="DH6" i="19"/>
  <c r="DP6" i="19"/>
  <c r="EK6" i="19"/>
  <c r="EW6" i="19"/>
  <c r="FS6" i="19"/>
  <c r="GE6" i="19"/>
  <c r="DA7" i="19"/>
  <c r="DM7" i="19"/>
  <c r="EN7" i="19"/>
  <c r="FP7" i="19"/>
  <c r="GH7" i="19"/>
  <c r="DL8" i="19"/>
  <c r="EN8" i="19"/>
  <c r="FP8" i="19"/>
  <c r="GH8" i="19"/>
  <c r="DB9" i="19"/>
  <c r="ED9" i="19"/>
  <c r="EV9" i="19"/>
  <c r="FX9" i="19"/>
  <c r="CW10" i="19"/>
  <c r="DO10" i="19"/>
  <c r="EQ10" i="19"/>
  <c r="FS10" i="19"/>
  <c r="BJ11" i="19"/>
  <c r="DJ11" i="19"/>
  <c r="EL11" i="19"/>
  <c r="FS11" i="19"/>
  <c r="DH12" i="19"/>
  <c r="EZ12" i="19"/>
  <c r="EP13" i="19"/>
  <c r="EU14" i="19"/>
  <c r="FQ15" i="19"/>
  <c r="FN16" i="19"/>
  <c r="EE17" i="19"/>
  <c r="DD18" i="19"/>
  <c r="FT22" i="19"/>
  <c r="EG23" i="19"/>
  <c r="EJ24" i="19"/>
  <c r="AE28" i="19"/>
  <c r="AD28" i="19"/>
  <c r="AM28" i="19"/>
  <c r="Z28" i="19"/>
  <c r="AA28" i="19" s="1"/>
  <c r="AM4" i="19"/>
  <c r="DK4" i="19"/>
  <c r="EG4" i="19"/>
  <c r="ES4" i="19"/>
  <c r="EY4" i="19"/>
  <c r="FU4" i="19"/>
  <c r="BJ5" i="19"/>
  <c r="BK5" i="19" s="1"/>
  <c r="BV5" i="19" s="1"/>
  <c r="DC5" i="19"/>
  <c r="DO5" i="19"/>
  <c r="EK5" i="19"/>
  <c r="EW5" i="19"/>
  <c r="FS5" i="19"/>
  <c r="GG5" i="19"/>
  <c r="DE6" i="19"/>
  <c r="EV6" i="19"/>
  <c r="GD6" i="19"/>
  <c r="DL7" i="19"/>
  <c r="FM7" i="19"/>
  <c r="DI8" i="19"/>
  <c r="FM8" i="19"/>
  <c r="BI9" i="19"/>
  <c r="CY9" i="19"/>
  <c r="ES9" i="19"/>
  <c r="FP10" i="19"/>
  <c r="EI11" i="19"/>
  <c r="FO11" i="19"/>
  <c r="DC12" i="19"/>
  <c r="EI13" i="19"/>
  <c r="EN14" i="19"/>
  <c r="EZ15" i="19"/>
  <c r="DA4" i="19"/>
  <c r="DG4" i="19"/>
  <c r="DM4" i="19"/>
  <c r="DS4" i="19"/>
  <c r="EI4" i="19"/>
  <c r="EO4" i="19"/>
  <c r="EU4" i="19"/>
  <c r="FA4" i="19"/>
  <c r="FQ4" i="19"/>
  <c r="FW4" i="19"/>
  <c r="GC4" i="19"/>
  <c r="GI4" i="19"/>
  <c r="Z5" i="19"/>
  <c r="AA5" i="19" s="1"/>
  <c r="BF5" i="19"/>
  <c r="CY5" i="19"/>
  <c r="DE5" i="19"/>
  <c r="DK5" i="19"/>
  <c r="DQ5" i="19"/>
  <c r="EM5" i="19"/>
  <c r="ES5" i="19"/>
  <c r="EY5" i="19"/>
  <c r="FO5" i="19"/>
  <c r="FU5" i="19"/>
  <c r="GB5" i="19"/>
  <c r="Z6" i="19"/>
  <c r="AA6" i="19" s="1"/>
  <c r="AE6" i="19"/>
  <c r="AM6" i="19"/>
  <c r="BI6" i="19"/>
  <c r="CY6" i="19"/>
  <c r="DI6" i="19"/>
  <c r="DQ6" i="19"/>
  <c r="EM6" i="19"/>
  <c r="EY6" i="19"/>
  <c r="FU6" i="19"/>
  <c r="GG6" i="19"/>
  <c r="Z7" i="19"/>
  <c r="AA7" i="19" s="1"/>
  <c r="DC7" i="19"/>
  <c r="DO7" i="19"/>
  <c r="EQ7" i="19"/>
  <c r="FS7" i="19"/>
  <c r="CW8" i="19"/>
  <c r="DO8" i="19"/>
  <c r="EQ8" i="19"/>
  <c r="FS8" i="19"/>
  <c r="DE9" i="19"/>
  <c r="EG9" i="19"/>
  <c r="EY9" i="19"/>
  <c r="GA9" i="19"/>
  <c r="CZ10" i="19"/>
  <c r="DR10" i="19"/>
  <c r="ET10" i="19"/>
  <c r="FV10" i="19"/>
  <c r="DM11" i="19"/>
  <c r="EO11" i="19"/>
  <c r="FX11" i="19"/>
  <c r="DL12" i="19"/>
  <c r="FU12" i="19"/>
  <c r="FA13" i="19"/>
  <c r="FP14" i="19"/>
  <c r="DF15" i="19"/>
  <c r="GB15" i="19"/>
  <c r="CY16" i="19"/>
  <c r="FU16" i="19"/>
  <c r="Z17" i="19"/>
  <c r="AA17" i="19" s="1"/>
  <c r="AE17" i="19"/>
  <c r="ED6" i="19" s="1"/>
  <c r="AD17" i="19"/>
  <c r="AM17" i="19"/>
  <c r="AL17" i="19"/>
  <c r="DL18" i="19"/>
  <c r="CZ19" i="19"/>
  <c r="CZ20" i="19"/>
  <c r="GA23" i="19"/>
  <c r="DS26" i="19"/>
  <c r="EP27" i="19"/>
  <c r="AD7" i="19"/>
  <c r="AM7" i="19"/>
  <c r="BF10" i="19"/>
  <c r="DC10" i="19"/>
  <c r="EE10" i="19"/>
  <c r="EW10" i="19"/>
  <c r="FY10" i="19"/>
  <c r="CX11" i="19"/>
  <c r="DP11" i="19"/>
  <c r="ES11" i="19"/>
  <c r="GB11" i="19"/>
  <c r="DQ12" i="19"/>
  <c r="GB12" i="19"/>
  <c r="CV13" i="19"/>
  <c r="FR13" i="19"/>
  <c r="DA14" i="19"/>
  <c r="FW14" i="19"/>
  <c r="DM15" i="19"/>
  <c r="GI15" i="19"/>
  <c r="DJ16" i="19"/>
  <c r="GF16" i="19"/>
  <c r="EW17" i="19"/>
  <c r="EI18" i="19"/>
  <c r="DM19" i="19"/>
  <c r="EG20" i="19"/>
  <c r="BJ29" i="19"/>
  <c r="BJ32" i="19"/>
  <c r="BJ31" i="19"/>
  <c r="BJ30" i="19"/>
  <c r="BI29" i="19"/>
  <c r="BI27" i="19"/>
  <c r="BI31" i="19"/>
  <c r="BJ26" i="19"/>
  <c r="BI30" i="19"/>
  <c r="BI25" i="19"/>
  <c r="BI24" i="19"/>
  <c r="BI26" i="19"/>
  <c r="BJ25" i="19"/>
  <c r="BJ24" i="19"/>
  <c r="BJ21" i="19"/>
  <c r="BI20" i="19"/>
  <c r="BJ27" i="19"/>
  <c r="BJ22" i="19"/>
  <c r="BI21" i="19"/>
  <c r="BI19" i="19"/>
  <c r="BI22" i="19"/>
  <c r="BI16" i="19"/>
  <c r="BJ12" i="19"/>
  <c r="BI32" i="19"/>
  <c r="BJ20" i="19"/>
  <c r="BJ15" i="19"/>
  <c r="BJ14" i="19"/>
  <c r="BI15" i="19"/>
  <c r="BI14" i="19"/>
  <c r="BJ19" i="19"/>
  <c r="BJ17" i="19"/>
  <c r="BI11" i="19"/>
  <c r="BI7" i="19"/>
  <c r="BI17" i="19"/>
  <c r="BJ10" i="19"/>
  <c r="BJ16" i="19"/>
  <c r="BJ9" i="19"/>
  <c r="AD4" i="19"/>
  <c r="BJ4" i="19"/>
  <c r="CW4" i="19"/>
  <c r="DC4" i="19"/>
  <c r="DI4" i="19"/>
  <c r="DO4" i="19"/>
  <c r="EE4" i="19"/>
  <c r="EK4" i="19"/>
  <c r="EQ4" i="19"/>
  <c r="EW4" i="19"/>
  <c r="FM4" i="19"/>
  <c r="FS4" i="19"/>
  <c r="FY4" i="19"/>
  <c r="GE4" i="19"/>
  <c r="DA5" i="19"/>
  <c r="DG5" i="19"/>
  <c r="DM5" i="19"/>
  <c r="DS5" i="19"/>
  <c r="EI5" i="19"/>
  <c r="EO5" i="19"/>
  <c r="EU5" i="19"/>
  <c r="FA5" i="19"/>
  <c r="FQ5" i="19"/>
  <c r="FX5" i="19"/>
  <c r="GE5" i="19"/>
  <c r="DC6" i="19"/>
  <c r="DK6" i="19"/>
  <c r="EQ6" i="19"/>
  <c r="FM6" i="19"/>
  <c r="FY6" i="19"/>
  <c r="G53" i="19"/>
  <c r="AN53" i="19" s="1"/>
  <c r="G51" i="19"/>
  <c r="AN51" i="19" s="1"/>
  <c r="G49" i="19"/>
  <c r="AN49" i="19" s="1"/>
  <c r="G43" i="19"/>
  <c r="AN43" i="19" s="1"/>
  <c r="G39" i="19"/>
  <c r="AN39" i="19" s="1"/>
  <c r="G48" i="19"/>
  <c r="AN48" i="19" s="1"/>
  <c r="G41" i="19"/>
  <c r="AN41" i="19" s="1"/>
  <c r="G36" i="19"/>
  <c r="AN36" i="19" s="1"/>
  <c r="G47" i="19"/>
  <c r="AN47" i="19" s="1"/>
  <c r="G54" i="19"/>
  <c r="AN54" i="19" s="1"/>
  <c r="G52" i="19"/>
  <c r="AN52" i="19" s="1"/>
  <c r="G50" i="19"/>
  <c r="AN50" i="19" s="1"/>
  <c r="G46" i="19"/>
  <c r="AN46" i="19" s="1"/>
  <c r="G38" i="19"/>
  <c r="AN38" i="19" s="1"/>
  <c r="G34" i="19"/>
  <c r="AN34" i="19" s="1"/>
  <c r="G27" i="19"/>
  <c r="AN27" i="19" s="1"/>
  <c r="G26" i="19"/>
  <c r="AN26" i="19" s="1"/>
  <c r="G44" i="19"/>
  <c r="AN44" i="19" s="1"/>
  <c r="G30" i="19"/>
  <c r="AN30" i="19" s="1"/>
  <c r="G42" i="19"/>
  <c r="AN42" i="19" s="1"/>
  <c r="G33" i="19"/>
  <c r="AN33" i="19" s="1"/>
  <c r="G31" i="19"/>
  <c r="AN31" i="19" s="1"/>
  <c r="G24" i="19"/>
  <c r="AN24" i="19" s="1"/>
  <c r="G45" i="19"/>
  <c r="AN45" i="19" s="1"/>
  <c r="G22" i="19"/>
  <c r="AN22" i="19" s="1"/>
  <c r="G37" i="19"/>
  <c r="AN37" i="19" s="1"/>
  <c r="G32" i="19"/>
  <c r="AN32" i="19" s="1"/>
  <c r="G29" i="19"/>
  <c r="AN29" i="19" s="1"/>
  <c r="G25" i="19"/>
  <c r="AN25" i="19" s="1"/>
  <c r="G23" i="19"/>
  <c r="AN23" i="19" s="1"/>
  <c r="G35" i="19"/>
  <c r="AN35" i="19" s="1"/>
  <c r="G21" i="19"/>
  <c r="AN21" i="19" s="1"/>
  <c r="G20" i="19"/>
  <c r="AN20" i="19" s="1"/>
  <c r="G19" i="19"/>
  <c r="AN19" i="19" s="1"/>
  <c r="G17" i="19"/>
  <c r="AN17" i="19" s="1"/>
  <c r="G13" i="19"/>
  <c r="AN13" i="19" s="1"/>
  <c r="G40" i="19"/>
  <c r="AN40" i="19" s="1"/>
  <c r="G16" i="19"/>
  <c r="AN16" i="19" s="1"/>
  <c r="G15" i="19"/>
  <c r="AN15" i="19" s="1"/>
  <c r="G28" i="19"/>
  <c r="AN28" i="19" s="1"/>
  <c r="G14" i="19"/>
  <c r="AN14" i="19" s="1"/>
  <c r="G7" i="19"/>
  <c r="AN7" i="19" s="1"/>
  <c r="G18" i="19"/>
  <c r="AN18" i="19" s="1"/>
  <c r="G10" i="19"/>
  <c r="AN10" i="19" s="1"/>
  <c r="DG7" i="19"/>
  <c r="EE7" i="19"/>
  <c r="EW7" i="19"/>
  <c r="FY7" i="19"/>
  <c r="DC8" i="19"/>
  <c r="EE8" i="19"/>
  <c r="EW8" i="19"/>
  <c r="FY8" i="19"/>
  <c r="DK9" i="19"/>
  <c r="EM9" i="19"/>
  <c r="FO9" i="19"/>
  <c r="GG9" i="19"/>
  <c r="AL10" i="19"/>
  <c r="BI10" i="19"/>
  <c r="DF10" i="19"/>
  <c r="EZ10" i="19"/>
  <c r="GB10" i="19"/>
  <c r="DA11" i="19"/>
  <c r="DS11" i="19"/>
  <c r="EV11" i="19"/>
  <c r="GG11" i="19"/>
  <c r="EG12" i="19"/>
  <c r="DG13" i="19"/>
  <c r="GC13" i="19"/>
  <c r="DL14" i="19"/>
  <c r="GH14" i="19"/>
  <c r="BF15" i="19"/>
  <c r="EH15" i="19"/>
  <c r="DQ16" i="19"/>
  <c r="CV17" i="19"/>
  <c r="FR17" i="19"/>
  <c r="ER18" i="19"/>
  <c r="ET19" i="19"/>
  <c r="ET20" i="19"/>
  <c r="BF32" i="19"/>
  <c r="BF31" i="19"/>
  <c r="BF30" i="19"/>
  <c r="GE27" i="19"/>
  <c r="FY27" i="19"/>
  <c r="FS27" i="19"/>
  <c r="FM27" i="19"/>
  <c r="EW27" i="19"/>
  <c r="EQ27" i="19"/>
  <c r="EK27" i="19"/>
  <c r="EE27" i="19"/>
  <c r="DO27" i="19"/>
  <c r="DI27" i="19"/>
  <c r="DC27" i="19"/>
  <c r="CW27" i="19"/>
  <c r="GD26" i="19"/>
  <c r="FX26" i="19"/>
  <c r="FR26" i="19"/>
  <c r="FL26" i="19"/>
  <c r="EV26" i="19"/>
  <c r="EP26" i="19"/>
  <c r="EJ26" i="19"/>
  <c r="ED26" i="19"/>
  <c r="DN26" i="19"/>
  <c r="DH26" i="19"/>
  <c r="DB26" i="19"/>
  <c r="CV26" i="19"/>
  <c r="GD25" i="19"/>
  <c r="FX25" i="19"/>
  <c r="FR25" i="19"/>
  <c r="FL25" i="19"/>
  <c r="EV25" i="19"/>
  <c r="EP25" i="19"/>
  <c r="EJ25" i="19"/>
  <c r="ED25" i="19"/>
  <c r="DN25" i="19"/>
  <c r="DH25" i="19"/>
  <c r="DB25" i="19"/>
  <c r="CV25" i="19"/>
  <c r="GI24" i="19"/>
  <c r="GC24" i="19"/>
  <c r="GH27" i="19"/>
  <c r="GB27" i="19"/>
  <c r="FV27" i="19"/>
  <c r="FP27" i="19"/>
  <c r="EZ27" i="19"/>
  <c r="ET27" i="19"/>
  <c r="EN27" i="19"/>
  <c r="EH27" i="19"/>
  <c r="DR27" i="19"/>
  <c r="DL27" i="19"/>
  <c r="DF27" i="19"/>
  <c r="CZ27" i="19"/>
  <c r="BF27" i="19"/>
  <c r="GG26" i="19"/>
  <c r="GA26" i="19"/>
  <c r="FU26" i="19"/>
  <c r="FO26" i="19"/>
  <c r="EY26" i="19"/>
  <c r="ES26" i="19"/>
  <c r="EM26" i="19"/>
  <c r="EG26" i="19"/>
  <c r="DQ26" i="19"/>
  <c r="DK26" i="19"/>
  <c r="DE26" i="19"/>
  <c r="CY26" i="19"/>
  <c r="GG25" i="19"/>
  <c r="GA25" i="19"/>
  <c r="FU25" i="19"/>
  <c r="FO25" i="19"/>
  <c r="EY25" i="19"/>
  <c r="ES25" i="19"/>
  <c r="EM25" i="19"/>
  <c r="EG25" i="19"/>
  <c r="DQ25" i="19"/>
  <c r="DK25" i="19"/>
  <c r="DE25" i="19"/>
  <c r="BF29" i="19"/>
  <c r="GG27" i="19"/>
  <c r="GA27" i="19"/>
  <c r="FU27" i="19"/>
  <c r="FO27" i="19"/>
  <c r="ES27" i="19"/>
  <c r="EM27" i="19"/>
  <c r="EG27" i="19"/>
  <c r="DQ27" i="19"/>
  <c r="DK27" i="19"/>
  <c r="DE27" i="19"/>
  <c r="CY27" i="19"/>
  <c r="GF26" i="19"/>
  <c r="FZ26" i="19"/>
  <c r="FT26" i="19"/>
  <c r="FN26" i="19"/>
  <c r="EX26" i="19"/>
  <c r="ER26" i="19"/>
  <c r="EL26" i="19"/>
  <c r="EF26" i="19"/>
  <c r="DP26" i="19"/>
  <c r="DJ26" i="19"/>
  <c r="DD26" i="19"/>
  <c r="CX26" i="19"/>
  <c r="GF25" i="19"/>
  <c r="FZ25" i="19"/>
  <c r="FT25" i="19"/>
  <c r="FN25" i="19"/>
  <c r="EX25" i="19"/>
  <c r="ER25" i="19"/>
  <c r="EL25" i="19"/>
  <c r="EF25" i="19"/>
  <c r="DP25" i="19"/>
  <c r="DJ25" i="19"/>
  <c r="DD25" i="19"/>
  <c r="CX25" i="19"/>
  <c r="GI27" i="19"/>
  <c r="FW27" i="19"/>
  <c r="FA27" i="19"/>
  <c r="EO27" i="19"/>
  <c r="DS27" i="19"/>
  <c r="DG27" i="19"/>
  <c r="GC26" i="19"/>
  <c r="FQ26" i="19"/>
  <c r="EU26" i="19"/>
  <c r="EI26" i="19"/>
  <c r="DM26" i="19"/>
  <c r="DA26" i="19"/>
  <c r="FY25" i="19"/>
  <c r="FM25" i="19"/>
  <c r="EQ25" i="19"/>
  <c r="EE25" i="19"/>
  <c r="DI25" i="19"/>
  <c r="CY25" i="19"/>
  <c r="GF24" i="19"/>
  <c r="FY24" i="19"/>
  <c r="FS24" i="19"/>
  <c r="FM24" i="19"/>
  <c r="EW24" i="19"/>
  <c r="EQ24" i="19"/>
  <c r="EK24" i="19"/>
  <c r="EE24" i="19"/>
  <c r="DO24" i="19"/>
  <c r="DI24" i="19"/>
  <c r="DC24" i="19"/>
  <c r="CW24" i="19"/>
  <c r="GD23" i="19"/>
  <c r="FX23" i="19"/>
  <c r="FR23" i="19"/>
  <c r="FL23" i="19"/>
  <c r="EP23" i="19"/>
  <c r="EJ23" i="19"/>
  <c r="ED23" i="19"/>
  <c r="DN23" i="19"/>
  <c r="DH23" i="19"/>
  <c r="DB23" i="19"/>
  <c r="CV23" i="19"/>
  <c r="GI22" i="19"/>
  <c r="GC22" i="19"/>
  <c r="FW22" i="19"/>
  <c r="FQ22" i="19"/>
  <c r="FA22" i="19"/>
  <c r="EO22" i="19"/>
  <c r="EI22" i="19"/>
  <c r="GF27" i="19"/>
  <c r="FT27" i="19"/>
  <c r="EL27" i="19"/>
  <c r="DP27" i="19"/>
  <c r="DD27" i="19"/>
  <c r="GB26" i="19"/>
  <c r="FP26" i="19"/>
  <c r="ET26" i="19"/>
  <c r="EH26" i="19"/>
  <c r="DL26" i="19"/>
  <c r="CZ26" i="19"/>
  <c r="GI25" i="19"/>
  <c r="FW25" i="19"/>
  <c r="FR27" i="19"/>
  <c r="ER27" i="19"/>
  <c r="DN27" i="19"/>
  <c r="CX27" i="19"/>
  <c r="GE26" i="19"/>
  <c r="EK26" i="19"/>
  <c r="DG26" i="19"/>
  <c r="GB25" i="19"/>
  <c r="EZ25" i="19"/>
  <c r="EK25" i="19"/>
  <c r="DM25" i="19"/>
  <c r="CZ25" i="19"/>
  <c r="GG24" i="19"/>
  <c r="FX24" i="19"/>
  <c r="FQ24" i="19"/>
  <c r="ES24" i="19"/>
  <c r="EL24" i="19"/>
  <c r="ED24" i="19"/>
  <c r="DM24" i="19"/>
  <c r="DF24" i="19"/>
  <c r="CY24" i="19"/>
  <c r="BF24" i="19"/>
  <c r="GC23" i="19"/>
  <c r="GC27" i="19"/>
  <c r="FL27" i="19"/>
  <c r="EI27" i="19"/>
  <c r="DH27" i="19"/>
  <c r="FV26" i="19"/>
  <c r="EQ26" i="19"/>
  <c r="DR26" i="19"/>
  <c r="CW26" i="19"/>
  <c r="GH25" i="19"/>
  <c r="FQ25" i="19"/>
  <c r="ET25" i="19"/>
  <c r="DS25" i="19"/>
  <c r="DF25" i="19"/>
  <c r="GB24" i="19"/>
  <c r="FU24" i="19"/>
  <c r="FN24" i="19"/>
  <c r="EV24" i="19"/>
  <c r="EO24" i="19"/>
  <c r="EH24" i="19"/>
  <c r="DQ24" i="19"/>
  <c r="DJ24" i="19"/>
  <c r="DB24" i="19"/>
  <c r="GG23" i="19"/>
  <c r="FZ23" i="19"/>
  <c r="FS23" i="19"/>
  <c r="FA23" i="19"/>
  <c r="EM23" i="19"/>
  <c r="EF23" i="19"/>
  <c r="DO23" i="19"/>
  <c r="DG23" i="19"/>
  <c r="CZ23" i="19"/>
  <c r="GD22" i="19"/>
  <c r="FV22" i="19"/>
  <c r="FO22" i="19"/>
  <c r="EX22" i="19"/>
  <c r="EQ22" i="19"/>
  <c r="EJ22" i="19"/>
  <c r="DS22" i="19"/>
  <c r="DM22" i="19"/>
  <c r="DG22" i="19"/>
  <c r="DA22" i="19"/>
  <c r="GD21" i="19"/>
  <c r="FX21" i="19"/>
  <c r="FR21" i="19"/>
  <c r="FZ27" i="19"/>
  <c r="EV27" i="19"/>
  <c r="EF27" i="19"/>
  <c r="DB27" i="19"/>
  <c r="GI26" i="19"/>
  <c r="FS26" i="19"/>
  <c r="EO26" i="19"/>
  <c r="DO26" i="19"/>
  <c r="GE25" i="19"/>
  <c r="FP25" i="19"/>
  <c r="EO25" i="19"/>
  <c r="DR25" i="19"/>
  <c r="DC25" i="19"/>
  <c r="GA24" i="19"/>
  <c r="FT24" i="19"/>
  <c r="FL24" i="19"/>
  <c r="EU24" i="19"/>
  <c r="EN24" i="19"/>
  <c r="EG24" i="19"/>
  <c r="DP24" i="19"/>
  <c r="DH24" i="19"/>
  <c r="DA24" i="19"/>
  <c r="GF23" i="19"/>
  <c r="FY23" i="19"/>
  <c r="FQ23" i="19"/>
  <c r="EZ23" i="19"/>
  <c r="ES23" i="19"/>
  <c r="EL23" i="19"/>
  <c r="EE23" i="19"/>
  <c r="DM23" i="19"/>
  <c r="DF23" i="19"/>
  <c r="CY23" i="19"/>
  <c r="GB22" i="19"/>
  <c r="FU22" i="19"/>
  <c r="FN22" i="19"/>
  <c r="EW22" i="19"/>
  <c r="EP22" i="19"/>
  <c r="EH22" i="19"/>
  <c r="DR22" i="19"/>
  <c r="DL22" i="19"/>
  <c r="DF22" i="19"/>
  <c r="CZ22" i="19"/>
  <c r="BF22" i="19"/>
  <c r="GI21" i="19"/>
  <c r="GC21" i="19"/>
  <c r="FW21" i="19"/>
  <c r="FQ21" i="19"/>
  <c r="FA21" i="19"/>
  <c r="EU21" i="19"/>
  <c r="EO21" i="19"/>
  <c r="EI21" i="19"/>
  <c r="DS21" i="19"/>
  <c r="DM21" i="19"/>
  <c r="DG21" i="19"/>
  <c r="DA21" i="19"/>
  <c r="FX27" i="19"/>
  <c r="ED27" i="19"/>
  <c r="EZ26" i="19"/>
  <c r="DF26" i="19"/>
  <c r="EU25" i="19"/>
  <c r="DG25" i="19"/>
  <c r="FQ27" i="19"/>
  <c r="DM27" i="19"/>
  <c r="EW26" i="19"/>
  <c r="DC26" i="19"/>
  <c r="BF26" i="19"/>
  <c r="GC25" i="19"/>
  <c r="EN25" i="19"/>
  <c r="DA25" i="19"/>
  <c r="GE24" i="19"/>
  <c r="FP24" i="19"/>
  <c r="ER24" i="19"/>
  <c r="DS24" i="19"/>
  <c r="DE24" i="19"/>
  <c r="GH23" i="19"/>
  <c r="FU23" i="19"/>
  <c r="EY23" i="19"/>
  <c r="EO23" i="19"/>
  <c r="DS23" i="19"/>
  <c r="DJ23" i="19"/>
  <c r="CX23" i="19"/>
  <c r="GE22" i="19"/>
  <c r="FS22" i="19"/>
  <c r="EY22" i="19"/>
  <c r="EM22" i="19"/>
  <c r="ED22" i="19"/>
  <c r="DJ22" i="19"/>
  <c r="DB22" i="19"/>
  <c r="GH21" i="19"/>
  <c r="FZ21" i="19"/>
  <c r="FP21" i="19"/>
  <c r="EY21" i="19"/>
  <c r="ER21" i="19"/>
  <c r="EK21" i="19"/>
  <c r="ED21" i="19"/>
  <c r="DL21" i="19"/>
  <c r="DE21" i="19"/>
  <c r="CX21" i="19"/>
  <c r="GE20" i="19"/>
  <c r="FY20" i="19"/>
  <c r="FS20" i="19"/>
  <c r="FM20" i="19"/>
  <c r="EQ20" i="19"/>
  <c r="EK20" i="19"/>
  <c r="EE20" i="19"/>
  <c r="DO20" i="19"/>
  <c r="DI20" i="19"/>
  <c r="DC20" i="19"/>
  <c r="CW20" i="19"/>
  <c r="GF19" i="19"/>
  <c r="FZ19" i="19"/>
  <c r="FT19" i="19"/>
  <c r="FN19" i="19"/>
  <c r="EX19" i="19"/>
  <c r="EL19" i="19"/>
  <c r="EF19" i="19"/>
  <c r="DP19" i="19"/>
  <c r="DJ19" i="19"/>
  <c r="DD19" i="19"/>
  <c r="CX19" i="19"/>
  <c r="FN27" i="19"/>
  <c r="DJ27" i="19"/>
  <c r="GH26" i="19"/>
  <c r="EN26" i="19"/>
  <c r="FV25" i="19"/>
  <c r="EI25" i="19"/>
  <c r="CW25" i="19"/>
  <c r="GD24" i="19"/>
  <c r="FO24" i="19"/>
  <c r="EP24" i="19"/>
  <c r="DR24" i="19"/>
  <c r="DD24" i="19"/>
  <c r="GE23" i="19"/>
  <c r="FT23" i="19"/>
  <c r="EX23" i="19"/>
  <c r="EN23" i="19"/>
  <c r="DR23" i="19"/>
  <c r="DI23" i="19"/>
  <c r="CW23" i="19"/>
  <c r="GA22" i="19"/>
  <c r="FR22" i="19"/>
  <c r="EV22" i="19"/>
  <c r="EL22" i="19"/>
  <c r="DQ22" i="19"/>
  <c r="DI22" i="19"/>
  <c r="CY22" i="19"/>
  <c r="GG21" i="19"/>
  <c r="FY21" i="19"/>
  <c r="FO21" i="19"/>
  <c r="EX21" i="19"/>
  <c r="EQ21" i="19"/>
  <c r="EJ21" i="19"/>
  <c r="DR21" i="19"/>
  <c r="DK21" i="19"/>
  <c r="DD21" i="19"/>
  <c r="CW21" i="19"/>
  <c r="GD20" i="19"/>
  <c r="FX20" i="19"/>
  <c r="FR20" i="19"/>
  <c r="FL20" i="19"/>
  <c r="EV20" i="19"/>
  <c r="EP20" i="19"/>
  <c r="EJ20" i="19"/>
  <c r="ED20" i="19"/>
  <c r="DN20" i="19"/>
  <c r="DH20" i="19"/>
  <c r="DB20" i="19"/>
  <c r="CV20" i="19"/>
  <c r="GE19" i="19"/>
  <c r="FY19" i="19"/>
  <c r="FS19" i="19"/>
  <c r="FM19" i="19"/>
  <c r="EW19" i="19"/>
  <c r="EQ19" i="19"/>
  <c r="EK19" i="19"/>
  <c r="EE19" i="19"/>
  <c r="DO19" i="19"/>
  <c r="DI19" i="19"/>
  <c r="DC19" i="19"/>
  <c r="CW19" i="19"/>
  <c r="GE18" i="19"/>
  <c r="FY18" i="19"/>
  <c r="FS18" i="19"/>
  <c r="FM18" i="19"/>
  <c r="EW18" i="19"/>
  <c r="EQ18" i="19"/>
  <c r="EK18" i="19"/>
  <c r="EE18" i="19"/>
  <c r="DO18" i="19"/>
  <c r="DI18" i="19"/>
  <c r="EU27" i="19"/>
  <c r="DA27" i="19"/>
  <c r="FY26" i="19"/>
  <c r="EE26" i="19"/>
  <c r="FS25" i="19"/>
  <c r="EH25" i="19"/>
  <c r="FZ24" i="19"/>
  <c r="EM24" i="19"/>
  <c r="DN24" i="19"/>
  <c r="CZ24" i="19"/>
  <c r="GB23" i="19"/>
  <c r="FP23" i="19"/>
  <c r="EW23" i="19"/>
  <c r="EK23" i="19"/>
  <c r="DQ23" i="19"/>
  <c r="DE23" i="19"/>
  <c r="FZ22" i="19"/>
  <c r="FP22" i="19"/>
  <c r="EK22" i="19"/>
  <c r="DP22" i="19"/>
  <c r="DH22" i="19"/>
  <c r="CX22" i="19"/>
  <c r="GF21" i="19"/>
  <c r="FV21" i="19"/>
  <c r="FN21" i="19"/>
  <c r="EW21" i="19"/>
  <c r="EP21" i="19"/>
  <c r="EH21" i="19"/>
  <c r="DQ21" i="19"/>
  <c r="DJ21" i="19"/>
  <c r="DC21" i="19"/>
  <c r="CV21" i="19"/>
  <c r="GI20" i="19"/>
  <c r="GC20" i="19"/>
  <c r="FW20" i="19"/>
  <c r="FQ20" i="19"/>
  <c r="FA20" i="19"/>
  <c r="EO20" i="19"/>
  <c r="EI20" i="19"/>
  <c r="DS20" i="19"/>
  <c r="DM20" i="19"/>
  <c r="DG20" i="19"/>
  <c r="DA20" i="19"/>
  <c r="GD19" i="19"/>
  <c r="FX19" i="19"/>
  <c r="FR19" i="19"/>
  <c r="FL19" i="19"/>
  <c r="EV19" i="19"/>
  <c r="EJ19" i="19"/>
  <c r="ED19" i="19"/>
  <c r="DN19" i="19"/>
  <c r="DH19" i="19"/>
  <c r="DB19" i="19"/>
  <c r="CV19" i="19"/>
  <c r="EJ27" i="19"/>
  <c r="FR24" i="19"/>
  <c r="EF24" i="19"/>
  <c r="FW23" i="19"/>
  <c r="ER23" i="19"/>
  <c r="DL23" i="19"/>
  <c r="GH22" i="19"/>
  <c r="FM22" i="19"/>
  <c r="EG22" i="19"/>
  <c r="DE22" i="19"/>
  <c r="GE21" i="19"/>
  <c r="FM21" i="19"/>
  <c r="EN21" i="19"/>
  <c r="DP21" i="19"/>
  <c r="DB21" i="19"/>
  <c r="FZ20" i="19"/>
  <c r="FN20" i="19"/>
  <c r="ER20" i="19"/>
  <c r="EF20" i="19"/>
  <c r="DJ20" i="19"/>
  <c r="CX20" i="19"/>
  <c r="GA19" i="19"/>
  <c r="FO19" i="19"/>
  <c r="ES19" i="19"/>
  <c r="EG19" i="19"/>
  <c r="DK19" i="19"/>
  <c r="CY19" i="19"/>
  <c r="GI18" i="19"/>
  <c r="GB18" i="19"/>
  <c r="FU18" i="19"/>
  <c r="FN18" i="19"/>
  <c r="EV18" i="19"/>
  <c r="EO18" i="19"/>
  <c r="EH18" i="19"/>
  <c r="DQ18" i="19"/>
  <c r="DJ18" i="19"/>
  <c r="DC18" i="19"/>
  <c r="CW18" i="19"/>
  <c r="GI17" i="19"/>
  <c r="GC17" i="19"/>
  <c r="FW17" i="19"/>
  <c r="FQ17" i="19"/>
  <c r="FA17" i="19"/>
  <c r="EU17" i="19"/>
  <c r="EO17" i="19"/>
  <c r="EI17" i="19"/>
  <c r="DS17" i="19"/>
  <c r="DM17" i="19"/>
  <c r="DG17" i="19"/>
  <c r="DA17" i="19"/>
  <c r="GE16" i="19"/>
  <c r="FY16" i="19"/>
  <c r="FS16" i="19"/>
  <c r="FM16" i="19"/>
  <c r="EW16" i="19"/>
  <c r="EK16" i="19"/>
  <c r="EE16" i="19"/>
  <c r="DO16" i="19"/>
  <c r="DI16" i="19"/>
  <c r="DC16" i="19"/>
  <c r="CW16" i="19"/>
  <c r="GG15" i="19"/>
  <c r="GA15" i="19"/>
  <c r="FU15" i="19"/>
  <c r="FO15" i="19"/>
  <c r="EY15" i="19"/>
  <c r="ES15" i="19"/>
  <c r="EM15" i="19"/>
  <c r="EG15" i="19"/>
  <c r="DQ15" i="19"/>
  <c r="DK15" i="19"/>
  <c r="DE15" i="19"/>
  <c r="CY15" i="19"/>
  <c r="GG14" i="19"/>
  <c r="GA14" i="19"/>
  <c r="FU14" i="19"/>
  <c r="FO14" i="19"/>
  <c r="EY14" i="19"/>
  <c r="ES14" i="19"/>
  <c r="EG14" i="19"/>
  <c r="DQ14" i="19"/>
  <c r="DK14" i="19"/>
  <c r="DE14" i="19"/>
  <c r="CY14" i="19"/>
  <c r="GH13" i="19"/>
  <c r="GB13" i="19"/>
  <c r="FV13" i="19"/>
  <c r="FP13" i="19"/>
  <c r="EZ13" i="19"/>
  <c r="ET13" i="19"/>
  <c r="EH13" i="19"/>
  <c r="DR13" i="19"/>
  <c r="DL13" i="19"/>
  <c r="DF13" i="19"/>
  <c r="CZ13" i="19"/>
  <c r="GF12" i="19"/>
  <c r="FZ12" i="19"/>
  <c r="FT12" i="19"/>
  <c r="FN12" i="19"/>
  <c r="EX12" i="19"/>
  <c r="ER12" i="19"/>
  <c r="EL12" i="19"/>
  <c r="EF12" i="19"/>
  <c r="DP12" i="19"/>
  <c r="DJ12" i="19"/>
  <c r="DD12" i="19"/>
  <c r="CX12" i="19"/>
  <c r="GF11" i="19"/>
  <c r="FZ11" i="19"/>
  <c r="FT11" i="19"/>
  <c r="FN11" i="19"/>
  <c r="EX11" i="19"/>
  <c r="ER11" i="19"/>
  <c r="CV27" i="19"/>
  <c r="EY24" i="19"/>
  <c r="DL24" i="19"/>
  <c r="FV23" i="19"/>
  <c r="EQ23" i="19"/>
  <c r="DK23" i="19"/>
  <c r="GG22" i="19"/>
  <c r="FL22" i="19"/>
  <c r="EF22" i="19"/>
  <c r="DD22" i="19"/>
  <c r="GB21" i="19"/>
  <c r="FL21" i="19"/>
  <c r="EM21" i="19"/>
  <c r="DO21" i="19"/>
  <c r="CZ21" i="19"/>
  <c r="GH20" i="19"/>
  <c r="FV20" i="19"/>
  <c r="EZ20" i="19"/>
  <c r="EN20" i="19"/>
  <c r="DR20" i="19"/>
  <c r="DF20" i="19"/>
  <c r="GI19" i="19"/>
  <c r="FW19" i="19"/>
  <c r="FA19" i="19"/>
  <c r="EO19" i="19"/>
  <c r="DS19" i="19"/>
  <c r="DG19" i="19"/>
  <c r="GH18" i="19"/>
  <c r="GA18" i="19"/>
  <c r="FT18" i="19"/>
  <c r="FL18" i="19"/>
  <c r="EU18" i="19"/>
  <c r="EN18" i="19"/>
  <c r="EG18" i="19"/>
  <c r="DP18" i="19"/>
  <c r="DH18" i="19"/>
  <c r="DB18" i="19"/>
  <c r="CV18" i="19"/>
  <c r="GH17" i="19"/>
  <c r="GB17" i="19"/>
  <c r="FV17" i="19"/>
  <c r="FP17" i="19"/>
  <c r="EZ17" i="19"/>
  <c r="ET17" i="19"/>
  <c r="EN17" i="19"/>
  <c r="EH17" i="19"/>
  <c r="DR17" i="19"/>
  <c r="DL17" i="19"/>
  <c r="DF17" i="19"/>
  <c r="CZ17" i="19"/>
  <c r="BF17" i="19"/>
  <c r="GD16" i="19"/>
  <c r="FX16" i="19"/>
  <c r="FR16" i="19"/>
  <c r="FL16" i="19"/>
  <c r="EV16" i="19"/>
  <c r="EP16" i="19"/>
  <c r="EJ16" i="19"/>
  <c r="ED16" i="19"/>
  <c r="DN16" i="19"/>
  <c r="DH16" i="19"/>
  <c r="DB16" i="19"/>
  <c r="CV16" i="19"/>
  <c r="GF15" i="19"/>
  <c r="FZ15" i="19"/>
  <c r="FT15" i="19"/>
  <c r="FN15" i="19"/>
  <c r="EX15" i="19"/>
  <c r="ER15" i="19"/>
  <c r="EF15" i="19"/>
  <c r="DP15" i="19"/>
  <c r="DJ15" i="19"/>
  <c r="DD15" i="19"/>
  <c r="CX15" i="19"/>
  <c r="GF14" i="19"/>
  <c r="FZ14" i="19"/>
  <c r="FT14" i="19"/>
  <c r="FN14" i="19"/>
  <c r="EX14" i="19"/>
  <c r="ER14" i="19"/>
  <c r="EL14" i="19"/>
  <c r="EF14" i="19"/>
  <c r="DP14" i="19"/>
  <c r="DJ14" i="19"/>
  <c r="DD14" i="19"/>
  <c r="CX14" i="19"/>
  <c r="GG13" i="19"/>
  <c r="GA13" i="19"/>
  <c r="FU13" i="19"/>
  <c r="FO13" i="19"/>
  <c r="EY13" i="19"/>
  <c r="ES13" i="19"/>
  <c r="EM13" i="19"/>
  <c r="EG13" i="19"/>
  <c r="DQ13" i="19"/>
  <c r="DK13" i="19"/>
  <c r="DE13" i="19"/>
  <c r="CY13" i="19"/>
  <c r="GE12" i="19"/>
  <c r="FY12" i="19"/>
  <c r="FS12" i="19"/>
  <c r="FM12" i="19"/>
  <c r="EW12" i="19"/>
  <c r="EQ12" i="19"/>
  <c r="EK12" i="19"/>
  <c r="EE12" i="19"/>
  <c r="FW26" i="19"/>
  <c r="EW25" i="19"/>
  <c r="EX24" i="19"/>
  <c r="DK24" i="19"/>
  <c r="FO23" i="19"/>
  <c r="EI23" i="19"/>
  <c r="DD23" i="19"/>
  <c r="GF22" i="19"/>
  <c r="EZ22" i="19"/>
  <c r="EE22" i="19"/>
  <c r="DC22" i="19"/>
  <c r="GA21" i="19"/>
  <c r="EZ21" i="19"/>
  <c r="EL21" i="19"/>
  <c r="DN21" i="19"/>
  <c r="CY21" i="19"/>
  <c r="GG20" i="19"/>
  <c r="FU20" i="19"/>
  <c r="EY20" i="19"/>
  <c r="EM20" i="19"/>
  <c r="DQ20" i="19"/>
  <c r="DE20" i="19"/>
  <c r="BF20" i="19"/>
  <c r="GH19" i="19"/>
  <c r="FV19" i="19"/>
  <c r="EZ19" i="19"/>
  <c r="EN19" i="19"/>
  <c r="DR19" i="19"/>
  <c r="DF19" i="19"/>
  <c r="GG18" i="19"/>
  <c r="FZ18" i="19"/>
  <c r="FR18" i="19"/>
  <c r="FA18" i="19"/>
  <c r="ET18" i="19"/>
  <c r="EM18" i="19"/>
  <c r="EF18" i="19"/>
  <c r="DN18" i="19"/>
  <c r="DG18" i="19"/>
  <c r="DA18" i="19"/>
  <c r="GG17" i="19"/>
  <c r="GA17" i="19"/>
  <c r="FU17" i="19"/>
  <c r="FO17" i="19"/>
  <c r="EY17" i="19"/>
  <c r="ES17" i="19"/>
  <c r="EM17" i="19"/>
  <c r="EG17" i="19"/>
  <c r="DQ17" i="19"/>
  <c r="DK17" i="19"/>
  <c r="DE17" i="19"/>
  <c r="CY17" i="19"/>
  <c r="GI16" i="19"/>
  <c r="GC16" i="19"/>
  <c r="FW16" i="19"/>
  <c r="FQ16" i="19"/>
  <c r="FA16" i="19"/>
  <c r="EU16" i="19"/>
  <c r="EO16" i="19"/>
  <c r="EI16" i="19"/>
  <c r="DS16" i="19"/>
  <c r="DM16" i="19"/>
  <c r="DG16" i="19"/>
  <c r="DA16" i="19"/>
  <c r="GE15" i="19"/>
  <c r="FY15" i="19"/>
  <c r="FS15" i="19"/>
  <c r="FM15" i="19"/>
  <c r="EW15" i="19"/>
  <c r="EQ15" i="19"/>
  <c r="EK15" i="19"/>
  <c r="EE15" i="19"/>
  <c r="DO15" i="19"/>
  <c r="DI15" i="19"/>
  <c r="DC15" i="19"/>
  <c r="CW15" i="19"/>
  <c r="GE14" i="19"/>
  <c r="FY14" i="19"/>
  <c r="FS14" i="19"/>
  <c r="FM14" i="19"/>
  <c r="EW14" i="19"/>
  <c r="EQ14" i="19"/>
  <c r="EK14" i="19"/>
  <c r="EE14" i="19"/>
  <c r="DO14" i="19"/>
  <c r="DI14" i="19"/>
  <c r="DC14" i="19"/>
  <c r="CW14" i="19"/>
  <c r="GF13" i="19"/>
  <c r="FZ13" i="19"/>
  <c r="FT13" i="19"/>
  <c r="FN13" i="19"/>
  <c r="EX13" i="19"/>
  <c r="ER13" i="19"/>
  <c r="EL13" i="19"/>
  <c r="EF13" i="19"/>
  <c r="DP13" i="19"/>
  <c r="DJ13" i="19"/>
  <c r="DD13" i="19"/>
  <c r="CX13" i="19"/>
  <c r="GD12" i="19"/>
  <c r="FX12" i="19"/>
  <c r="FR12" i="19"/>
  <c r="FL12" i="19"/>
  <c r="EV12" i="19"/>
  <c r="FM26" i="19"/>
  <c r="DO25" i="19"/>
  <c r="GH24" i="19"/>
  <c r="ET24" i="19"/>
  <c r="DG24" i="19"/>
  <c r="FN23" i="19"/>
  <c r="EH23" i="19"/>
  <c r="DC23" i="19"/>
  <c r="FY22" i="19"/>
  <c r="ES22" i="19"/>
  <c r="DO22" i="19"/>
  <c r="CW22" i="19"/>
  <c r="FU21" i="19"/>
  <c r="EG21" i="19"/>
  <c r="DI21" i="19"/>
  <c r="GF20" i="19"/>
  <c r="FT20" i="19"/>
  <c r="EX20" i="19"/>
  <c r="EL20" i="19"/>
  <c r="DP20" i="19"/>
  <c r="DD20" i="19"/>
  <c r="GG19" i="19"/>
  <c r="FU19" i="19"/>
  <c r="EY19" i="19"/>
  <c r="EM19" i="19"/>
  <c r="DQ19" i="19"/>
  <c r="DE19" i="19"/>
  <c r="GF18" i="19"/>
  <c r="FX18" i="19"/>
  <c r="FQ18" i="19"/>
  <c r="EZ18" i="19"/>
  <c r="ES18" i="19"/>
  <c r="EL18" i="19"/>
  <c r="ED18" i="19"/>
  <c r="DM18" i="19"/>
  <c r="DF18" i="19"/>
  <c r="CZ18" i="19"/>
  <c r="GF17" i="19"/>
  <c r="FZ17" i="19"/>
  <c r="FT17" i="19"/>
  <c r="FN17" i="19"/>
  <c r="EX17" i="19"/>
  <c r="ER17" i="19"/>
  <c r="EL17" i="19"/>
  <c r="EF17" i="19"/>
  <c r="DP17" i="19"/>
  <c r="DJ17" i="19"/>
  <c r="DD17" i="19"/>
  <c r="CX17" i="19"/>
  <c r="GH16" i="19"/>
  <c r="GB16" i="19"/>
  <c r="FV16" i="19"/>
  <c r="FP16" i="19"/>
  <c r="EZ16" i="19"/>
  <c r="ET16" i="19"/>
  <c r="EN16" i="19"/>
  <c r="EH16" i="19"/>
  <c r="DR16" i="19"/>
  <c r="DL16" i="19"/>
  <c r="DF16" i="19"/>
  <c r="CZ16" i="19"/>
  <c r="BF16" i="19"/>
  <c r="GD15" i="19"/>
  <c r="FX15" i="19"/>
  <c r="FR15" i="19"/>
  <c r="FL15" i="19"/>
  <c r="EV15" i="19"/>
  <c r="EP15" i="19"/>
  <c r="EJ15" i="19"/>
  <c r="ED15" i="19"/>
  <c r="DN15" i="19"/>
  <c r="DH15" i="19"/>
  <c r="DB15" i="19"/>
  <c r="CV15" i="19"/>
  <c r="GD14" i="19"/>
  <c r="FX14" i="19"/>
  <c r="FR14" i="19"/>
  <c r="FL14" i="19"/>
  <c r="EV14" i="19"/>
  <c r="EP14" i="19"/>
  <c r="EJ14" i="19"/>
  <c r="ED14" i="19"/>
  <c r="DN14" i="19"/>
  <c r="DH14" i="19"/>
  <c r="DB14" i="19"/>
  <c r="CV14" i="19"/>
  <c r="GE13" i="19"/>
  <c r="FY13" i="19"/>
  <c r="FS13" i="19"/>
  <c r="FM13" i="19"/>
  <c r="EW13" i="19"/>
  <c r="EQ13" i="19"/>
  <c r="EK13" i="19"/>
  <c r="EE13" i="19"/>
  <c r="DO13" i="19"/>
  <c r="DI13" i="19"/>
  <c r="DC13" i="19"/>
  <c r="CW13" i="19"/>
  <c r="GI12" i="19"/>
  <c r="GC12" i="19"/>
  <c r="FW12" i="19"/>
  <c r="FQ12" i="19"/>
  <c r="FA12" i="19"/>
  <c r="EU12" i="19"/>
  <c r="EI12" i="19"/>
  <c r="DS12" i="19"/>
  <c r="DM12" i="19"/>
  <c r="DG12" i="19"/>
  <c r="DA12" i="19"/>
  <c r="GI11" i="19"/>
  <c r="GC11" i="19"/>
  <c r="FW11" i="19"/>
  <c r="FQ11" i="19"/>
  <c r="FA11" i="19"/>
  <c r="DI26" i="19"/>
  <c r="EI24" i="19"/>
  <c r="DP23" i="19"/>
  <c r="DK22" i="19"/>
  <c r="EF21" i="19"/>
  <c r="ES20" i="19"/>
  <c r="CY20" i="19"/>
  <c r="GC19" i="19"/>
  <c r="EI19" i="19"/>
  <c r="BF19" i="19"/>
  <c r="GD18" i="19"/>
  <c r="EY18" i="19"/>
  <c r="DS18" i="19"/>
  <c r="CY18" i="19"/>
  <c r="GE17" i="19"/>
  <c r="FM17" i="19"/>
  <c r="EK17" i="19"/>
  <c r="DI17" i="19"/>
  <c r="FT16" i="19"/>
  <c r="ER16" i="19"/>
  <c r="DP16" i="19"/>
  <c r="CX16" i="19"/>
  <c r="GH15" i="19"/>
  <c r="FP15" i="19"/>
  <c r="EN15" i="19"/>
  <c r="DL15" i="19"/>
  <c r="GC14" i="19"/>
  <c r="FA14" i="19"/>
  <c r="EI14" i="19"/>
  <c r="DG14" i="19"/>
  <c r="FX13" i="19"/>
  <c r="EV13" i="19"/>
  <c r="ED13" i="19"/>
  <c r="DB13" i="19"/>
  <c r="GA12" i="19"/>
  <c r="EY12" i="19"/>
  <c r="EJ12" i="19"/>
  <c r="DO12" i="19"/>
  <c r="DF12" i="19"/>
  <c r="CW12" i="19"/>
  <c r="GA11" i="19"/>
  <c r="FR11" i="19"/>
  <c r="EY11" i="19"/>
  <c r="EQ11" i="19"/>
  <c r="EK11" i="19"/>
  <c r="EE11" i="19"/>
  <c r="DO11" i="19"/>
  <c r="DI11" i="19"/>
  <c r="DC11" i="19"/>
  <c r="CW11" i="19"/>
  <c r="GG10" i="19"/>
  <c r="GA10" i="19"/>
  <c r="FU10" i="19"/>
  <c r="FO10" i="19"/>
  <c r="EY10" i="19"/>
  <c r="ES10" i="19"/>
  <c r="EM10" i="19"/>
  <c r="EG10" i="19"/>
  <c r="DQ10" i="19"/>
  <c r="DK10" i="19"/>
  <c r="DE10" i="19"/>
  <c r="CY10" i="19"/>
  <c r="GI9" i="19"/>
  <c r="GC9" i="19"/>
  <c r="FW9" i="19"/>
  <c r="FQ9" i="19"/>
  <c r="FA9" i="19"/>
  <c r="EU9" i="19"/>
  <c r="EO9" i="19"/>
  <c r="EI9" i="19"/>
  <c r="DS9" i="19"/>
  <c r="DM9" i="19"/>
  <c r="DG9" i="19"/>
  <c r="DA9" i="19"/>
  <c r="GD8" i="19"/>
  <c r="FX8" i="19"/>
  <c r="FR8" i="19"/>
  <c r="FL8" i="19"/>
  <c r="EV8" i="19"/>
  <c r="EP8" i="19"/>
  <c r="ED8" i="19"/>
  <c r="DN8" i="19"/>
  <c r="DH8" i="19"/>
  <c r="DB8" i="19"/>
  <c r="CV8" i="19"/>
  <c r="GD7" i="19"/>
  <c r="FX7" i="19"/>
  <c r="FR7" i="19"/>
  <c r="FL7" i="19"/>
  <c r="EV7" i="19"/>
  <c r="EP7" i="19"/>
  <c r="EJ7" i="19"/>
  <c r="ED7" i="19"/>
  <c r="DN7" i="19"/>
  <c r="DH7" i="19"/>
  <c r="DB7" i="19"/>
  <c r="CV7" i="19"/>
  <c r="GF6" i="19"/>
  <c r="FZ6" i="19"/>
  <c r="FT6" i="19"/>
  <c r="FN6" i="19"/>
  <c r="EX6" i="19"/>
  <c r="ER6" i="19"/>
  <c r="EL6" i="19"/>
  <c r="EF6" i="19"/>
  <c r="DL25" i="19"/>
  <c r="CX24" i="19"/>
  <c r="GI23" i="19"/>
  <c r="DA23" i="19"/>
  <c r="FX22" i="19"/>
  <c r="CV22" i="19"/>
  <c r="EE21" i="19"/>
  <c r="GB20" i="19"/>
  <c r="EH20" i="19"/>
  <c r="GB19" i="19"/>
  <c r="EH19" i="19"/>
  <c r="GC18" i="19"/>
  <c r="EX18" i="19"/>
  <c r="DR18" i="19"/>
  <c r="CX18" i="19"/>
  <c r="GD17" i="19"/>
  <c r="FL17" i="19"/>
  <c r="EJ17" i="19"/>
  <c r="DH17" i="19"/>
  <c r="GG16" i="19"/>
  <c r="FO16" i="19"/>
  <c r="EM16" i="19"/>
  <c r="DK16" i="19"/>
  <c r="GC15" i="19"/>
  <c r="FA15" i="19"/>
  <c r="EI15" i="19"/>
  <c r="DG15" i="19"/>
  <c r="GB14" i="19"/>
  <c r="EZ14" i="19"/>
  <c r="EH14" i="19"/>
  <c r="DF14" i="19"/>
  <c r="BF14" i="19"/>
  <c r="FW13" i="19"/>
  <c r="EU13" i="19"/>
  <c r="DS13" i="19"/>
  <c r="DA13" i="19"/>
  <c r="FV12" i="19"/>
  <c r="ET12" i="19"/>
  <c r="EH12" i="19"/>
  <c r="DN12" i="19"/>
  <c r="DE12" i="19"/>
  <c r="CV12" i="19"/>
  <c r="BF12" i="19"/>
  <c r="GH11" i="19"/>
  <c r="FY11" i="19"/>
  <c r="FP11" i="19"/>
  <c r="EW11" i="19"/>
  <c r="EP11" i="19"/>
  <c r="ED11" i="19"/>
  <c r="DN11" i="19"/>
  <c r="DH11" i="19"/>
  <c r="DB11" i="19"/>
  <c r="CV11" i="19"/>
  <c r="GF10" i="19"/>
  <c r="FZ10" i="19"/>
  <c r="FT10" i="19"/>
  <c r="FN10" i="19"/>
  <c r="EX10" i="19"/>
  <c r="ER10" i="19"/>
  <c r="EL10" i="19"/>
  <c r="EF10" i="19"/>
  <c r="DP10" i="19"/>
  <c r="DJ10" i="19"/>
  <c r="DD10" i="19"/>
  <c r="CX10" i="19"/>
  <c r="GH9" i="19"/>
  <c r="GB9" i="19"/>
  <c r="FV9" i="19"/>
  <c r="FP9" i="19"/>
  <c r="EZ9" i="19"/>
  <c r="ET9" i="19"/>
  <c r="EN9" i="19"/>
  <c r="EH9" i="19"/>
  <c r="DR9" i="19"/>
  <c r="DL9" i="19"/>
  <c r="DF9" i="19"/>
  <c r="CZ9" i="19"/>
  <c r="GI8" i="19"/>
  <c r="GC8" i="19"/>
  <c r="FW8" i="19"/>
  <c r="FQ8" i="19"/>
  <c r="FA8" i="19"/>
  <c r="EU8" i="19"/>
  <c r="EO8" i="19"/>
  <c r="EI8" i="19"/>
  <c r="DS8" i="19"/>
  <c r="DM8" i="19"/>
  <c r="DG8" i="19"/>
  <c r="DA8" i="19"/>
  <c r="GI7" i="19"/>
  <c r="GC7" i="19"/>
  <c r="FW7" i="19"/>
  <c r="FQ7" i="19"/>
  <c r="FA7" i="19"/>
  <c r="EU7" i="19"/>
  <c r="EO7" i="19"/>
  <c r="EI7" i="19"/>
  <c r="DS7" i="19"/>
  <c r="FW24" i="19"/>
  <c r="FM23" i="19"/>
  <c r="ER22" i="19"/>
  <c r="FS21" i="19"/>
  <c r="DF21" i="19"/>
  <c r="BF21" i="19"/>
  <c r="FP20" i="19"/>
  <c r="DL20" i="19"/>
  <c r="FP19" i="19"/>
  <c r="DL19" i="19"/>
  <c r="FV18" i="19"/>
  <c r="EP18" i="19"/>
  <c r="DK18" i="19"/>
  <c r="FX17" i="19"/>
  <c r="EV17" i="19"/>
  <c r="ED17" i="19"/>
  <c r="DB17" i="19"/>
  <c r="GA16" i="19"/>
  <c r="EY16" i="19"/>
  <c r="EG16" i="19"/>
  <c r="DE16" i="19"/>
  <c r="FW15" i="19"/>
  <c r="EU15" i="19"/>
  <c r="DS15" i="19"/>
  <c r="DA15" i="19"/>
  <c r="FV14" i="19"/>
  <c r="ET14" i="19"/>
  <c r="DR14" i="19"/>
  <c r="CZ14" i="19"/>
  <c r="GI13" i="19"/>
  <c r="FQ13" i="19"/>
  <c r="EO13" i="19"/>
  <c r="DM13" i="19"/>
  <c r="GH12" i="19"/>
  <c r="FP12" i="19"/>
  <c r="EP12" i="19"/>
  <c r="ED12" i="19"/>
  <c r="DK12" i="19"/>
  <c r="DB12" i="19"/>
  <c r="GE11" i="19"/>
  <c r="FV11" i="19"/>
  <c r="FM11" i="19"/>
  <c r="EU11" i="19"/>
  <c r="EN11" i="19"/>
  <c r="EH11" i="19"/>
  <c r="DR11" i="19"/>
  <c r="DL11" i="19"/>
  <c r="DF11" i="19"/>
  <c r="CZ11" i="19"/>
  <c r="BF11" i="19"/>
  <c r="GD10" i="19"/>
  <c r="FX10" i="19"/>
  <c r="FR10" i="19"/>
  <c r="FL10" i="19"/>
  <c r="EV10" i="19"/>
  <c r="EP10" i="19"/>
  <c r="EJ10" i="19"/>
  <c r="ED10" i="19"/>
  <c r="DN10" i="19"/>
  <c r="DH10" i="19"/>
  <c r="DB10" i="19"/>
  <c r="CV10" i="19"/>
  <c r="GF9" i="19"/>
  <c r="FZ9" i="19"/>
  <c r="FT9" i="19"/>
  <c r="FN9" i="19"/>
  <c r="EX9" i="19"/>
  <c r="ER9" i="19"/>
  <c r="EL9" i="19"/>
  <c r="EF9" i="19"/>
  <c r="DP9" i="19"/>
  <c r="DJ9" i="19"/>
  <c r="DD9" i="19"/>
  <c r="CX9" i="19"/>
  <c r="GG8" i="19"/>
  <c r="GA8" i="19"/>
  <c r="FU8" i="19"/>
  <c r="FO8" i="19"/>
  <c r="EY8" i="19"/>
  <c r="ES8" i="19"/>
  <c r="EM8" i="19"/>
  <c r="EG8" i="19"/>
  <c r="DQ8" i="19"/>
  <c r="DK8" i="19"/>
  <c r="DE8" i="19"/>
  <c r="CY8" i="19"/>
  <c r="GG7" i="19"/>
  <c r="GA7" i="19"/>
  <c r="FU7" i="19"/>
  <c r="FO7" i="19"/>
  <c r="EY7" i="19"/>
  <c r="ES7" i="19"/>
  <c r="EM7" i="19"/>
  <c r="EG7" i="19"/>
  <c r="DQ7" i="19"/>
  <c r="DK7" i="19"/>
  <c r="DE7" i="19"/>
  <c r="CY7" i="19"/>
  <c r="BF7" i="19"/>
  <c r="GI6" i="19"/>
  <c r="GC6" i="19"/>
  <c r="FW6" i="19"/>
  <c r="FQ6" i="19"/>
  <c r="FA6" i="19"/>
  <c r="EU6" i="19"/>
  <c r="EO6" i="19"/>
  <c r="EI6" i="19"/>
  <c r="DS6" i="19"/>
  <c r="DM6" i="19"/>
  <c r="DG6" i="19"/>
  <c r="DA6" i="19"/>
  <c r="GD27" i="19"/>
  <c r="BF25" i="19"/>
  <c r="FV24" i="19"/>
  <c r="EN22" i="19"/>
  <c r="FO20" i="19"/>
  <c r="DK20" i="19"/>
  <c r="EU19" i="19"/>
  <c r="DA19" i="19"/>
  <c r="FP18" i="19"/>
  <c r="EJ18" i="19"/>
  <c r="DE18" i="19"/>
  <c r="FS17" i="19"/>
  <c r="EQ17" i="19"/>
  <c r="DO17" i="19"/>
  <c r="CW17" i="19"/>
  <c r="FZ16" i="19"/>
  <c r="EX16" i="19"/>
  <c r="EF16" i="19"/>
  <c r="DD16" i="19"/>
  <c r="FV15" i="19"/>
  <c r="ET15" i="19"/>
  <c r="DR15" i="19"/>
  <c r="CZ15" i="19"/>
  <c r="GI14" i="19"/>
  <c r="FQ14" i="19"/>
  <c r="EO14" i="19"/>
  <c r="DM14" i="19"/>
  <c r="GD13" i="19"/>
  <c r="FL13" i="19"/>
  <c r="EJ13" i="19"/>
  <c r="DH13" i="19"/>
  <c r="GG12" i="19"/>
  <c r="FO12" i="19"/>
  <c r="EN12" i="19"/>
  <c r="DR12" i="19"/>
  <c r="DI12" i="19"/>
  <c r="CZ12" i="19"/>
  <c r="GD11" i="19"/>
  <c r="FU11" i="19"/>
  <c r="FL11" i="19"/>
  <c r="ET11" i="19"/>
  <c r="EM11" i="19"/>
  <c r="EG11" i="19"/>
  <c r="DQ11" i="19"/>
  <c r="DK11" i="19"/>
  <c r="DE11" i="19"/>
  <c r="CY11" i="19"/>
  <c r="GI10" i="19"/>
  <c r="GC10" i="19"/>
  <c r="FW10" i="19"/>
  <c r="FQ10" i="19"/>
  <c r="FA10" i="19"/>
  <c r="EU10" i="19"/>
  <c r="EO10" i="19"/>
  <c r="EI10" i="19"/>
  <c r="DS10" i="19"/>
  <c r="DM10" i="19"/>
  <c r="DG10" i="19"/>
  <c r="DA10" i="19"/>
  <c r="GE9" i="19"/>
  <c r="FY9" i="19"/>
  <c r="FS9" i="19"/>
  <c r="FM9" i="19"/>
  <c r="EW9" i="19"/>
  <c r="EQ9" i="19"/>
  <c r="EK9" i="19"/>
  <c r="EE9" i="19"/>
  <c r="DO9" i="19"/>
  <c r="DI9" i="19"/>
  <c r="DC9" i="19"/>
  <c r="CW9" i="19"/>
  <c r="GF8" i="19"/>
  <c r="FZ8" i="19"/>
  <c r="FT8" i="19"/>
  <c r="FN8" i="19"/>
  <c r="EX8" i="19"/>
  <c r="ER8" i="19"/>
  <c r="EL8" i="19"/>
  <c r="EF8" i="19"/>
  <c r="DP8" i="19"/>
  <c r="DJ8" i="19"/>
  <c r="DD8" i="19"/>
  <c r="CX8" i="19"/>
  <c r="GF7" i="19"/>
  <c r="FZ7" i="19"/>
  <c r="FT7" i="19"/>
  <c r="FN7" i="19"/>
  <c r="EX7" i="19"/>
  <c r="ER7" i="19"/>
  <c r="EL7" i="19"/>
  <c r="EF7" i="19"/>
  <c r="DP7" i="19"/>
  <c r="DJ7" i="19"/>
  <c r="DD7" i="19"/>
  <c r="CX7" i="19"/>
  <c r="GH6" i="19"/>
  <c r="GB6" i="19"/>
  <c r="FV6" i="19"/>
  <c r="FP6" i="19"/>
  <c r="EZ6" i="19"/>
  <c r="ET6" i="19"/>
  <c r="EN6" i="19"/>
  <c r="EH6" i="19"/>
  <c r="DR6" i="19"/>
  <c r="DL6" i="19"/>
  <c r="DF6" i="19"/>
  <c r="CZ6" i="19"/>
  <c r="GI5" i="19"/>
  <c r="GC5" i="19"/>
  <c r="FW5" i="19"/>
  <c r="BK4" i="19"/>
  <c r="BV4" i="19" s="1"/>
  <c r="CX4" i="19"/>
  <c r="DD4" i="19"/>
  <c r="DJ4" i="19"/>
  <c r="DP4" i="19"/>
  <c r="EF4" i="19"/>
  <c r="EL4" i="19"/>
  <c r="ER4" i="19"/>
  <c r="EX4" i="19"/>
  <c r="FN4" i="19"/>
  <c r="FT4" i="19"/>
  <c r="FZ4" i="19"/>
  <c r="GF4" i="19"/>
  <c r="CV5" i="19"/>
  <c r="DB5" i="19"/>
  <c r="DH5" i="19"/>
  <c r="DN5" i="19"/>
  <c r="ED5" i="19"/>
  <c r="EJ5" i="19"/>
  <c r="EP5" i="19"/>
  <c r="EV5" i="19"/>
  <c r="FL5" i="19"/>
  <c r="FR5" i="19"/>
  <c r="FY5" i="19"/>
  <c r="GF5" i="19"/>
  <c r="CV6" i="19"/>
  <c r="DD6" i="19"/>
  <c r="DN6" i="19"/>
  <c r="EG6" i="19"/>
  <c r="ES6" i="19"/>
  <c r="FO6" i="19"/>
  <c r="GA6" i="19"/>
  <c r="AE7" i="19"/>
  <c r="EJ11" i="19" s="1"/>
  <c r="CW7" i="19"/>
  <c r="DI7" i="19"/>
  <c r="EH7" i="19"/>
  <c r="EZ7" i="19"/>
  <c r="GB7" i="19"/>
  <c r="DF8" i="19"/>
  <c r="EH8" i="19"/>
  <c r="EZ8" i="19"/>
  <c r="GB8" i="19"/>
  <c r="BF9" i="19"/>
  <c r="CV9" i="19"/>
  <c r="DN9" i="19"/>
  <c r="EP9" i="19"/>
  <c r="FR9" i="19"/>
  <c r="AE10" i="19"/>
  <c r="EP17" i="19" s="1"/>
  <c r="AD10" i="19"/>
  <c r="EQ16" i="19" s="1"/>
  <c r="DI10" i="19"/>
  <c r="EK10" i="19"/>
  <c r="FM10" i="19"/>
  <c r="GE10" i="19"/>
  <c r="DD11" i="19"/>
  <c r="EF11" i="19"/>
  <c r="EZ11" i="19"/>
  <c r="BI12" i="19"/>
  <c r="CY12" i="19"/>
  <c r="EM12" i="19"/>
  <c r="DN13" i="19"/>
  <c r="DS14" i="19"/>
  <c r="EO15" i="19"/>
  <c r="EL16" i="19"/>
  <c r="DC17" i="19"/>
  <c r="FY17" i="19"/>
  <c r="FO18" i="19"/>
  <c r="FQ19" i="19"/>
  <c r="GA20" i="19"/>
  <c r="ES21" i="19"/>
  <c r="AE11" i="19"/>
  <c r="ER19" i="19" s="1"/>
  <c r="Z11" i="19"/>
  <c r="AA11" i="19" s="1"/>
  <c r="AA14" i="19"/>
  <c r="AL11" i="19"/>
  <c r="Z19" i="19"/>
  <c r="AA19" i="19" s="1"/>
  <c r="AE19" i="19"/>
  <c r="EH10" i="19" s="1"/>
  <c r="AD19" i="19"/>
  <c r="EJ8" i="19" s="1"/>
  <c r="AE12" i="19"/>
  <c r="ET21" i="19" s="1"/>
  <c r="AE13" i="19"/>
  <c r="EV23" i="19" s="1"/>
  <c r="Z15" i="19"/>
  <c r="AA15" i="19" s="1"/>
  <c r="Z16" i="19"/>
  <c r="AA16" i="19" s="1"/>
  <c r="Z13" i="19"/>
  <c r="AA13" i="19" s="1"/>
  <c r="AL21" i="19"/>
  <c r="AM21" i="19"/>
  <c r="AM14" i="19"/>
  <c r="AL15" i="19"/>
  <c r="AL16" i="19"/>
  <c r="Z20" i="19"/>
  <c r="AA20" i="19" s="1"/>
  <c r="Z21" i="19"/>
  <c r="AA21" i="19" s="1"/>
  <c r="Z22" i="19"/>
  <c r="AA22" i="19" s="1"/>
  <c r="AL22" i="19"/>
  <c r="Z24" i="19"/>
  <c r="AA24" i="19" s="1"/>
  <c r="AD36" i="19"/>
  <c r="EV21" i="19" s="1"/>
  <c r="AM36" i="19"/>
  <c r="Z39" i="19"/>
  <c r="AA39" i="19" s="1"/>
  <c r="AE39" i="19"/>
  <c r="FA24" i="19" s="1"/>
  <c r="AD39" i="19"/>
  <c r="EX27" i="19" s="1"/>
  <c r="AM39" i="19"/>
  <c r="AL39" i="19"/>
  <c r="AA43" i="19"/>
  <c r="Z43" i="19"/>
  <c r="T43" i="19"/>
  <c r="AM24" i="19"/>
  <c r="AE24" i="19"/>
  <c r="EU23" i="19" s="1"/>
  <c r="AL45" i="19"/>
  <c r="Z23" i="19"/>
  <c r="AA23" i="19" s="1"/>
  <c r="AL23" i="19"/>
  <c r="Z25" i="19"/>
  <c r="AA25" i="19" s="1"/>
  <c r="AE25" i="19"/>
  <c r="ET22" i="19" s="1"/>
  <c r="AM25" i="19"/>
  <c r="AA26" i="19"/>
  <c r="AD27" i="19"/>
  <c r="FA25" i="19" s="1"/>
  <c r="AM27" i="19"/>
  <c r="AE27" i="19"/>
  <c r="EY27" i="19" s="1"/>
  <c r="AL28" i="19"/>
  <c r="Z35" i="19"/>
  <c r="AA35" i="19" s="1"/>
  <c r="AE35" i="19"/>
  <c r="ES16" i="19" s="1"/>
  <c r="AD35" i="19"/>
  <c r="EP19" i="19" s="1"/>
  <c r="AM35" i="19"/>
  <c r="AL35" i="19"/>
  <c r="Y49" i="19"/>
  <c r="S49" i="19"/>
  <c r="X49" i="19"/>
  <c r="AD26" i="19"/>
  <c r="EZ24" i="19" s="1"/>
  <c r="AM26" i="19"/>
  <c r="AL40" i="19"/>
  <c r="AM29" i="19"/>
  <c r="Z29" i="19"/>
  <c r="AA29" i="19" s="1"/>
  <c r="AE29" i="19"/>
  <c r="EE6" i="19" s="1"/>
  <c r="AL42" i="19"/>
  <c r="AA53" i="19"/>
  <c r="Z53" i="19"/>
  <c r="T53" i="19"/>
  <c r="Y43" i="19"/>
  <c r="S43" i="19"/>
  <c r="AL48" i="19"/>
  <c r="AL49" i="19"/>
  <c r="Y53" i="19"/>
  <c r="S53" i="19"/>
  <c r="Z32" i="19"/>
  <c r="AA32" i="19" s="1"/>
  <c r="AE32" i="19"/>
  <c r="EO12" i="19" s="1"/>
  <c r="AD32" i="19"/>
  <c r="EL15" i="19" s="1"/>
  <c r="AM32" i="19"/>
  <c r="Y44" i="19"/>
  <c r="S44" i="19"/>
  <c r="X44" i="19"/>
  <c r="AA44" i="19"/>
  <c r="Z44" i="19"/>
  <c r="T44" i="19"/>
  <c r="AM48" i="19"/>
  <c r="Y51" i="19"/>
  <c r="S51" i="19"/>
  <c r="Z33" i="19"/>
  <c r="AA33" i="19" s="1"/>
  <c r="AE33" i="19"/>
  <c r="EM14" i="19" s="1"/>
  <c r="AD33" i="19"/>
  <c r="EN13" i="19" s="1"/>
  <c r="AM33" i="19"/>
  <c r="AL36" i="19"/>
  <c r="Z37" i="19"/>
  <c r="AA37" i="19" s="1"/>
  <c r="AE37" i="19"/>
  <c r="EW20" i="19" s="1"/>
  <c r="AD37" i="19"/>
  <c r="ET23" i="19" s="1"/>
  <c r="AM37" i="19"/>
  <c r="AL41" i="19"/>
  <c r="AL43" i="19"/>
  <c r="AM47" i="19"/>
  <c r="AA49" i="19"/>
  <c r="Z49" i="19"/>
  <c r="T49" i="19"/>
  <c r="X51" i="19"/>
  <c r="AL53" i="19"/>
  <c r="AL30" i="19"/>
  <c r="AL31" i="19"/>
  <c r="AE36" i="19"/>
  <c r="EU22" i="19" s="1"/>
  <c r="T41" i="19"/>
  <c r="Z41" i="19"/>
  <c r="AL46" i="19"/>
  <c r="T48" i="19"/>
  <c r="Z48" i="19"/>
  <c r="AL50" i="19"/>
  <c r="AL52" i="19"/>
  <c r="AL54" i="19"/>
  <c r="AM30" i="19"/>
  <c r="AM31" i="19"/>
  <c r="AL34" i="19"/>
  <c r="Z36" i="19"/>
  <c r="AA36" i="19" s="1"/>
  <c r="AL38" i="19"/>
  <c r="X40" i="19"/>
  <c r="X42" i="19"/>
  <c r="X45" i="19"/>
  <c r="AL47" i="19"/>
  <c r="AD31" i="19"/>
  <c r="EJ9" i="19" s="1"/>
  <c r="AM34" i="19"/>
  <c r="S40" i="19"/>
  <c r="S42" i="19"/>
  <c r="S45" i="19"/>
  <c r="X54" i="19"/>
  <c r="S54" i="19"/>
  <c r="AD33" i="16"/>
  <c r="N41" i="16"/>
  <c r="N44" i="16"/>
  <c r="N47" i="16"/>
  <c r="N50" i="16"/>
  <c r="U4" i="16"/>
  <c r="N4" i="16"/>
  <c r="P39" i="16"/>
  <c r="AC39" i="6"/>
  <c r="W16" i="16"/>
  <c r="W17" i="16"/>
  <c r="W19" i="16"/>
  <c r="AF19" i="16" s="1"/>
  <c r="W20" i="16"/>
  <c r="W21" i="16"/>
  <c r="W27" i="16"/>
  <c r="W13" i="16"/>
  <c r="W34" i="16"/>
  <c r="AF34" i="16" s="1"/>
  <c r="W22" i="16"/>
  <c r="AG22" i="16" s="1"/>
  <c r="AG25" i="16"/>
  <c r="AF25" i="16"/>
  <c r="AF13" i="16"/>
  <c r="AG13" i="16"/>
  <c r="W6" i="16"/>
  <c r="W38" i="16"/>
  <c r="AG38" i="16" s="1"/>
  <c r="W14" i="16"/>
  <c r="AG14" i="16" s="1"/>
  <c r="W37" i="16"/>
  <c r="AG37" i="16" s="1"/>
  <c r="G4" i="16"/>
  <c r="AN4" i="16" s="1"/>
  <c r="G5" i="16"/>
  <c r="AN5" i="16" s="1"/>
  <c r="W30" i="16"/>
  <c r="G6" i="16"/>
  <c r="AN6" i="16" s="1"/>
  <c r="W8" i="16"/>
  <c r="AG8" i="16" s="1"/>
  <c r="W18" i="16"/>
  <c r="W26" i="16"/>
  <c r="AG26" i="16" s="1"/>
  <c r="AL39" i="16"/>
  <c r="AG7" i="16"/>
  <c r="W10" i="16"/>
  <c r="AG10" i="16" s="1"/>
  <c r="W23" i="16"/>
  <c r="AF23" i="16" s="1"/>
  <c r="AF28" i="16"/>
  <c r="AG20" i="16"/>
  <c r="AF20" i="16"/>
  <c r="AG30" i="16"/>
  <c r="AF30" i="16"/>
  <c r="W4" i="16"/>
  <c r="AG16" i="16"/>
  <c r="AF16" i="16"/>
  <c r="AG28" i="16"/>
  <c r="AF33" i="16"/>
  <c r="AG34" i="16"/>
  <c r="AG21" i="16"/>
  <c r="AF21" i="16"/>
  <c r="AG24" i="16"/>
  <c r="AF24" i="16"/>
  <c r="AL29" i="16"/>
  <c r="W29" i="16"/>
  <c r="AG5" i="16"/>
  <c r="AF5" i="16"/>
  <c r="AF11" i="16"/>
  <c r="AF14" i="16"/>
  <c r="AF17" i="16"/>
  <c r="AF9" i="16"/>
  <c r="AG12" i="16"/>
  <c r="AF12" i="16"/>
  <c r="AF15" i="16"/>
  <c r="AG18" i="16"/>
  <c r="AF18" i="16"/>
  <c r="W36" i="16"/>
  <c r="AG11" i="16"/>
  <c r="AG17" i="16"/>
  <c r="W31" i="16"/>
  <c r="AD32" i="16"/>
  <c r="W32" i="16"/>
  <c r="W35" i="16"/>
  <c r="Z22" i="16"/>
  <c r="AA22" i="16" s="1"/>
  <c r="Z28" i="16"/>
  <c r="AA28" i="16" s="1"/>
  <c r="AL35" i="16"/>
  <c r="AL4" i="16"/>
  <c r="AE17" i="16"/>
  <c r="AE27" i="16"/>
  <c r="AD37" i="16"/>
  <c r="G7" i="16"/>
  <c r="AN7" i="16" s="1"/>
  <c r="AD22" i="16"/>
  <c r="Z5" i="16"/>
  <c r="AA5" i="16" s="1"/>
  <c r="AL8" i="16"/>
  <c r="AM10" i="16"/>
  <c r="Z9" i="16"/>
  <c r="AA9" i="16" s="1"/>
  <c r="AL11" i="16"/>
  <c r="Z17" i="16"/>
  <c r="AD20" i="16"/>
  <c r="AE22" i="16"/>
  <c r="AL40" i="16"/>
  <c r="Z23" i="16"/>
  <c r="AA23" i="16" s="1"/>
  <c r="AL26" i="16"/>
  <c r="AM48" i="16"/>
  <c r="AM5" i="16"/>
  <c r="Z10" i="16"/>
  <c r="AA10" i="16" s="1"/>
  <c r="AD16" i="16"/>
  <c r="Z24" i="16"/>
  <c r="AA24" i="16" s="1"/>
  <c r="AE32" i="16"/>
  <c r="AM46" i="16"/>
  <c r="AL42" i="16"/>
  <c r="AL7" i="16"/>
  <c r="AM28" i="16"/>
  <c r="AL36" i="16"/>
  <c r="Z15" i="16"/>
  <c r="AA15" i="16" s="1"/>
  <c r="AM24" i="16"/>
  <c r="AM27" i="16"/>
  <c r="AL31" i="16"/>
  <c r="Z33" i="16"/>
  <c r="AA33" i="16" s="1"/>
  <c r="AL37" i="16"/>
  <c r="AM6" i="16"/>
  <c r="Z21" i="16"/>
  <c r="AA21" i="16" s="1"/>
  <c r="AL25" i="16"/>
  <c r="AD27" i="16"/>
  <c r="AL32" i="16"/>
  <c r="AL34" i="16"/>
  <c r="AM12" i="16"/>
  <c r="AM16" i="16"/>
  <c r="AL19" i="16"/>
  <c r="AM23" i="16"/>
  <c r="AM52" i="16"/>
  <c r="AE4" i="16"/>
  <c r="AE5" i="16"/>
  <c r="AD26" i="16"/>
  <c r="AD29" i="16"/>
  <c r="AD34" i="16"/>
  <c r="AD36" i="16"/>
  <c r="AM44" i="16"/>
  <c r="AM47" i="16"/>
  <c r="AM51" i="16"/>
  <c r="AM54" i="16"/>
  <c r="AD5" i="16"/>
  <c r="AM9" i="16"/>
  <c r="AL10" i="16"/>
  <c r="AD12" i="16"/>
  <c r="Z14" i="16"/>
  <c r="AA14" i="16" s="1"/>
  <c r="Z16" i="16"/>
  <c r="AA16" i="16" s="1"/>
  <c r="AL17" i="16"/>
  <c r="AD18" i="16"/>
  <c r="Z20" i="16"/>
  <c r="AA20" i="16" s="1"/>
  <c r="AM22" i="16"/>
  <c r="Z27" i="16"/>
  <c r="AA27" i="16" s="1"/>
  <c r="AM30" i="16"/>
  <c r="Z32" i="16"/>
  <c r="AE34" i="16"/>
  <c r="AE36" i="16"/>
  <c r="Z29" i="16"/>
  <c r="AA29" i="16" s="1"/>
  <c r="AE12" i="16"/>
  <c r="AD23" i="16"/>
  <c r="AM37" i="16"/>
  <c r="AL41" i="16"/>
  <c r="AL43" i="16"/>
  <c r="AM43" i="16"/>
  <c r="AD4" i="16"/>
  <c r="Z26" i="16"/>
  <c r="AA26" i="16" s="1"/>
  <c r="AM34" i="16"/>
  <c r="AM36" i="16"/>
  <c r="Z4" i="16"/>
  <c r="AA4" i="16" s="1"/>
  <c r="AL5" i="16"/>
  <c r="AD6" i="16"/>
  <c r="AL9" i="16"/>
  <c r="Z12" i="16"/>
  <c r="AA12" i="16" s="1"/>
  <c r="AD17" i="16"/>
  <c r="Z19" i="16"/>
  <c r="AA19" i="16" s="1"/>
  <c r="AE23" i="16"/>
  <c r="AM32" i="16"/>
  <c r="AE33" i="16"/>
  <c r="Z34" i="16"/>
  <c r="Z36" i="16"/>
  <c r="AA36" i="16" s="1"/>
  <c r="AM38" i="16"/>
  <c r="AL49" i="16"/>
  <c r="AM49" i="16"/>
  <c r="AM50" i="16"/>
  <c r="AM53" i="16"/>
  <c r="AE6" i="16"/>
  <c r="AE7" i="16"/>
  <c r="Z8" i="16"/>
  <c r="AA8" i="16" s="1"/>
  <c r="AE8" i="16"/>
  <c r="AD8" i="16"/>
  <c r="AM8" i="16"/>
  <c r="AD13" i="16"/>
  <c r="AM13" i="16"/>
  <c r="Z13" i="16"/>
  <c r="AA13" i="16" s="1"/>
  <c r="AL13" i="16"/>
  <c r="AE13" i="16"/>
  <c r="Z6" i="16"/>
  <c r="Z11" i="16"/>
  <c r="AA11" i="16" s="1"/>
  <c r="AE11" i="16"/>
  <c r="AD11" i="16"/>
  <c r="AM11" i="16"/>
  <c r="AM4" i="16"/>
  <c r="Z7" i="16"/>
  <c r="AA7" i="16" s="1"/>
  <c r="AL6" i="16"/>
  <c r="G53" i="16"/>
  <c r="AN53" i="16" s="1"/>
  <c r="G50" i="16"/>
  <c r="AN50" i="16" s="1"/>
  <c r="G48" i="16"/>
  <c r="AN48" i="16" s="1"/>
  <c r="G45" i="16"/>
  <c r="AN45" i="16" s="1"/>
  <c r="G42" i="16"/>
  <c r="AN42" i="16" s="1"/>
  <c r="G37" i="16"/>
  <c r="AN37" i="16" s="1"/>
  <c r="G52" i="16"/>
  <c r="AN52" i="16" s="1"/>
  <c r="G49" i="16"/>
  <c r="AN49" i="16" s="1"/>
  <c r="G46" i="16"/>
  <c r="AN46" i="16" s="1"/>
  <c r="G43" i="16"/>
  <c r="AN43" i="16" s="1"/>
  <c r="G36" i="16"/>
  <c r="AN36" i="16" s="1"/>
  <c r="G34" i="16"/>
  <c r="AN34" i="16" s="1"/>
  <c r="G32" i="16"/>
  <c r="AN32" i="16" s="1"/>
  <c r="G40" i="16"/>
  <c r="AN40" i="16" s="1"/>
  <c r="G33" i="16"/>
  <c r="AN33" i="16" s="1"/>
  <c r="G30" i="16"/>
  <c r="AN30" i="16" s="1"/>
  <c r="G51" i="16"/>
  <c r="AN51" i="16" s="1"/>
  <c r="G41" i="16"/>
  <c r="AN41" i="16" s="1"/>
  <c r="G38" i="16"/>
  <c r="AN38" i="16" s="1"/>
  <c r="G47" i="16"/>
  <c r="AN47" i="16" s="1"/>
  <c r="G31" i="16"/>
  <c r="AN31" i="16" s="1"/>
  <c r="G29" i="16"/>
  <c r="AN29" i="16" s="1"/>
  <c r="G54" i="16"/>
  <c r="AN54" i="16" s="1"/>
  <c r="G35" i="16"/>
  <c r="AN35" i="16" s="1"/>
  <c r="G44" i="16"/>
  <c r="AN44" i="16" s="1"/>
  <c r="G26" i="16"/>
  <c r="AN26" i="16" s="1"/>
  <c r="G28" i="16"/>
  <c r="AN28" i="16" s="1"/>
  <c r="G27" i="16"/>
  <c r="AN27" i="16" s="1"/>
  <c r="G25" i="16"/>
  <c r="AN25" i="16" s="1"/>
  <c r="G24" i="16"/>
  <c r="AN24" i="16" s="1"/>
  <c r="G23" i="16"/>
  <c r="AN23" i="16" s="1"/>
  <c r="G22" i="16"/>
  <c r="AN22" i="16" s="1"/>
  <c r="G20" i="16"/>
  <c r="AN20" i="16" s="1"/>
  <c r="G18" i="16"/>
  <c r="AN18" i="16" s="1"/>
  <c r="G21" i="16"/>
  <c r="AN21" i="16" s="1"/>
  <c r="G17" i="16"/>
  <c r="AN17" i="16" s="1"/>
  <c r="G19" i="16"/>
  <c r="AN19" i="16" s="1"/>
  <c r="G16" i="16"/>
  <c r="AN16" i="16" s="1"/>
  <c r="G15" i="16"/>
  <c r="AN15" i="16" s="1"/>
  <c r="G14" i="16"/>
  <c r="AN14" i="16" s="1"/>
  <c r="G10" i="16"/>
  <c r="AN10" i="16" s="1"/>
  <c r="G9" i="16"/>
  <c r="AN9" i="16" s="1"/>
  <c r="G13" i="16"/>
  <c r="AN13" i="16" s="1"/>
  <c r="G12" i="16"/>
  <c r="AN12" i="16" s="1"/>
  <c r="G11" i="16"/>
  <c r="AN11" i="16" s="1"/>
  <c r="AD7" i="16"/>
  <c r="AM7" i="16"/>
  <c r="AD9" i="16"/>
  <c r="AD10" i="16"/>
  <c r="AL12" i="16"/>
  <c r="AE9" i="16"/>
  <c r="AE10" i="16"/>
  <c r="AL14" i="16"/>
  <c r="AL15" i="16"/>
  <c r="AM14" i="16"/>
  <c r="AM15" i="16"/>
  <c r="AM18" i="16"/>
  <c r="AD14" i="16"/>
  <c r="AD15" i="16"/>
  <c r="AL16" i="16"/>
  <c r="AL18" i="16"/>
  <c r="AE14" i="16"/>
  <c r="AE15" i="16"/>
  <c r="AA17" i="16"/>
  <c r="AE18" i="16"/>
  <c r="AE19" i="16"/>
  <c r="AD19" i="16"/>
  <c r="AM19" i="16"/>
  <c r="AE16" i="16"/>
  <c r="AL21" i="16"/>
  <c r="Z18" i="16"/>
  <c r="AA18" i="16" s="1"/>
  <c r="AE20" i="16"/>
  <c r="AM21" i="16"/>
  <c r="AD21" i="16"/>
  <c r="AE21" i="16"/>
  <c r="AL20" i="16"/>
  <c r="AM20" i="16"/>
  <c r="AL22" i="16"/>
  <c r="AL23" i="16"/>
  <c r="AD24" i="16"/>
  <c r="AE24" i="16"/>
  <c r="AD25" i="16"/>
  <c r="AM25" i="16"/>
  <c r="Z25" i="16"/>
  <c r="AA25" i="16" s="1"/>
  <c r="AE25" i="16"/>
  <c r="AL24" i="16"/>
  <c r="AL27" i="16"/>
  <c r="AL28" i="16"/>
  <c r="AA34" i="16"/>
  <c r="AL38" i="16"/>
  <c r="AM42" i="16"/>
  <c r="AL54" i="16"/>
  <c r="Z31" i="16"/>
  <c r="AA31" i="16" s="1"/>
  <c r="AE31" i="16"/>
  <c r="AM31" i="16"/>
  <c r="AM35" i="16"/>
  <c r="Z35" i="16"/>
  <c r="AA35" i="16" s="1"/>
  <c r="AE35" i="16"/>
  <c r="AD35" i="16"/>
  <c r="AM45" i="16"/>
  <c r="AL46" i="16"/>
  <c r="AL47" i="16"/>
  <c r="AL52" i="16"/>
  <c r="AM26" i="16"/>
  <c r="AD28" i="16"/>
  <c r="AA32" i="16"/>
  <c r="AD38" i="16"/>
  <c r="Z38" i="16"/>
  <c r="AA38" i="16" s="1"/>
  <c r="AE38" i="16"/>
  <c r="AL51" i="16"/>
  <c r="AE28" i="16"/>
  <c r="AE29" i="16"/>
  <c r="AM29" i="16"/>
  <c r="Z30" i="16"/>
  <c r="AA30" i="16" s="1"/>
  <c r="AL30" i="16"/>
  <c r="AD31" i="16"/>
  <c r="AE26" i="16"/>
  <c r="AE37" i="16"/>
  <c r="Z37" i="16"/>
  <c r="AA37" i="16" s="1"/>
  <c r="AM40" i="16"/>
  <c r="AE30" i="16"/>
  <c r="AD30" i="16"/>
  <c r="AL44" i="16"/>
  <c r="AL33" i="16"/>
  <c r="AM39" i="16"/>
  <c r="AM41" i="16"/>
  <c r="AL45" i="16"/>
  <c r="AL48" i="16"/>
  <c r="AL50" i="16"/>
  <c r="AL53" i="16"/>
  <c r="AM33" i="16"/>
  <c r="AD39" i="16"/>
  <c r="AE39" i="16"/>
  <c r="BE30" i="22" l="1"/>
  <c r="AG5" i="22"/>
  <c r="CX7" i="22" s="1"/>
  <c r="AF5" i="22"/>
  <c r="CY6" i="22" s="1"/>
  <c r="AG4" i="22"/>
  <c r="CV5" i="22" s="1"/>
  <c r="AF4" i="22"/>
  <c r="CW4" i="22" s="1"/>
  <c r="BW7" i="22"/>
  <c r="BK7" i="22"/>
  <c r="BV7" i="22" s="1"/>
  <c r="BW16" i="22"/>
  <c r="BK16" i="22"/>
  <c r="BV16" i="22" s="1"/>
  <c r="BW17" i="22"/>
  <c r="BK17" i="22"/>
  <c r="BV17" i="22" s="1"/>
  <c r="BW29" i="22"/>
  <c r="BK29" i="22"/>
  <c r="BV29" i="22" s="1"/>
  <c r="BE10" i="22"/>
  <c r="BE7" i="22"/>
  <c r="BH7" i="22" s="1"/>
  <c r="BE21" i="22"/>
  <c r="BH21" i="22" s="1"/>
  <c r="BE27" i="22"/>
  <c r="BH27" i="22" s="1"/>
  <c r="BK4" i="22"/>
  <c r="BV4" i="22" s="1"/>
  <c r="BW4" i="22"/>
  <c r="BW11" i="22"/>
  <c r="BK11" i="22"/>
  <c r="BV11" i="22" s="1"/>
  <c r="BE15" i="22"/>
  <c r="BH15" i="22" s="1"/>
  <c r="BE31" i="22"/>
  <c r="BH31" i="22" s="1"/>
  <c r="BK10" i="22"/>
  <c r="BV10" i="22" s="1"/>
  <c r="BW10" i="22"/>
  <c r="BW20" i="22"/>
  <c r="BK20" i="22"/>
  <c r="BV20" i="22" s="1"/>
  <c r="BW27" i="22"/>
  <c r="BK27" i="22"/>
  <c r="BV27" i="22" s="1"/>
  <c r="BW30" i="22"/>
  <c r="BK30" i="22"/>
  <c r="BV30" i="22" s="1"/>
  <c r="BE4" i="22"/>
  <c r="BH4" i="22" s="1"/>
  <c r="BE11" i="22"/>
  <c r="BH11" i="22" s="1"/>
  <c r="BE22" i="22"/>
  <c r="BH22" i="22" s="1"/>
  <c r="BE29" i="22"/>
  <c r="BH29" i="22" s="1"/>
  <c r="BH30" i="22"/>
  <c r="BK9" i="22"/>
  <c r="BV9" i="22" s="1"/>
  <c r="BW9" i="22"/>
  <c r="BW25" i="22"/>
  <c r="BK25" i="22"/>
  <c r="BV25" i="22" s="1"/>
  <c r="BW31" i="22"/>
  <c r="BK31" i="22"/>
  <c r="BV31" i="22" s="1"/>
  <c r="BW32" i="22"/>
  <c r="BK32" i="22"/>
  <c r="BV32" i="22" s="1"/>
  <c r="BE19" i="22"/>
  <c r="BH19" i="22" s="1"/>
  <c r="BE12" i="22"/>
  <c r="BH12" i="22" s="1"/>
  <c r="BE20" i="22"/>
  <c r="BH20" i="22" s="1"/>
  <c r="BW5" i="22"/>
  <c r="BK5" i="22"/>
  <c r="BV5" i="22" s="1"/>
  <c r="BW22" i="22"/>
  <c r="BK22" i="22"/>
  <c r="BV22" i="22" s="1"/>
  <c r="BE24" i="22"/>
  <c r="BH24" i="22" s="1"/>
  <c r="AA5" i="22"/>
  <c r="BG26" i="22" s="1"/>
  <c r="BE5" i="22"/>
  <c r="BH5" i="22" s="1"/>
  <c r="BW14" i="22"/>
  <c r="BK14" i="22"/>
  <c r="BV14" i="22" s="1"/>
  <c r="BK19" i="22"/>
  <c r="BV19" i="22" s="1"/>
  <c r="BW19" i="22"/>
  <c r="BW26" i="22"/>
  <c r="BK26" i="22"/>
  <c r="BV26" i="22" s="1"/>
  <c r="BE14" i="22"/>
  <c r="BH14" i="22" s="1"/>
  <c r="BE16" i="22"/>
  <c r="BH16" i="22" s="1"/>
  <c r="BE25" i="22"/>
  <c r="BH25" i="22" s="1"/>
  <c r="BE32" i="22"/>
  <c r="BH32" i="22" s="1"/>
  <c r="BH10" i="22"/>
  <c r="BE6" i="22"/>
  <c r="BH6" i="22" s="1"/>
  <c r="BW24" i="22"/>
  <c r="BK24" i="22"/>
  <c r="BV24" i="22" s="1"/>
  <c r="BE9" i="22"/>
  <c r="BH9" i="22" s="1"/>
  <c r="BK15" i="22"/>
  <c r="BV15" i="22" s="1"/>
  <c r="BW15" i="22"/>
  <c r="BW21" i="22"/>
  <c r="BK21" i="22"/>
  <c r="BV21" i="22" s="1"/>
  <c r="BE17" i="22"/>
  <c r="BH17" i="22" s="1"/>
  <c r="BE26" i="22"/>
  <c r="BH26" i="22" s="1"/>
  <c r="BW12" i="22"/>
  <c r="BK12" i="22"/>
  <c r="BV12" i="22" s="1"/>
  <c r="BE15" i="21"/>
  <c r="BE16" i="21"/>
  <c r="BH16" i="21" s="1"/>
  <c r="BE27" i="21"/>
  <c r="BW16" i="21"/>
  <c r="BK16" i="21"/>
  <c r="BV16" i="21" s="1"/>
  <c r="BG29" i="21"/>
  <c r="BG32" i="21"/>
  <c r="BG31" i="21"/>
  <c r="BG30" i="21"/>
  <c r="BG26" i="21"/>
  <c r="BG27" i="21"/>
  <c r="BG22" i="21"/>
  <c r="BG25" i="21"/>
  <c r="BG21" i="21"/>
  <c r="BG15" i="21"/>
  <c r="BG14" i="21"/>
  <c r="BG10" i="21"/>
  <c r="BG20" i="21"/>
  <c r="BG19" i="21"/>
  <c r="BG24" i="21"/>
  <c r="BG16" i="21"/>
  <c r="BG7" i="21"/>
  <c r="BG11" i="21"/>
  <c r="BG17" i="21"/>
  <c r="BG6" i="21"/>
  <c r="BG12" i="21"/>
  <c r="BG4" i="21"/>
  <c r="BG9" i="21"/>
  <c r="BG5" i="21"/>
  <c r="BK30" i="21"/>
  <c r="BV30" i="21" s="1"/>
  <c r="BW30" i="21"/>
  <c r="BE9" i="21"/>
  <c r="BH9" i="21" s="1"/>
  <c r="BE29" i="21"/>
  <c r="BH29" i="21" s="1"/>
  <c r="BE10" i="21"/>
  <c r="BH10" i="21" s="1"/>
  <c r="BE7" i="21"/>
  <c r="BH7" i="21" s="1"/>
  <c r="BK20" i="21"/>
  <c r="BV20" i="21" s="1"/>
  <c r="BW20" i="21"/>
  <c r="BW26" i="21"/>
  <c r="BK26" i="21"/>
  <c r="BV26" i="21" s="1"/>
  <c r="BK31" i="21"/>
  <c r="BV31" i="21" s="1"/>
  <c r="BW31" i="21"/>
  <c r="BE14" i="21"/>
  <c r="BE20" i="21"/>
  <c r="BH20" i="21" s="1"/>
  <c r="BE31" i="21"/>
  <c r="BH31" i="21" s="1"/>
  <c r="BW27" i="21"/>
  <c r="BK27" i="21"/>
  <c r="BV27" i="21" s="1"/>
  <c r="BE19" i="21"/>
  <c r="BH19" i="21" s="1"/>
  <c r="BW5" i="21"/>
  <c r="BK5" i="21"/>
  <c r="BV5" i="21" s="1"/>
  <c r="BH15" i="21"/>
  <c r="BH21" i="21"/>
  <c r="BK10" i="21"/>
  <c r="BV10" i="21" s="1"/>
  <c r="BW10" i="21"/>
  <c r="BW25" i="21"/>
  <c r="BK25" i="21"/>
  <c r="BV25" i="21" s="1"/>
  <c r="BE17" i="21"/>
  <c r="BH17" i="21" s="1"/>
  <c r="BE21" i="21"/>
  <c r="BE30" i="21"/>
  <c r="BH30" i="21" s="1"/>
  <c r="BW9" i="21"/>
  <c r="BK9" i="21"/>
  <c r="BV9" i="21" s="1"/>
  <c r="BW21" i="21"/>
  <c r="BK21" i="21"/>
  <c r="BV21" i="21" s="1"/>
  <c r="BE5" i="21"/>
  <c r="BH5" i="21" s="1"/>
  <c r="BE6" i="21"/>
  <c r="BH6" i="21" s="1"/>
  <c r="BW12" i="21"/>
  <c r="BK12" i="21"/>
  <c r="BV12" i="21" s="1"/>
  <c r="BW4" i="21"/>
  <c r="BK4" i="21"/>
  <c r="BV4" i="21" s="1"/>
  <c r="T54" i="21"/>
  <c r="BH14" i="21"/>
  <c r="BH27" i="21"/>
  <c r="BW19" i="21"/>
  <c r="BK19" i="21"/>
  <c r="BV19" i="21" s="1"/>
  <c r="BW11" i="21"/>
  <c r="BK11" i="21"/>
  <c r="BV11" i="21" s="1"/>
  <c r="BW17" i="21"/>
  <c r="BK17" i="21"/>
  <c r="BV17" i="21" s="1"/>
  <c r="BW32" i="21"/>
  <c r="BK32" i="21"/>
  <c r="BV32" i="21" s="1"/>
  <c r="BE11" i="21"/>
  <c r="BH11" i="21" s="1"/>
  <c r="BE22" i="21"/>
  <c r="BH22" i="21" s="1"/>
  <c r="BE25" i="21"/>
  <c r="BH25" i="21" s="1"/>
  <c r="BW29" i="21"/>
  <c r="BK29" i="21"/>
  <c r="BV29" i="21" s="1"/>
  <c r="BE32" i="21"/>
  <c r="BE4" i="21"/>
  <c r="BH4" i="21" s="1"/>
  <c r="BH32" i="21"/>
  <c r="BW6" i="21"/>
  <c r="BK6" i="21"/>
  <c r="BV6" i="21" s="1"/>
  <c r="BK15" i="21"/>
  <c r="BV15" i="21" s="1"/>
  <c r="BW15" i="21"/>
  <c r="BK14" i="21"/>
  <c r="BV14" i="21" s="1"/>
  <c r="BW14" i="21"/>
  <c r="BW22" i="21"/>
  <c r="BK22" i="21"/>
  <c r="BV22" i="21" s="1"/>
  <c r="BW24" i="21"/>
  <c r="BK24" i="21"/>
  <c r="BV24" i="21" s="1"/>
  <c r="BE12" i="21"/>
  <c r="BH12" i="21" s="1"/>
  <c r="BE24" i="21"/>
  <c r="BH24" i="21" s="1"/>
  <c r="BE26" i="21"/>
  <c r="BH26" i="21" s="1"/>
  <c r="BK7" i="21"/>
  <c r="BV7" i="21" s="1"/>
  <c r="BW7" i="21"/>
  <c r="T54" i="20"/>
  <c r="BE10" i="20"/>
  <c r="BH10" i="20" s="1"/>
  <c r="BK9" i="20"/>
  <c r="BV9" i="20" s="1"/>
  <c r="BW9" i="20"/>
  <c r="BK21" i="20"/>
  <c r="BV21" i="20" s="1"/>
  <c r="BW21" i="20"/>
  <c r="BW27" i="20"/>
  <c r="BK27" i="20"/>
  <c r="BV27" i="20" s="1"/>
  <c r="BE25" i="20"/>
  <c r="BE30" i="20"/>
  <c r="BH30" i="20" s="1"/>
  <c r="BG32" i="20"/>
  <c r="BG24" i="20"/>
  <c r="BG27" i="20"/>
  <c r="BG17" i="20"/>
  <c r="BG19" i="20"/>
  <c r="BG9" i="20"/>
  <c r="BE26" i="20"/>
  <c r="BE24" i="20"/>
  <c r="BH24" i="20" s="1"/>
  <c r="BE31" i="20"/>
  <c r="BH31" i="20" s="1"/>
  <c r="BW22" i="20"/>
  <c r="BK22" i="20"/>
  <c r="BV22" i="20" s="1"/>
  <c r="BW29" i="20"/>
  <c r="BK29" i="20"/>
  <c r="BV29" i="20" s="1"/>
  <c r="BE21" i="20"/>
  <c r="BH21" i="20" s="1"/>
  <c r="BE5" i="20"/>
  <c r="BE15" i="20"/>
  <c r="BH15" i="20" s="1"/>
  <c r="BE6" i="20"/>
  <c r="BH6" i="20" s="1"/>
  <c r="BE11" i="20"/>
  <c r="BH11" i="20" s="1"/>
  <c r="BE19" i="20"/>
  <c r="BE32" i="20"/>
  <c r="BH32" i="20" s="1"/>
  <c r="BW7" i="20"/>
  <c r="BK7" i="20"/>
  <c r="BV7" i="20" s="1"/>
  <c r="BW11" i="20"/>
  <c r="BK11" i="20"/>
  <c r="BV11" i="20" s="1"/>
  <c r="BW16" i="20"/>
  <c r="BK16" i="20"/>
  <c r="BV16" i="20" s="1"/>
  <c r="BW31" i="20"/>
  <c r="BK31" i="20"/>
  <c r="BV31" i="20" s="1"/>
  <c r="BW30" i="20"/>
  <c r="BK30" i="20"/>
  <c r="BV30" i="20" s="1"/>
  <c r="BE29" i="20"/>
  <c r="BH29" i="20" s="1"/>
  <c r="BH26" i="20"/>
  <c r="BW6" i="20"/>
  <c r="BK6" i="20"/>
  <c r="BV6" i="20" s="1"/>
  <c r="BW14" i="20"/>
  <c r="BK14" i="20"/>
  <c r="BV14" i="20" s="1"/>
  <c r="BW12" i="20"/>
  <c r="BK12" i="20"/>
  <c r="BV12" i="20" s="1"/>
  <c r="BW20" i="20"/>
  <c r="BK20" i="20"/>
  <c r="BV20" i="20" s="1"/>
  <c r="BK25" i="20"/>
  <c r="BV25" i="20" s="1"/>
  <c r="BW25" i="20"/>
  <c r="BW32" i="20"/>
  <c r="BK32" i="20"/>
  <c r="BV32" i="20" s="1"/>
  <c r="BH7" i="20"/>
  <c r="BE12" i="20"/>
  <c r="BH12" i="20" s="1"/>
  <c r="BH25" i="20"/>
  <c r="BE17" i="20"/>
  <c r="BE20" i="20"/>
  <c r="BH20" i="20" s="1"/>
  <c r="BE22" i="20"/>
  <c r="BH22" i="20" s="1"/>
  <c r="AA5" i="20"/>
  <c r="BG30" i="20" s="1"/>
  <c r="BE9" i="20"/>
  <c r="BH9" i="20" s="1"/>
  <c r="BE4" i="20"/>
  <c r="BH4" i="20" s="1"/>
  <c r="BE7" i="20"/>
  <c r="BW10" i="20"/>
  <c r="BK10" i="20"/>
  <c r="BV10" i="20" s="1"/>
  <c r="BW4" i="20"/>
  <c r="BK4" i="20"/>
  <c r="BV4" i="20" s="1"/>
  <c r="BW17" i="20"/>
  <c r="BK17" i="20"/>
  <c r="BV17" i="20" s="1"/>
  <c r="BK24" i="20"/>
  <c r="BV24" i="20" s="1"/>
  <c r="BW24" i="20"/>
  <c r="BW26" i="20"/>
  <c r="BK26" i="20"/>
  <c r="BV26" i="20" s="1"/>
  <c r="BH17" i="20"/>
  <c r="BE14" i="20"/>
  <c r="BH14" i="20" s="1"/>
  <c r="BO14" i="20" s="1"/>
  <c r="BE16" i="20"/>
  <c r="BE27" i="20"/>
  <c r="BH27" i="20" s="1"/>
  <c r="BH5" i="20"/>
  <c r="BH16" i="20"/>
  <c r="BH19" i="20"/>
  <c r="BW15" i="20"/>
  <c r="BK15" i="20"/>
  <c r="BV15" i="20" s="1"/>
  <c r="BW19" i="20"/>
  <c r="BK19" i="20"/>
  <c r="BV19" i="20" s="1"/>
  <c r="BW17" i="19"/>
  <c r="BK17" i="19"/>
  <c r="BV17" i="19" s="1"/>
  <c r="BW15" i="19"/>
  <c r="BK15" i="19"/>
  <c r="BV15" i="19" s="1"/>
  <c r="BW16" i="19"/>
  <c r="BK16" i="19"/>
  <c r="BV16" i="19" s="1"/>
  <c r="BK20" i="19"/>
  <c r="BV20" i="19" s="1"/>
  <c r="BW20" i="19"/>
  <c r="BW25" i="19"/>
  <c r="BK25" i="19"/>
  <c r="BV25" i="19" s="1"/>
  <c r="BW6" i="19"/>
  <c r="BK6" i="19"/>
  <c r="BV6" i="19" s="1"/>
  <c r="BW7" i="19"/>
  <c r="BK7" i="19"/>
  <c r="BV7" i="19" s="1"/>
  <c r="BK22" i="19"/>
  <c r="BV22" i="19" s="1"/>
  <c r="BW22" i="19"/>
  <c r="BW30" i="19"/>
  <c r="BK30" i="19"/>
  <c r="BV30" i="19" s="1"/>
  <c r="T54" i="19"/>
  <c r="BW12" i="19"/>
  <c r="BK12" i="19"/>
  <c r="BV12" i="19" s="1"/>
  <c r="BW11" i="19"/>
  <c r="BK11" i="19"/>
  <c r="BV11" i="19" s="1"/>
  <c r="BK19" i="19"/>
  <c r="BV19" i="19" s="1"/>
  <c r="BW19" i="19"/>
  <c r="BH7" i="19"/>
  <c r="BK21" i="19"/>
  <c r="BV21" i="19" s="1"/>
  <c r="BW21" i="19"/>
  <c r="BW31" i="19"/>
  <c r="BK31" i="19"/>
  <c r="BV31" i="19" s="1"/>
  <c r="BW10" i="19"/>
  <c r="BK10" i="19"/>
  <c r="BV10" i="19" s="1"/>
  <c r="BW32" i="19"/>
  <c r="BK32" i="19"/>
  <c r="BV32" i="19" s="1"/>
  <c r="BW26" i="19"/>
  <c r="BK26" i="19"/>
  <c r="BV26" i="19" s="1"/>
  <c r="BW27" i="19"/>
  <c r="BK27" i="19"/>
  <c r="BV27" i="19" s="1"/>
  <c r="BW9" i="19"/>
  <c r="BK9" i="19"/>
  <c r="BV9" i="19" s="1"/>
  <c r="BE32" i="19"/>
  <c r="BH32" i="19" s="1"/>
  <c r="BE31" i="19"/>
  <c r="BE30" i="19"/>
  <c r="BH30" i="19" s="1"/>
  <c r="BE26" i="19"/>
  <c r="BH26" i="19" s="1"/>
  <c r="BE27" i="19"/>
  <c r="BH27" i="19" s="1"/>
  <c r="BE29" i="19"/>
  <c r="BH29" i="19" s="1"/>
  <c r="BE25" i="19"/>
  <c r="BH25" i="19" s="1"/>
  <c r="BE24" i="19"/>
  <c r="BH24" i="19" s="1"/>
  <c r="BE19" i="19"/>
  <c r="BH19" i="19" s="1"/>
  <c r="BE15" i="19"/>
  <c r="BH15" i="19" s="1"/>
  <c r="BE14" i="19"/>
  <c r="BH14" i="19" s="1"/>
  <c r="BE22" i="19"/>
  <c r="BH22" i="19" s="1"/>
  <c r="BO22" i="19" s="1"/>
  <c r="BE17" i="19"/>
  <c r="BH17" i="19" s="1"/>
  <c r="BE20" i="19"/>
  <c r="BH20" i="19" s="1"/>
  <c r="BE10" i="19"/>
  <c r="BH10" i="19" s="1"/>
  <c r="BE9" i="19"/>
  <c r="BH9" i="19" s="1"/>
  <c r="BE21" i="19"/>
  <c r="BH21" i="19" s="1"/>
  <c r="BE16" i="19"/>
  <c r="BH16" i="19" s="1"/>
  <c r="BE11" i="19"/>
  <c r="BH11" i="19" s="1"/>
  <c r="BE7" i="19"/>
  <c r="BE4" i="19"/>
  <c r="BH4" i="19" s="1"/>
  <c r="BE12" i="19"/>
  <c r="BH12" i="19" s="1"/>
  <c r="BE5" i="19"/>
  <c r="BH5" i="19" s="1"/>
  <c r="AA4" i="19"/>
  <c r="BE6" i="19"/>
  <c r="BH6" i="19" s="1"/>
  <c r="BH31" i="19"/>
  <c r="BW14" i="19"/>
  <c r="BK14" i="19"/>
  <c r="BV14" i="19" s="1"/>
  <c r="BK24" i="19"/>
  <c r="BV24" i="19" s="1"/>
  <c r="BW24" i="19"/>
  <c r="BW29" i="19"/>
  <c r="BK29" i="19"/>
  <c r="BV29" i="19" s="1"/>
  <c r="AG4" i="16"/>
  <c r="AF22" i="16"/>
  <c r="AF6" i="16"/>
  <c r="AG23" i="16"/>
  <c r="AF8" i="16"/>
  <c r="AF27" i="16"/>
  <c r="AG6" i="16"/>
  <c r="AG27" i="16"/>
  <c r="AF37" i="16"/>
  <c r="AG19" i="16"/>
  <c r="AF38" i="16"/>
  <c r="AF4" i="16"/>
  <c r="AF10" i="16"/>
  <c r="AF26" i="16"/>
  <c r="AG35" i="16"/>
  <c r="AF35" i="16"/>
  <c r="AG32" i="16"/>
  <c r="AF32" i="16"/>
  <c r="AG31" i="16"/>
  <c r="AF31" i="16"/>
  <c r="AG29" i="16"/>
  <c r="AF29" i="16"/>
  <c r="AG36" i="16"/>
  <c r="AF36" i="16"/>
  <c r="AA6" i="16"/>
  <c r="BO20" i="20" l="1"/>
  <c r="BO19" i="21"/>
  <c r="BO16" i="19"/>
  <c r="BO26" i="21"/>
  <c r="BO5" i="19"/>
  <c r="BO27" i="19"/>
  <c r="BO29" i="20"/>
  <c r="BO12" i="19"/>
  <c r="BO4" i="20"/>
  <c r="BO24" i="20"/>
  <c r="BO5" i="21"/>
  <c r="BT7" i="21" s="1" a="1"/>
  <c r="BT7" i="21" s="1"/>
  <c r="BO16" i="21"/>
  <c r="BS15" i="21" s="1" a="1"/>
  <c r="BS15" i="21" s="1"/>
  <c r="BO29" i="19"/>
  <c r="BO9" i="19"/>
  <c r="BO12" i="21"/>
  <c r="BO31" i="21"/>
  <c r="BO12" i="20"/>
  <c r="BG4" i="20"/>
  <c r="BG31" i="20"/>
  <c r="BG7" i="22"/>
  <c r="BG15" i="22"/>
  <c r="BO16" i="22"/>
  <c r="BG25" i="22"/>
  <c r="BG29" i="22"/>
  <c r="BO5" i="22"/>
  <c r="BO9" i="22"/>
  <c r="BO32" i="22"/>
  <c r="BO25" i="22"/>
  <c r="BO22" i="22"/>
  <c r="BO15" i="22"/>
  <c r="BO11" i="22"/>
  <c r="BO17" i="22"/>
  <c r="BO24" i="22"/>
  <c r="BO20" i="22"/>
  <c r="BO4" i="22"/>
  <c r="BO27" i="22"/>
  <c r="BO14" i="22"/>
  <c r="BO19" i="22"/>
  <c r="BG6" i="22"/>
  <c r="BG9" i="22"/>
  <c r="BG16" i="22"/>
  <c r="BG30" i="22"/>
  <c r="BO21" i="22"/>
  <c r="BO12" i="22"/>
  <c r="BG10" i="22"/>
  <c r="BG12" i="22"/>
  <c r="BG21" i="22"/>
  <c r="BG31" i="22"/>
  <c r="BO26" i="22"/>
  <c r="BO10" i="22"/>
  <c r="BO6" i="22"/>
  <c r="BG20" i="22"/>
  <c r="BG14" i="22"/>
  <c r="BG22" i="22"/>
  <c r="BG32" i="22"/>
  <c r="BO31" i="22"/>
  <c r="BG11" i="22"/>
  <c r="BG19" i="22"/>
  <c r="BG24" i="22"/>
  <c r="BO30" i="22"/>
  <c r="BO29" i="22"/>
  <c r="BG4" i="22"/>
  <c r="BO7" i="22"/>
  <c r="BG5" i="22"/>
  <c r="BG17" i="22"/>
  <c r="BG27" i="22"/>
  <c r="BO24" i="21"/>
  <c r="BO29" i="21"/>
  <c r="BR29" i="21" s="1" a="1"/>
  <c r="BR29" i="21" s="1"/>
  <c r="BO30" i="21"/>
  <c r="BT30" i="21" s="1" a="1"/>
  <c r="BT30" i="21" s="1"/>
  <c r="BO20" i="21"/>
  <c r="BO9" i="21"/>
  <c r="BO32" i="21"/>
  <c r="BO4" i="21"/>
  <c r="BO7" i="21"/>
  <c r="BO27" i="21"/>
  <c r="BO17" i="21"/>
  <c r="BO10" i="21"/>
  <c r="BO14" i="21"/>
  <c r="BO22" i="21"/>
  <c r="BO11" i="21"/>
  <c r="BO21" i="21"/>
  <c r="BO25" i="21"/>
  <c r="BP25" i="21" s="1" a="1"/>
  <c r="BP25" i="21" s="1"/>
  <c r="BO6" i="21"/>
  <c r="BO15" i="21"/>
  <c r="BO11" i="20"/>
  <c r="BO15" i="20"/>
  <c r="BO30" i="20"/>
  <c r="BO31" i="20"/>
  <c r="BS31" i="20" s="1" a="1"/>
  <c r="BS31" i="20" s="1"/>
  <c r="BO32" i="20"/>
  <c r="BO27" i="20"/>
  <c r="BO9" i="20"/>
  <c r="BO17" i="20"/>
  <c r="BU16" i="20" s="1" a="1"/>
  <c r="BU16" i="20" s="1"/>
  <c r="BO26" i="20"/>
  <c r="BO10" i="20"/>
  <c r="BO21" i="20"/>
  <c r="BG25" i="20"/>
  <c r="BO22" i="20"/>
  <c r="BG10" i="20"/>
  <c r="BG5" i="20"/>
  <c r="BG14" i="20"/>
  <c r="BG22" i="20"/>
  <c r="BO16" i="20"/>
  <c r="BQ16" i="20" s="1" a="1"/>
  <c r="BQ16" i="20" s="1"/>
  <c r="BO5" i="20"/>
  <c r="BO25" i="20"/>
  <c r="BS26" i="20" s="1" a="1"/>
  <c r="BS26" i="20" s="1"/>
  <c r="BG21" i="20"/>
  <c r="BG29" i="20"/>
  <c r="BO7" i="20"/>
  <c r="BG6" i="20"/>
  <c r="BG11" i="20"/>
  <c r="BG15" i="20"/>
  <c r="BG26" i="20"/>
  <c r="BO6" i="20"/>
  <c r="BG12" i="20"/>
  <c r="BO19" i="20"/>
  <c r="BG7" i="20"/>
  <c r="BG16" i="20"/>
  <c r="BG20" i="20"/>
  <c r="BO21" i="19"/>
  <c r="BO14" i="19"/>
  <c r="BO26" i="19"/>
  <c r="BO4" i="19"/>
  <c r="BO19" i="19"/>
  <c r="BO30" i="19"/>
  <c r="BO20" i="19"/>
  <c r="BO24" i="19"/>
  <c r="BO15" i="19"/>
  <c r="BO10" i="19"/>
  <c r="BO11" i="19"/>
  <c r="BO7" i="19"/>
  <c r="BO25" i="19"/>
  <c r="BO6" i="19"/>
  <c r="BO32" i="19"/>
  <c r="BG32" i="19"/>
  <c r="BG31" i="19"/>
  <c r="BG30" i="19"/>
  <c r="BG29" i="19"/>
  <c r="BG27" i="19"/>
  <c r="BG22" i="19"/>
  <c r="BG25" i="19"/>
  <c r="BG26" i="19"/>
  <c r="BG20" i="19"/>
  <c r="BG17" i="19"/>
  <c r="BG16" i="19"/>
  <c r="BG21" i="19"/>
  <c r="BG12" i="19"/>
  <c r="BG14" i="19"/>
  <c r="BG15" i="19"/>
  <c r="BG9" i="19"/>
  <c r="BG24" i="19"/>
  <c r="BG10" i="19"/>
  <c r="BG6" i="19"/>
  <c r="BG19" i="19"/>
  <c r="BG5" i="19"/>
  <c r="BG11" i="19"/>
  <c r="BG7" i="19"/>
  <c r="BG4" i="19"/>
  <c r="BO31" i="19"/>
  <c r="BR31" i="19" s="1" a="1"/>
  <c r="BR31" i="19" s="1"/>
  <c r="BO17" i="19"/>
  <c r="GR5" i="6"/>
  <c r="C87" i="6"/>
  <c r="BP31" i="20" l="1" a="1"/>
  <c r="BP31" i="20" s="1"/>
  <c r="BU31" i="20" a="1"/>
  <c r="BU31" i="20" s="1"/>
  <c r="BQ15" i="21" a="1"/>
  <c r="BQ15" i="21" s="1"/>
  <c r="BQ7" i="19" a="1"/>
  <c r="BQ7" i="19" s="1"/>
  <c r="BP6" i="20" a="1"/>
  <c r="BP6" i="20" s="1"/>
  <c r="BU26" i="20" a="1"/>
  <c r="BU26" i="20" s="1"/>
  <c r="BS14" i="21" a="1"/>
  <c r="BS14" i="21" s="1"/>
  <c r="BR15" i="21" a="1"/>
  <c r="BR15" i="21" s="1"/>
  <c r="BQ26" i="20" a="1"/>
  <c r="BQ26" i="20" s="1"/>
  <c r="BQ14" i="19" a="1"/>
  <c r="BQ14" i="19" s="1"/>
  <c r="BR11" i="19" a="1"/>
  <c r="BR11" i="19" s="1"/>
  <c r="BP26" i="20" a="1"/>
  <c r="BP26" i="20" s="1"/>
  <c r="BQ31" i="20" a="1"/>
  <c r="BQ31" i="20" s="1"/>
  <c r="BS21" i="21" a="1"/>
  <c r="BS21" i="21" s="1"/>
  <c r="BT24" i="21" a="1"/>
  <c r="BT24" i="21" s="1"/>
  <c r="BT27" i="22" a="1"/>
  <c r="BT27" i="22" s="1"/>
  <c r="BS14" i="22" a="1"/>
  <c r="BS14" i="22" s="1"/>
  <c r="BU15" i="22" a="1"/>
  <c r="BU15" i="22" s="1"/>
  <c r="BS27" i="22" a="1"/>
  <c r="BS27" i="22" s="1"/>
  <c r="BQ7" i="22" a="1"/>
  <c r="BQ7" i="22" s="1"/>
  <c r="BP11" i="22" a="1"/>
  <c r="BP11" i="22" s="1"/>
  <c r="BQ27" i="22" a="1"/>
  <c r="BQ27" i="22" s="1"/>
  <c r="BR7" i="22" a="1"/>
  <c r="BR7" i="22" s="1"/>
  <c r="BP14" i="22" a="1"/>
  <c r="BP14" i="22" s="1"/>
  <c r="BR27" i="22" a="1"/>
  <c r="BR27" i="22" s="1"/>
  <c r="BR14" i="22" a="1"/>
  <c r="BR14" i="22" s="1"/>
  <c r="BS11" i="22" a="1"/>
  <c r="BS11" i="22" s="1"/>
  <c r="BS6" i="22" a="1"/>
  <c r="BS6" i="22" s="1"/>
  <c r="BP6" i="22" a="1"/>
  <c r="BP6" i="22" s="1"/>
  <c r="BU6" i="22" a="1"/>
  <c r="BU6" i="22" s="1"/>
  <c r="BR6" i="22" a="1"/>
  <c r="BR6" i="22" s="1"/>
  <c r="BT6" i="22" a="1"/>
  <c r="BT6" i="22" s="1"/>
  <c r="BQ6" i="22" a="1"/>
  <c r="BQ6" i="22" s="1"/>
  <c r="BT11" i="22" a="1"/>
  <c r="BT11" i="22" s="1"/>
  <c r="BU11" i="22" a="1"/>
  <c r="BU11" i="22" s="1"/>
  <c r="BP7" i="22" a="1"/>
  <c r="BP7" i="22" s="1"/>
  <c r="BQ14" i="22" a="1"/>
  <c r="BQ14" i="22" s="1"/>
  <c r="BS22" i="22" a="1"/>
  <c r="BS22" i="22" s="1"/>
  <c r="BR22" i="22" a="1"/>
  <c r="BR22" i="22" s="1"/>
  <c r="BQ22" i="22" a="1"/>
  <c r="BQ22" i="22" s="1"/>
  <c r="BP22" i="22" a="1"/>
  <c r="BP22" i="22" s="1"/>
  <c r="BU22" i="22" a="1"/>
  <c r="BU22" i="22" s="1"/>
  <c r="BT22" i="22" a="1"/>
  <c r="BT22" i="22" s="1"/>
  <c r="BU27" i="22" a="1"/>
  <c r="BU27" i="22" s="1"/>
  <c r="BQ11" i="22" a="1"/>
  <c r="BQ11" i="22" s="1"/>
  <c r="BS10" i="22" a="1"/>
  <c r="BS10" i="22" s="1"/>
  <c r="BP10" i="22" a="1"/>
  <c r="BP10" i="22" s="1"/>
  <c r="BT9" i="22" a="1"/>
  <c r="BT9" i="22" s="1"/>
  <c r="BQ9" i="22" a="1"/>
  <c r="BQ9" i="22" s="1"/>
  <c r="BS9" i="22" a="1"/>
  <c r="BS9" i="22" s="1"/>
  <c r="BP9" i="22" a="1"/>
  <c r="BP9" i="22" s="1"/>
  <c r="BU10" i="22" a="1"/>
  <c r="BU10" i="22" s="1"/>
  <c r="BT10" i="22" a="1"/>
  <c r="BT10" i="22" s="1"/>
  <c r="BU9" i="22" a="1"/>
  <c r="BU9" i="22" s="1"/>
  <c r="BR10" i="22" a="1"/>
  <c r="BR10" i="22" s="1"/>
  <c r="BQ10" i="22" a="1"/>
  <c r="BQ10" i="22" s="1"/>
  <c r="BR9" i="22" a="1"/>
  <c r="BR9" i="22" s="1"/>
  <c r="BT14" i="22" a="1"/>
  <c r="BT14" i="22" s="1"/>
  <c r="BU5" i="22" a="1"/>
  <c r="BU5" i="22" s="1"/>
  <c r="BR5" i="22" a="1"/>
  <c r="BR5" i="22" s="1"/>
  <c r="BS4" i="22" a="1"/>
  <c r="BS4" i="22" s="1"/>
  <c r="BP4" i="22" a="1"/>
  <c r="BP4" i="22" s="1"/>
  <c r="BT5" i="22" a="1"/>
  <c r="BT5" i="22" s="1"/>
  <c r="BU4" i="22" a="1"/>
  <c r="BU4" i="22" s="1"/>
  <c r="BP5" i="22" a="1"/>
  <c r="BP5" i="22" s="1"/>
  <c r="BQ4" i="22" a="1"/>
  <c r="BQ4" i="22" s="1"/>
  <c r="BS5" i="22" a="1"/>
  <c r="BS5" i="22" s="1"/>
  <c r="BT4" i="22" a="1"/>
  <c r="BT4" i="22" s="1"/>
  <c r="BR4" i="22" a="1"/>
  <c r="BR4" i="22" s="1"/>
  <c r="BQ5" i="22" a="1"/>
  <c r="BQ5" i="22" s="1"/>
  <c r="BS26" i="22" a="1"/>
  <c r="BS26" i="22" s="1"/>
  <c r="BU26" i="22" a="1"/>
  <c r="BU26" i="22" s="1"/>
  <c r="BR26" i="22" a="1"/>
  <c r="BR26" i="22" s="1"/>
  <c r="BP26" i="22" a="1"/>
  <c r="BP26" i="22" s="1"/>
  <c r="BT26" i="22" a="1"/>
  <c r="BT26" i="22" s="1"/>
  <c r="BQ26" i="22" a="1"/>
  <c r="BQ26" i="22" s="1"/>
  <c r="BP27" i="22" a="1"/>
  <c r="BP27" i="22" s="1"/>
  <c r="BT17" i="22" a="1"/>
  <c r="BT17" i="22" s="1"/>
  <c r="BQ17" i="22" a="1"/>
  <c r="BQ17" i="22" s="1"/>
  <c r="BS17" i="22" a="1"/>
  <c r="BS17" i="22" s="1"/>
  <c r="BP17" i="22" a="1"/>
  <c r="BP17" i="22" s="1"/>
  <c r="BU17" i="22" a="1"/>
  <c r="BU17" i="22" s="1"/>
  <c r="BR17" i="22" a="1"/>
  <c r="BR17" i="22" s="1"/>
  <c r="BQ15" i="22" a="1"/>
  <c r="BQ15" i="22" s="1"/>
  <c r="BU31" i="22" a="1"/>
  <c r="BU31" i="22" s="1"/>
  <c r="BR31" i="22" a="1"/>
  <c r="BR31" i="22" s="1"/>
  <c r="BT31" i="22" a="1"/>
  <c r="BT31" i="22" s="1"/>
  <c r="BQ31" i="22" a="1"/>
  <c r="BQ31" i="22" s="1"/>
  <c r="BS31" i="22" a="1"/>
  <c r="BS31" i="22" s="1"/>
  <c r="BP31" i="22" a="1"/>
  <c r="BP31" i="22" s="1"/>
  <c r="BS25" i="22" a="1"/>
  <c r="BS25" i="22" s="1"/>
  <c r="BU24" i="22" a="1"/>
  <c r="BU24" i="22" s="1"/>
  <c r="BR24" i="22" a="1"/>
  <c r="BR24" i="22" s="1"/>
  <c r="BR25" i="22" a="1"/>
  <c r="BR25" i="22" s="1"/>
  <c r="BQ25" i="22" a="1"/>
  <c r="BQ25" i="22" s="1"/>
  <c r="BT24" i="22" a="1"/>
  <c r="BT24" i="22" s="1"/>
  <c r="BQ24" i="22" a="1"/>
  <c r="BQ24" i="22" s="1"/>
  <c r="BU25" i="22" a="1"/>
  <c r="BU25" i="22" s="1"/>
  <c r="BP24" i="22" a="1"/>
  <c r="BP24" i="22" s="1"/>
  <c r="BT25" i="22" a="1"/>
  <c r="BT25" i="22" s="1"/>
  <c r="BP25" i="22" a="1"/>
  <c r="BP25" i="22" s="1"/>
  <c r="BS24" i="22" a="1"/>
  <c r="BS24" i="22" s="1"/>
  <c r="BS20" i="22" a="1"/>
  <c r="BS20" i="22" s="1"/>
  <c r="BP20" i="22" a="1"/>
  <c r="BP20" i="22" s="1"/>
  <c r="BU20" i="22" a="1"/>
  <c r="BU20" i="22" s="1"/>
  <c r="BR20" i="22" a="1"/>
  <c r="BR20" i="22" s="1"/>
  <c r="BQ19" i="22" a="1"/>
  <c r="BQ19" i="22" s="1"/>
  <c r="BT19" i="22" a="1"/>
  <c r="BT19" i="22" s="1"/>
  <c r="BT20" i="22" a="1"/>
  <c r="BT20" i="22" s="1"/>
  <c r="BP19" i="22" a="1"/>
  <c r="BP19" i="22" s="1"/>
  <c r="BS19" i="22" a="1"/>
  <c r="BS19" i="22" s="1"/>
  <c r="BQ20" i="22" a="1"/>
  <c r="BQ20" i="22" s="1"/>
  <c r="BR19" i="22" a="1"/>
  <c r="BR19" i="22" s="1"/>
  <c r="BU19" i="22" a="1"/>
  <c r="BU19" i="22" s="1"/>
  <c r="BU16" i="22" a="1"/>
  <c r="BU16" i="22" s="1"/>
  <c r="BR16" i="22" a="1"/>
  <c r="BR16" i="22" s="1"/>
  <c r="BT16" i="22" a="1"/>
  <c r="BT16" i="22" s="1"/>
  <c r="BQ16" i="22" a="1"/>
  <c r="BQ16" i="22" s="1"/>
  <c r="BS16" i="22" a="1"/>
  <c r="BS16" i="22" s="1"/>
  <c r="BP16" i="22" a="1"/>
  <c r="BP16" i="22" s="1"/>
  <c r="BS7" i="22" a="1"/>
  <c r="BS7" i="22" s="1"/>
  <c r="BU7" i="22" a="1"/>
  <c r="BU7" i="22" s="1"/>
  <c r="BU14" i="22" a="1"/>
  <c r="BU14" i="22" s="1"/>
  <c r="BP15" i="22" a="1"/>
  <c r="BP15" i="22" s="1"/>
  <c r="BU30" i="22" a="1"/>
  <c r="BU30" i="22" s="1"/>
  <c r="BR30" i="22" a="1"/>
  <c r="BR30" i="22" s="1"/>
  <c r="BT29" i="22" a="1"/>
  <c r="BT29" i="22" s="1"/>
  <c r="BQ29" i="22" a="1"/>
  <c r="BQ29" i="22" s="1"/>
  <c r="BT30" i="22" a="1"/>
  <c r="BT30" i="22" s="1"/>
  <c r="BQ30" i="22" a="1"/>
  <c r="BQ30" i="22" s="1"/>
  <c r="BS29" i="22" a="1"/>
  <c r="BS29" i="22" s="1"/>
  <c r="BP29" i="22" a="1"/>
  <c r="BP29" i="22" s="1"/>
  <c r="BS30" i="22" a="1"/>
  <c r="BS30" i="22" s="1"/>
  <c r="BP30" i="22" a="1"/>
  <c r="BP30" i="22" s="1"/>
  <c r="BU29" i="22" a="1"/>
  <c r="BU29" i="22" s="1"/>
  <c r="BR29" i="22" a="1"/>
  <c r="BR29" i="22" s="1"/>
  <c r="BU12" i="22" a="1"/>
  <c r="BU12" i="22" s="1"/>
  <c r="BR12" i="22" a="1"/>
  <c r="BR12" i="22" s="1"/>
  <c r="BT12" i="22" a="1"/>
  <c r="BT12" i="22" s="1"/>
  <c r="BQ12" i="22" a="1"/>
  <c r="BQ12" i="22" s="1"/>
  <c r="BS12" i="22" a="1"/>
  <c r="BS12" i="22" s="1"/>
  <c r="BP12" i="22" a="1"/>
  <c r="BP12" i="22" s="1"/>
  <c r="BT21" i="22" a="1"/>
  <c r="BT21" i="22" s="1"/>
  <c r="BQ21" i="22" a="1"/>
  <c r="BQ21" i="22" s="1"/>
  <c r="BR21" i="22" a="1"/>
  <c r="BR21" i="22" s="1"/>
  <c r="BP21" i="22" a="1"/>
  <c r="BP21" i="22" s="1"/>
  <c r="BU21" i="22" a="1"/>
  <c r="BU21" i="22" s="1"/>
  <c r="BS21" i="22" a="1"/>
  <c r="BS21" i="22" s="1"/>
  <c r="BU32" i="22" a="1"/>
  <c r="BU32" i="22" s="1"/>
  <c r="BR32" i="22" a="1"/>
  <c r="BR32" i="22" s="1"/>
  <c r="BT32" i="22" a="1"/>
  <c r="BT32" i="22" s="1"/>
  <c r="BQ32" i="22" a="1"/>
  <c r="BQ32" i="22" s="1"/>
  <c r="BS32" i="22" a="1"/>
  <c r="BS32" i="22" s="1"/>
  <c r="BP32" i="22" a="1"/>
  <c r="BP32" i="22" s="1"/>
  <c r="BR11" i="22" a="1"/>
  <c r="BR11" i="22" s="1"/>
  <c r="BT7" i="22" a="1"/>
  <c r="BT7" i="22" s="1"/>
  <c r="BT15" i="22" a="1"/>
  <c r="BT15" i="22" s="1"/>
  <c r="BR15" i="22" a="1"/>
  <c r="BR15" i="22" s="1"/>
  <c r="BS15" i="22" a="1"/>
  <c r="BS15" i="22" s="1"/>
  <c r="BS16" i="21" a="1"/>
  <c r="BS16" i="21" s="1"/>
  <c r="BP16" i="21" a="1"/>
  <c r="BP16" i="21" s="1"/>
  <c r="BU16" i="21" a="1"/>
  <c r="BU16" i="21" s="1"/>
  <c r="BQ16" i="21" a="1"/>
  <c r="BQ16" i="21" s="1"/>
  <c r="BT16" i="21" a="1"/>
  <c r="BT16" i="21" s="1"/>
  <c r="BR16" i="21" a="1"/>
  <c r="BR16" i="21" s="1"/>
  <c r="BU31" i="21" a="1"/>
  <c r="BU31" i="21" s="1"/>
  <c r="BR31" i="21" a="1"/>
  <c r="BR31" i="21" s="1"/>
  <c r="BT31" i="21" a="1"/>
  <c r="BT31" i="21" s="1"/>
  <c r="BQ31" i="21" a="1"/>
  <c r="BQ31" i="21" s="1"/>
  <c r="BS31" i="21" a="1"/>
  <c r="BS31" i="21" s="1"/>
  <c r="BP31" i="21" a="1"/>
  <c r="BP31" i="21" s="1"/>
  <c r="BU29" i="21" a="1"/>
  <c r="BU29" i="21" s="1"/>
  <c r="BR30" i="21" a="1"/>
  <c r="BR30" i="21" s="1"/>
  <c r="BT25" i="21" a="1"/>
  <c r="BT25" i="21" s="1"/>
  <c r="BU24" i="21" a="1"/>
  <c r="BU24" i="21" s="1"/>
  <c r="BT20" i="21" a="1"/>
  <c r="BT20" i="21" s="1"/>
  <c r="BQ20" i="21" a="1"/>
  <c r="BQ20" i="21" s="1"/>
  <c r="BR20" i="21" a="1"/>
  <c r="BR20" i="21" s="1"/>
  <c r="BT19" i="21" a="1"/>
  <c r="BT19" i="21" s="1"/>
  <c r="BQ19" i="21" a="1"/>
  <c r="BQ19" i="21" s="1"/>
  <c r="BU20" i="21" a="1"/>
  <c r="BU20" i="21" s="1"/>
  <c r="BS19" i="21" a="1"/>
  <c r="BS19" i="21" s="1"/>
  <c r="BP19" i="21" a="1"/>
  <c r="BP19" i="21" s="1"/>
  <c r="BP20" i="21" a="1"/>
  <c r="BP20" i="21" s="1"/>
  <c r="BU19" i="21" a="1"/>
  <c r="BU19" i="21" s="1"/>
  <c r="BS20" i="21" a="1"/>
  <c r="BS20" i="21" s="1"/>
  <c r="BR19" i="21" a="1"/>
  <c r="BR19" i="21" s="1"/>
  <c r="BU17" i="21" a="1"/>
  <c r="BU17" i="21" s="1"/>
  <c r="BR17" i="21" a="1"/>
  <c r="BR17" i="21" s="1"/>
  <c r="BT17" i="21" a="1"/>
  <c r="BT17" i="21" s="1"/>
  <c r="BP17" i="21" a="1"/>
  <c r="BP17" i="21" s="1"/>
  <c r="BS17" i="21" a="1"/>
  <c r="BS17" i="21" s="1"/>
  <c r="BQ17" i="21" a="1"/>
  <c r="BQ17" i="21" s="1"/>
  <c r="BU15" i="21" a="1"/>
  <c r="BU15" i="21" s="1"/>
  <c r="BT5" i="21" a="1"/>
  <c r="BT5" i="21" s="1"/>
  <c r="BP5" i="21" a="1"/>
  <c r="BP5" i="21" s="1"/>
  <c r="BR4" i="21" a="1"/>
  <c r="BR4" i="21" s="1"/>
  <c r="BQ5" i="21" a="1"/>
  <c r="BQ5" i="21" s="1"/>
  <c r="BS5" i="21" a="1"/>
  <c r="BS5" i="21" s="1"/>
  <c r="BS4" i="21" a="1"/>
  <c r="BS4" i="21" s="1"/>
  <c r="BP4" i="21" a="1"/>
  <c r="BP4" i="21" s="1"/>
  <c r="BR5" i="21" a="1"/>
  <c r="BR5" i="21" s="1"/>
  <c r="BU4" i="21" a="1"/>
  <c r="BU4" i="21" s="1"/>
  <c r="BT4" i="21" a="1"/>
  <c r="BT4" i="21" s="1"/>
  <c r="BU5" i="21" a="1"/>
  <c r="BU5" i="21" s="1"/>
  <c r="BQ4" i="21" a="1"/>
  <c r="BQ4" i="21" s="1"/>
  <c r="BS12" i="21" a="1"/>
  <c r="BS12" i="21" s="1"/>
  <c r="BP12" i="21" a="1"/>
  <c r="BP12" i="21" s="1"/>
  <c r="BR12" i="21" a="1"/>
  <c r="BR12" i="21" s="1"/>
  <c r="BU12" i="21" a="1"/>
  <c r="BU12" i="21" s="1"/>
  <c r="BQ12" i="21" a="1"/>
  <c r="BQ12" i="21" s="1"/>
  <c r="BT12" i="21" a="1"/>
  <c r="BT12" i="21" s="1"/>
  <c r="BP14" i="21" a="1"/>
  <c r="BP14" i="21" s="1"/>
  <c r="BT15" i="21" a="1"/>
  <c r="BT15" i="21" s="1"/>
  <c r="BS7" i="21" a="1"/>
  <c r="BS7" i="21" s="1"/>
  <c r="BP30" i="21" a="1"/>
  <c r="BP30" i="21" s="1"/>
  <c r="BS30" i="21" a="1"/>
  <c r="BS30" i="21" s="1"/>
  <c r="BU30" i="21" a="1"/>
  <c r="BU30" i="21" s="1"/>
  <c r="BP21" i="21" a="1"/>
  <c r="BP21" i="21" s="1"/>
  <c r="BU25" i="21" a="1"/>
  <c r="BU25" i="21" s="1"/>
  <c r="BU27" i="21" a="1"/>
  <c r="BU27" i="21" s="1"/>
  <c r="BR27" i="21" a="1"/>
  <c r="BR27" i="21" s="1"/>
  <c r="BT27" i="21" a="1"/>
  <c r="BT27" i="21" s="1"/>
  <c r="BQ27" i="21" a="1"/>
  <c r="BQ27" i="21" s="1"/>
  <c r="BP27" i="21" a="1"/>
  <c r="BP27" i="21" s="1"/>
  <c r="BS27" i="21" a="1"/>
  <c r="BS27" i="21" s="1"/>
  <c r="BR14" i="21" a="1"/>
  <c r="BR14" i="21" s="1"/>
  <c r="BU14" i="21" a="1"/>
  <c r="BU14" i="21" s="1"/>
  <c r="BS11" i="21" a="1"/>
  <c r="BS11" i="21" s="1"/>
  <c r="BP11" i="21" a="1"/>
  <c r="BP11" i="21" s="1"/>
  <c r="BU11" i="21" a="1"/>
  <c r="BU11" i="21" s="1"/>
  <c r="BQ11" i="21" a="1"/>
  <c r="BQ11" i="21" s="1"/>
  <c r="BT11" i="21" a="1"/>
  <c r="BT11" i="21" s="1"/>
  <c r="BR11" i="21" a="1"/>
  <c r="BR11" i="21" s="1"/>
  <c r="BQ7" i="21" a="1"/>
  <c r="BQ7" i="21" s="1"/>
  <c r="BQ29" i="21" a="1"/>
  <c r="BQ29" i="21" s="1"/>
  <c r="BQ30" i="21" a="1"/>
  <c r="BQ30" i="21" s="1"/>
  <c r="BR21" i="21" a="1"/>
  <c r="BR21" i="21" s="1"/>
  <c r="BS25" i="21" a="1"/>
  <c r="BS25" i="21" s="1"/>
  <c r="BT22" i="21" a="1"/>
  <c r="BT22" i="21" s="1"/>
  <c r="BQ22" i="21" a="1"/>
  <c r="BQ22" i="21" s="1"/>
  <c r="BS22" i="21" a="1"/>
  <c r="BS22" i="21" s="1"/>
  <c r="BP22" i="21" a="1"/>
  <c r="BP22" i="21" s="1"/>
  <c r="BU22" i="21" a="1"/>
  <c r="BU22" i="21" s="1"/>
  <c r="BR22" i="21" a="1"/>
  <c r="BR22" i="21" s="1"/>
  <c r="BT26" i="21" a="1"/>
  <c r="BT26" i="21" s="1"/>
  <c r="BQ26" i="21" a="1"/>
  <c r="BQ26" i="21" s="1"/>
  <c r="BU26" i="21" a="1"/>
  <c r="BU26" i="21" s="1"/>
  <c r="BS26" i="21" a="1"/>
  <c r="BS26" i="21" s="1"/>
  <c r="BR26" i="21" a="1"/>
  <c r="BR26" i="21" s="1"/>
  <c r="BP26" i="21" a="1"/>
  <c r="BP26" i="21" s="1"/>
  <c r="BQ21" i="21" a="1"/>
  <c r="BQ21" i="21" s="1"/>
  <c r="BQ25" i="21" a="1"/>
  <c r="BQ25" i="21" s="1"/>
  <c r="BP24" i="21" a="1"/>
  <c r="BP24" i="21" s="1"/>
  <c r="BS9" i="21" a="1"/>
  <c r="BS9" i="21" s="1"/>
  <c r="BP9" i="21" a="1"/>
  <c r="BP9" i="21" s="1"/>
  <c r="BT10" i="21" a="1"/>
  <c r="BT10" i="21" s="1"/>
  <c r="BQ10" i="21" a="1"/>
  <c r="BQ10" i="21" s="1"/>
  <c r="BR10" i="21" a="1"/>
  <c r="BR10" i="21" s="1"/>
  <c r="BR9" i="21" a="1"/>
  <c r="BR9" i="21" s="1"/>
  <c r="BU10" i="21" a="1"/>
  <c r="BU10" i="21" s="1"/>
  <c r="BP10" i="21" a="1"/>
  <c r="BP10" i="21" s="1"/>
  <c r="BU9" i="21" a="1"/>
  <c r="BU9" i="21" s="1"/>
  <c r="BS10" i="21" a="1"/>
  <c r="BS10" i="21" s="1"/>
  <c r="BQ9" i="21" a="1"/>
  <c r="BQ9" i="21" s="1"/>
  <c r="BT9" i="21" a="1"/>
  <c r="BT9" i="21" s="1"/>
  <c r="BQ14" i="21" a="1"/>
  <c r="BQ14" i="21" s="1"/>
  <c r="BU32" i="21" a="1"/>
  <c r="BU32" i="21" s="1"/>
  <c r="BR32" i="21" a="1"/>
  <c r="BR32" i="21" s="1"/>
  <c r="BT32" i="21" a="1"/>
  <c r="BT32" i="21" s="1"/>
  <c r="BQ32" i="21" a="1"/>
  <c r="BQ32" i="21" s="1"/>
  <c r="BP32" i="21" a="1"/>
  <c r="BP32" i="21" s="1"/>
  <c r="BS32" i="21" a="1"/>
  <c r="BS32" i="21" s="1"/>
  <c r="BR7" i="21" a="1"/>
  <c r="BR7" i="21" s="1"/>
  <c r="BS29" i="21" a="1"/>
  <c r="BS29" i="21" s="1"/>
  <c r="BT29" i="21" a="1"/>
  <c r="BT29" i="21" s="1"/>
  <c r="BU21" i="21" a="1"/>
  <c r="BU21" i="21" s="1"/>
  <c r="BT21" i="21" a="1"/>
  <c r="BT21" i="21" s="1"/>
  <c r="BR25" i="21" a="1"/>
  <c r="BR25" i="21" s="1"/>
  <c r="BS24" i="21" a="1"/>
  <c r="BS24" i="21" s="1"/>
  <c r="BS6" i="21" a="1"/>
  <c r="BS6" i="21" s="1"/>
  <c r="BP6" i="21" a="1"/>
  <c r="BP6" i="21" s="1"/>
  <c r="BU6" i="21" a="1"/>
  <c r="BU6" i="21" s="1"/>
  <c r="BR6" i="21" a="1"/>
  <c r="BR6" i="21" s="1"/>
  <c r="BT6" i="21" a="1"/>
  <c r="BT6" i="21" s="1"/>
  <c r="BQ6" i="21" a="1"/>
  <c r="BQ6" i="21" s="1"/>
  <c r="BP15" i="21" a="1"/>
  <c r="BP15" i="21" s="1"/>
  <c r="BT14" i="21" a="1"/>
  <c r="BT14" i="21" s="1"/>
  <c r="BP7" i="21" a="1"/>
  <c r="BP7" i="21" s="1"/>
  <c r="BU7" i="21" a="1"/>
  <c r="BU7" i="21" s="1"/>
  <c r="BP29" i="21" a="1"/>
  <c r="BP29" i="21" s="1"/>
  <c r="BQ24" i="21" a="1"/>
  <c r="BQ24" i="21" s="1"/>
  <c r="BR24" i="21" a="1"/>
  <c r="BR24" i="21" s="1"/>
  <c r="BT21" i="20" a="1"/>
  <c r="BT21" i="20" s="1"/>
  <c r="BQ21" i="20" a="1"/>
  <c r="BQ21" i="20" s="1"/>
  <c r="BP21" i="20" a="1"/>
  <c r="BP21" i="20" s="1"/>
  <c r="BS21" i="20" a="1"/>
  <c r="BS21" i="20" s="1"/>
  <c r="BU21" i="20" a="1"/>
  <c r="BU21" i="20" s="1"/>
  <c r="BR21" i="20" a="1"/>
  <c r="BR21" i="20" s="1"/>
  <c r="BR22" i="20" a="1"/>
  <c r="BR22" i="20" s="1"/>
  <c r="BS7" i="20" a="1"/>
  <c r="BS7" i="20" s="1"/>
  <c r="BP7" i="20" a="1"/>
  <c r="BP7" i="20" s="1"/>
  <c r="BU7" i="20" a="1"/>
  <c r="BU7" i="20" s="1"/>
  <c r="BR7" i="20" a="1"/>
  <c r="BR7" i="20" s="1"/>
  <c r="BT7" i="20" a="1"/>
  <c r="BT7" i="20" s="1"/>
  <c r="BQ7" i="20" a="1"/>
  <c r="BQ7" i="20" s="1"/>
  <c r="BT11" i="20" a="1"/>
  <c r="BT11" i="20" s="1"/>
  <c r="BQ11" i="20" a="1"/>
  <c r="BQ11" i="20" s="1"/>
  <c r="BS11" i="20" a="1"/>
  <c r="BS11" i="20" s="1"/>
  <c r="BP11" i="20" a="1"/>
  <c r="BP11" i="20" s="1"/>
  <c r="BR11" i="20" a="1"/>
  <c r="BR11" i="20" s="1"/>
  <c r="BU11" i="20" a="1"/>
  <c r="BU11" i="20" s="1"/>
  <c r="BT22" i="20" a="1"/>
  <c r="BT22" i="20" s="1"/>
  <c r="BT15" i="20" a="1"/>
  <c r="BT15" i="20" s="1"/>
  <c r="BQ15" i="20" a="1"/>
  <c r="BQ15" i="20" s="1"/>
  <c r="BT14" i="20" a="1"/>
  <c r="BT14" i="20" s="1"/>
  <c r="BQ14" i="20" a="1"/>
  <c r="BQ14" i="20" s="1"/>
  <c r="BS15" i="20" a="1"/>
  <c r="BS15" i="20" s="1"/>
  <c r="BP15" i="20" a="1"/>
  <c r="BP15" i="20" s="1"/>
  <c r="BS14" i="20" a="1"/>
  <c r="BS14" i="20" s="1"/>
  <c r="BP14" i="20" a="1"/>
  <c r="BP14" i="20" s="1"/>
  <c r="BU14" i="20" a="1"/>
  <c r="BU14" i="20" s="1"/>
  <c r="BU15" i="20" a="1"/>
  <c r="BU15" i="20" s="1"/>
  <c r="BR14" i="20" a="1"/>
  <c r="BR14" i="20" s="1"/>
  <c r="BR15" i="20" a="1"/>
  <c r="BR15" i="20" s="1"/>
  <c r="BU32" i="20" a="1"/>
  <c r="BU32" i="20" s="1"/>
  <c r="BR32" i="20" a="1"/>
  <c r="BR32" i="20" s="1"/>
  <c r="BT32" i="20" a="1"/>
  <c r="BT32" i="20" s="1"/>
  <c r="BQ32" i="20" a="1"/>
  <c r="BQ32" i="20" s="1"/>
  <c r="BS32" i="20" a="1"/>
  <c r="BS32" i="20" s="1"/>
  <c r="BP32" i="20" a="1"/>
  <c r="BP32" i="20" s="1"/>
  <c r="BP16" i="20" a="1"/>
  <c r="BP16" i="20" s="1"/>
  <c r="BT5" i="20" a="1"/>
  <c r="BT5" i="20" s="1"/>
  <c r="BQ5" i="20" a="1"/>
  <c r="BQ5" i="20" s="1"/>
  <c r="BU4" i="20" a="1"/>
  <c r="BU4" i="20" s="1"/>
  <c r="BR4" i="20" a="1"/>
  <c r="BR4" i="20" s="1"/>
  <c r="BS5" i="20" a="1"/>
  <c r="BS5" i="20" s="1"/>
  <c r="BP5" i="20" a="1"/>
  <c r="BP5" i="20" s="1"/>
  <c r="BT4" i="20" a="1"/>
  <c r="BT4" i="20" s="1"/>
  <c r="BQ4" i="20" a="1"/>
  <c r="BQ4" i="20" s="1"/>
  <c r="BR5" i="20" a="1"/>
  <c r="BR5" i="20" s="1"/>
  <c r="BP4" i="20" a="1"/>
  <c r="BP4" i="20" s="1"/>
  <c r="BU5" i="20" a="1"/>
  <c r="BU5" i="20" s="1"/>
  <c r="BS4" i="20" a="1"/>
  <c r="BS4" i="20" s="1"/>
  <c r="BP22" i="20" a="1"/>
  <c r="BP22" i="20" s="1"/>
  <c r="BS20" i="20" a="1"/>
  <c r="BS20" i="20" s="1"/>
  <c r="BP20" i="20" a="1"/>
  <c r="BP20" i="20" s="1"/>
  <c r="BS19" i="20" a="1"/>
  <c r="BS19" i="20" s="1"/>
  <c r="BP19" i="20" a="1"/>
  <c r="BP19" i="20" s="1"/>
  <c r="BU20" i="20" a="1"/>
  <c r="BU20" i="20" s="1"/>
  <c r="BR20" i="20" a="1"/>
  <c r="BR20" i="20" s="1"/>
  <c r="BU19" i="20" a="1"/>
  <c r="BU19" i="20" s="1"/>
  <c r="BR19" i="20" a="1"/>
  <c r="BR19" i="20" s="1"/>
  <c r="BQ20" i="20" a="1"/>
  <c r="BQ20" i="20" s="1"/>
  <c r="BQ19" i="20" a="1"/>
  <c r="BQ19" i="20" s="1"/>
  <c r="BT19" i="20" a="1"/>
  <c r="BT19" i="20" s="1"/>
  <c r="BT20" i="20" a="1"/>
  <c r="BT20" i="20" s="1"/>
  <c r="BS6" i="20" a="1"/>
  <c r="BS6" i="20" s="1"/>
  <c r="BU17" i="20" a="1"/>
  <c r="BU17" i="20" s="1"/>
  <c r="BR17" i="20" a="1"/>
  <c r="BR17" i="20" s="1"/>
  <c r="BT17" i="20" a="1"/>
  <c r="BT17" i="20" s="1"/>
  <c r="BQ17" i="20" a="1"/>
  <c r="BQ17" i="20" s="1"/>
  <c r="BP17" i="20" a="1"/>
  <c r="BP17" i="20" s="1"/>
  <c r="BS17" i="20" a="1"/>
  <c r="BS17" i="20" s="1"/>
  <c r="BS16" i="20" a="1"/>
  <c r="BS16" i="20" s="1"/>
  <c r="BU22" i="20" a="1"/>
  <c r="BU22" i="20" s="1"/>
  <c r="BS22" i="20" a="1"/>
  <c r="BS22" i="20" s="1"/>
  <c r="BT12" i="20" a="1"/>
  <c r="BT12" i="20" s="1"/>
  <c r="BQ12" i="20" a="1"/>
  <c r="BQ12" i="20" s="1"/>
  <c r="BS12" i="20" a="1"/>
  <c r="BS12" i="20" s="1"/>
  <c r="BP12" i="20" a="1"/>
  <c r="BP12" i="20" s="1"/>
  <c r="BU12" i="20" a="1"/>
  <c r="BU12" i="20" s="1"/>
  <c r="BR12" i="20" a="1"/>
  <c r="BR12" i="20" s="1"/>
  <c r="BQ6" i="20" a="1"/>
  <c r="BQ6" i="20" s="1"/>
  <c r="BT31" i="20" a="1"/>
  <c r="BT31" i="20" s="1"/>
  <c r="BS25" i="20" a="1"/>
  <c r="BS25" i="20" s="1"/>
  <c r="BU25" i="20" a="1"/>
  <c r="BU25" i="20" s="1"/>
  <c r="BR25" i="20" a="1"/>
  <c r="BR25" i="20" s="1"/>
  <c r="BQ25" i="20" a="1"/>
  <c r="BQ25" i="20" s="1"/>
  <c r="BU24" i="20" a="1"/>
  <c r="BU24" i="20" s="1"/>
  <c r="BR24" i="20" a="1"/>
  <c r="BR24" i="20" s="1"/>
  <c r="BP25" i="20" a="1"/>
  <c r="BP25" i="20" s="1"/>
  <c r="BT24" i="20" a="1"/>
  <c r="BT24" i="20" s="1"/>
  <c r="BQ24" i="20" a="1"/>
  <c r="BQ24" i="20" s="1"/>
  <c r="BS24" i="20" a="1"/>
  <c r="BS24" i="20" s="1"/>
  <c r="BP24" i="20" a="1"/>
  <c r="BP24" i="20" s="1"/>
  <c r="BT25" i="20" a="1"/>
  <c r="BT25" i="20" s="1"/>
  <c r="BT26" i="20" a="1"/>
  <c r="BT26" i="20" s="1"/>
  <c r="BU6" i="20" a="1"/>
  <c r="BU6" i="20" s="1"/>
  <c r="BT6" i="20" a="1"/>
  <c r="BT6" i="20" s="1"/>
  <c r="BT16" i="20" a="1"/>
  <c r="BT16" i="20" s="1"/>
  <c r="BT10" i="20" a="1"/>
  <c r="BT10" i="20" s="1"/>
  <c r="BQ10" i="20" a="1"/>
  <c r="BQ10" i="20" s="1"/>
  <c r="BU9" i="20" a="1"/>
  <c r="BU9" i="20" s="1"/>
  <c r="BR9" i="20" a="1"/>
  <c r="BR9" i="20" s="1"/>
  <c r="BS10" i="20" a="1"/>
  <c r="BS10" i="20" s="1"/>
  <c r="BP10" i="20" a="1"/>
  <c r="BP10" i="20" s="1"/>
  <c r="BT9" i="20" a="1"/>
  <c r="BT9" i="20" s="1"/>
  <c r="BQ9" i="20" a="1"/>
  <c r="BQ9" i="20" s="1"/>
  <c r="BS9" i="20" a="1"/>
  <c r="BS9" i="20" s="1"/>
  <c r="BU10" i="20" a="1"/>
  <c r="BU10" i="20" s="1"/>
  <c r="BP9" i="20" a="1"/>
  <c r="BP9" i="20" s="1"/>
  <c r="BR10" i="20" a="1"/>
  <c r="BR10" i="20" s="1"/>
  <c r="BQ22" i="20" a="1"/>
  <c r="BQ22" i="20" s="1"/>
  <c r="BS27" i="20" a="1"/>
  <c r="BS27" i="20" s="1"/>
  <c r="BP27" i="20" a="1"/>
  <c r="BP27" i="20" s="1"/>
  <c r="BU27" i="20" a="1"/>
  <c r="BU27" i="20" s="1"/>
  <c r="BR27" i="20" a="1"/>
  <c r="BR27" i="20" s="1"/>
  <c r="BQ27" i="20" a="1"/>
  <c r="BQ27" i="20" s="1"/>
  <c r="BT27" i="20" a="1"/>
  <c r="BT27" i="20" s="1"/>
  <c r="BR26" i="20" a="1"/>
  <c r="BR26" i="20" s="1"/>
  <c r="BR6" i="20" a="1"/>
  <c r="BR6" i="20" s="1"/>
  <c r="BU30" i="20" a="1"/>
  <c r="BU30" i="20" s="1"/>
  <c r="BR30" i="20" a="1"/>
  <c r="BR30" i="20" s="1"/>
  <c r="BT29" i="20" a="1"/>
  <c r="BT29" i="20" s="1"/>
  <c r="BQ29" i="20" a="1"/>
  <c r="BQ29" i="20" s="1"/>
  <c r="BT30" i="20" a="1"/>
  <c r="BT30" i="20" s="1"/>
  <c r="BQ30" i="20" a="1"/>
  <c r="BQ30" i="20" s="1"/>
  <c r="BS29" i="20" a="1"/>
  <c r="BS29" i="20" s="1"/>
  <c r="BP29" i="20" a="1"/>
  <c r="BP29" i="20" s="1"/>
  <c r="BS30" i="20" a="1"/>
  <c r="BS30" i="20" s="1"/>
  <c r="BP30" i="20" a="1"/>
  <c r="BP30" i="20" s="1"/>
  <c r="BU29" i="20" a="1"/>
  <c r="BU29" i="20" s="1"/>
  <c r="BR29" i="20" a="1"/>
  <c r="BR29" i="20" s="1"/>
  <c r="BR31" i="20" a="1"/>
  <c r="BR31" i="20" s="1"/>
  <c r="BR16" i="20" a="1"/>
  <c r="BR16" i="20" s="1"/>
  <c r="BU15" i="19" a="1"/>
  <c r="BU15" i="19" s="1"/>
  <c r="BT29" i="19" a="1"/>
  <c r="BT29" i="19" s="1"/>
  <c r="BQ29" i="19" a="1"/>
  <c r="BQ29" i="19" s="1"/>
  <c r="BT30" i="19" a="1"/>
  <c r="BT30" i="19" s="1"/>
  <c r="BQ30" i="19" a="1"/>
  <c r="BQ30" i="19" s="1"/>
  <c r="BS29" i="19" a="1"/>
  <c r="BS29" i="19" s="1"/>
  <c r="BP29" i="19" a="1"/>
  <c r="BP29" i="19" s="1"/>
  <c r="BS30" i="19" a="1"/>
  <c r="BS30" i="19" s="1"/>
  <c r="BP30" i="19" a="1"/>
  <c r="BP30" i="19" s="1"/>
  <c r="BU29" i="19" a="1"/>
  <c r="BU29" i="19" s="1"/>
  <c r="BR30" i="19" a="1"/>
  <c r="BR30" i="19" s="1"/>
  <c r="BR29" i="19" a="1"/>
  <c r="BR29" i="19" s="1"/>
  <c r="BU30" i="19" a="1"/>
  <c r="BU30" i="19" s="1"/>
  <c r="BS12" i="19" a="1"/>
  <c r="BS12" i="19" s="1"/>
  <c r="BP12" i="19" a="1"/>
  <c r="BP12" i="19" s="1"/>
  <c r="BT12" i="19" a="1"/>
  <c r="BT12" i="19" s="1"/>
  <c r="BR12" i="19" a="1"/>
  <c r="BR12" i="19" s="1"/>
  <c r="BQ12" i="19" a="1"/>
  <c r="BQ12" i="19" s="1"/>
  <c r="BU12" i="19" a="1"/>
  <c r="BU12" i="19" s="1"/>
  <c r="BU26" i="19" a="1"/>
  <c r="BU26" i="19" s="1"/>
  <c r="BR26" i="19" a="1"/>
  <c r="BR26" i="19" s="1"/>
  <c r="BS26" i="19" a="1"/>
  <c r="BS26" i="19" s="1"/>
  <c r="BP26" i="19" a="1"/>
  <c r="BP26" i="19" s="1"/>
  <c r="BT26" i="19" a="1"/>
  <c r="BT26" i="19" s="1"/>
  <c r="BQ26" i="19" a="1"/>
  <c r="BQ26" i="19" s="1"/>
  <c r="BT17" i="19" a="1"/>
  <c r="BT17" i="19" s="1"/>
  <c r="BQ17" i="19" a="1"/>
  <c r="BQ17" i="19" s="1"/>
  <c r="BS17" i="19" a="1"/>
  <c r="BS17" i="19" s="1"/>
  <c r="BP17" i="19" a="1"/>
  <c r="BP17" i="19" s="1"/>
  <c r="BU17" i="19" a="1"/>
  <c r="BU17" i="19" s="1"/>
  <c r="BR17" i="19" a="1"/>
  <c r="BR17" i="19" s="1"/>
  <c r="BU7" i="19" a="1"/>
  <c r="BU7" i="19" s="1"/>
  <c r="BT22" i="19" a="1"/>
  <c r="BT22" i="19" s="1"/>
  <c r="BQ22" i="19" a="1"/>
  <c r="BQ22" i="19" s="1"/>
  <c r="BR22" i="19" a="1"/>
  <c r="BR22" i="19" s="1"/>
  <c r="BU22" i="19" a="1"/>
  <c r="BU22" i="19" s="1"/>
  <c r="BP22" i="19" a="1"/>
  <c r="BP22" i="19" s="1"/>
  <c r="BS22" i="19" a="1"/>
  <c r="BS22" i="19" s="1"/>
  <c r="BU16" i="19" a="1"/>
  <c r="BU16" i="19" s="1"/>
  <c r="BR16" i="19" a="1"/>
  <c r="BR16" i="19" s="1"/>
  <c r="BT16" i="19" a="1"/>
  <c r="BT16" i="19" s="1"/>
  <c r="BQ16" i="19" a="1"/>
  <c r="BQ16" i="19" s="1"/>
  <c r="BP16" i="19" a="1"/>
  <c r="BP16" i="19" s="1"/>
  <c r="BS16" i="19" a="1"/>
  <c r="BS16" i="19" s="1"/>
  <c r="BS31" i="19" a="1"/>
  <c r="BS31" i="19" s="1"/>
  <c r="BT14" i="19" a="1"/>
  <c r="BT14" i="19" s="1"/>
  <c r="BP14" i="19" a="1"/>
  <c r="BP14" i="19" s="1"/>
  <c r="BU9" i="19" a="1"/>
  <c r="BU9" i="19" s="1"/>
  <c r="BR9" i="19" a="1"/>
  <c r="BR9" i="19" s="1"/>
  <c r="BS10" i="19" a="1"/>
  <c r="BS10" i="19" s="1"/>
  <c r="BP10" i="19" a="1"/>
  <c r="BP10" i="19" s="1"/>
  <c r="BU10" i="19" a="1"/>
  <c r="BU10" i="19" s="1"/>
  <c r="BR10" i="19" a="1"/>
  <c r="BR10" i="19" s="1"/>
  <c r="BS9" i="19" a="1"/>
  <c r="BS9" i="19" s="1"/>
  <c r="BP9" i="19" a="1"/>
  <c r="BP9" i="19" s="1"/>
  <c r="BT10" i="19" a="1"/>
  <c r="BT10" i="19" s="1"/>
  <c r="BQ9" i="19" a="1"/>
  <c r="BQ9" i="19" s="1"/>
  <c r="BQ10" i="19" a="1"/>
  <c r="BQ10" i="19" s="1"/>
  <c r="BT9" i="19" a="1"/>
  <c r="BT9" i="19" s="1"/>
  <c r="BT11" i="19" a="1"/>
  <c r="BT11" i="19" s="1"/>
  <c r="BU25" i="19" a="1"/>
  <c r="BU25" i="19" s="1"/>
  <c r="BR25" i="19" a="1"/>
  <c r="BR25" i="19" s="1"/>
  <c r="BS25" i="19" a="1"/>
  <c r="BS25" i="19" s="1"/>
  <c r="BP25" i="19" a="1"/>
  <c r="BP25" i="19" s="1"/>
  <c r="BT25" i="19" a="1"/>
  <c r="BT25" i="19" s="1"/>
  <c r="BR24" i="19" a="1"/>
  <c r="BR24" i="19" s="1"/>
  <c r="BT24" i="19" a="1"/>
  <c r="BT24" i="19" s="1"/>
  <c r="BQ25" i="19" a="1"/>
  <c r="BQ25" i="19" s="1"/>
  <c r="BP24" i="19" a="1"/>
  <c r="BP24" i="19" s="1"/>
  <c r="BU24" i="19" a="1"/>
  <c r="BU24" i="19" s="1"/>
  <c r="BS24" i="19" a="1"/>
  <c r="BS24" i="19" s="1"/>
  <c r="BQ24" i="19" a="1"/>
  <c r="BQ24" i="19" s="1"/>
  <c r="BQ15" i="19" a="1"/>
  <c r="BQ15" i="19" s="1"/>
  <c r="BS7" i="19" a="1"/>
  <c r="BS7" i="19" s="1"/>
  <c r="BP31" i="19" a="1"/>
  <c r="BP31" i="19" s="1"/>
  <c r="BU5" i="19" a="1"/>
  <c r="BU5" i="19" s="1"/>
  <c r="BR5" i="19" a="1"/>
  <c r="BR5" i="19" s="1"/>
  <c r="BS4" i="19" a="1"/>
  <c r="BS4" i="19" s="1"/>
  <c r="BP4" i="19" a="1"/>
  <c r="BP4" i="19" s="1"/>
  <c r="BT5" i="19" a="1"/>
  <c r="BT5" i="19" s="1"/>
  <c r="BQ5" i="19" a="1"/>
  <c r="BQ5" i="19" s="1"/>
  <c r="BU4" i="19" a="1"/>
  <c r="BU4" i="19" s="1"/>
  <c r="BR4" i="19" a="1"/>
  <c r="BR4" i="19" s="1"/>
  <c r="BS5" i="19" a="1"/>
  <c r="BS5" i="19" s="1"/>
  <c r="BP5" i="19" a="1"/>
  <c r="BP5" i="19" s="1"/>
  <c r="BT4" i="19" a="1"/>
  <c r="BT4" i="19" s="1"/>
  <c r="BQ4" i="19" a="1"/>
  <c r="BQ4" i="19" s="1"/>
  <c r="BP11" i="19" a="1"/>
  <c r="BP11" i="19" s="1"/>
  <c r="BU11" i="19" a="1"/>
  <c r="BU11" i="19" s="1"/>
  <c r="BP7" i="19" a="1"/>
  <c r="BP7" i="19" s="1"/>
  <c r="BT32" i="19" a="1"/>
  <c r="BT32" i="19" s="1"/>
  <c r="BQ32" i="19" a="1"/>
  <c r="BQ32" i="19" s="1"/>
  <c r="BS32" i="19" a="1"/>
  <c r="BS32" i="19" s="1"/>
  <c r="BP32" i="19" a="1"/>
  <c r="BP32" i="19" s="1"/>
  <c r="BR32" i="19" a="1"/>
  <c r="BR32" i="19" s="1"/>
  <c r="BU32" i="19" a="1"/>
  <c r="BU32" i="19" s="1"/>
  <c r="BU20" i="19" a="1"/>
  <c r="BU20" i="19" s="1"/>
  <c r="BR20" i="19" a="1"/>
  <c r="BR20" i="19" s="1"/>
  <c r="BU19" i="19" a="1"/>
  <c r="BU19" i="19" s="1"/>
  <c r="BR19" i="19" a="1"/>
  <c r="BR19" i="19" s="1"/>
  <c r="BS20" i="19" a="1"/>
  <c r="BS20" i="19" s="1"/>
  <c r="BQ20" i="19" a="1"/>
  <c r="BQ20" i="19" s="1"/>
  <c r="BS19" i="19" a="1"/>
  <c r="BS19" i="19" s="1"/>
  <c r="BP20" i="19" a="1"/>
  <c r="BP20" i="19" s="1"/>
  <c r="BQ19" i="19" a="1"/>
  <c r="BQ19" i="19" s="1"/>
  <c r="BT20" i="19" a="1"/>
  <c r="BT20" i="19" s="1"/>
  <c r="BT19" i="19" a="1"/>
  <c r="BT19" i="19" s="1"/>
  <c r="BP19" i="19" a="1"/>
  <c r="BP19" i="19" s="1"/>
  <c r="BQ31" i="19" a="1"/>
  <c r="BQ31" i="19" s="1"/>
  <c r="BR14" i="19" a="1"/>
  <c r="BR14" i="19" s="1"/>
  <c r="BS14" i="19" a="1"/>
  <c r="BS14" i="19" s="1"/>
  <c r="BT27" i="19" a="1"/>
  <c r="BT27" i="19" s="1"/>
  <c r="BQ27" i="19" a="1"/>
  <c r="BQ27" i="19" s="1"/>
  <c r="BP27" i="19" a="1"/>
  <c r="BP27" i="19" s="1"/>
  <c r="BS27" i="19" a="1"/>
  <c r="BS27" i="19" s="1"/>
  <c r="BR27" i="19" a="1"/>
  <c r="BR27" i="19" s="1"/>
  <c r="BU27" i="19" a="1"/>
  <c r="BU27" i="19" s="1"/>
  <c r="BS11" i="19" a="1"/>
  <c r="BS11" i="19" s="1"/>
  <c r="BS21" i="19" a="1"/>
  <c r="BS21" i="19" s="1"/>
  <c r="BP21" i="19" a="1"/>
  <c r="BP21" i="19" s="1"/>
  <c r="BU21" i="19" a="1"/>
  <c r="BU21" i="19" s="1"/>
  <c r="BR21" i="19" a="1"/>
  <c r="BR21" i="19" s="1"/>
  <c r="BT21" i="19" a="1"/>
  <c r="BT21" i="19" s="1"/>
  <c r="BQ21" i="19" a="1"/>
  <c r="BQ21" i="19" s="1"/>
  <c r="BT31" i="19" a="1"/>
  <c r="BT31" i="19" s="1"/>
  <c r="BU14" i="19" a="1"/>
  <c r="BU14" i="19" s="1"/>
  <c r="BP15" i="19" a="1"/>
  <c r="BP15" i="19" s="1"/>
  <c r="BQ11" i="19" a="1"/>
  <c r="BQ11" i="19" s="1"/>
  <c r="BR7" i="19" a="1"/>
  <c r="BR7" i="19" s="1"/>
  <c r="BT7" i="19" a="1"/>
  <c r="BT7" i="19" s="1"/>
  <c r="BU6" i="19" a="1"/>
  <c r="BU6" i="19" s="1"/>
  <c r="BR6" i="19" a="1"/>
  <c r="BR6" i="19" s="1"/>
  <c r="BQ6" i="19" a="1"/>
  <c r="BQ6" i="19" s="1"/>
  <c r="BT6" i="19" a="1"/>
  <c r="BT6" i="19" s="1"/>
  <c r="BP6" i="19" a="1"/>
  <c r="BP6" i="19" s="1"/>
  <c r="BS6" i="19" a="1"/>
  <c r="BS6" i="19" s="1"/>
  <c r="BU31" i="19" a="1"/>
  <c r="BU31" i="19" s="1"/>
  <c r="BT15" i="19" a="1"/>
  <c r="BT15" i="19" s="1"/>
  <c r="BR15" i="19" a="1"/>
  <c r="BR15" i="19" s="1"/>
  <c r="BS15" i="19" a="1"/>
  <c r="BS15" i="19" s="1"/>
  <c r="W54" i="6"/>
  <c r="X54" i="6"/>
  <c r="Y54" i="6"/>
  <c r="Z54" i="6"/>
  <c r="W41" i="6"/>
  <c r="X41" i="6"/>
  <c r="Y41" i="6"/>
  <c r="Z41" i="6"/>
  <c r="W42" i="6"/>
  <c r="X42" i="6"/>
  <c r="Y42" i="6"/>
  <c r="Z42" i="6"/>
  <c r="W43" i="6"/>
  <c r="X43" i="6"/>
  <c r="Y43" i="6"/>
  <c r="Z43" i="6"/>
  <c r="W44" i="6"/>
  <c r="X44" i="6"/>
  <c r="Y44" i="6"/>
  <c r="Z44" i="6"/>
  <c r="W45" i="6"/>
  <c r="X45" i="6"/>
  <c r="Y45" i="6"/>
  <c r="Z45" i="6"/>
  <c r="W46" i="6"/>
  <c r="X46" i="6"/>
  <c r="Y46" i="6"/>
  <c r="Z46" i="6"/>
  <c r="W47" i="6"/>
  <c r="X47" i="6"/>
  <c r="Y47" i="6"/>
  <c r="Z47" i="6"/>
  <c r="W48" i="6"/>
  <c r="X48" i="6"/>
  <c r="Y48" i="6"/>
  <c r="Z48" i="6"/>
  <c r="W49" i="6"/>
  <c r="X49" i="6"/>
  <c r="Y49" i="6"/>
  <c r="Z49" i="6"/>
  <c r="W50" i="6"/>
  <c r="X50" i="6"/>
  <c r="Y50" i="6"/>
  <c r="Z50" i="6"/>
  <c r="W51" i="6"/>
  <c r="X51" i="6"/>
  <c r="Y51" i="6"/>
  <c r="Z51" i="6"/>
  <c r="W52" i="6"/>
  <c r="X52" i="6"/>
  <c r="Y52" i="6"/>
  <c r="Z52" i="6"/>
  <c r="W53" i="6"/>
  <c r="X53" i="6"/>
  <c r="Y53" i="6"/>
  <c r="Z53" i="6"/>
  <c r="Z40" i="6"/>
  <c r="Y40" i="6"/>
  <c r="X40" i="6"/>
  <c r="W40" i="6"/>
  <c r="Q53" i="16" l="1"/>
  <c r="Q53" i="19"/>
  <c r="Q53" i="21"/>
  <c r="Q53" i="20"/>
  <c r="Q53" i="22"/>
  <c r="Q50" i="21"/>
  <c r="Q50" i="20"/>
  <c r="Q50" i="22"/>
  <c r="Q50" i="16"/>
  <c r="Q50" i="19"/>
  <c r="Q51" i="19"/>
  <c r="Q51" i="20"/>
  <c r="Q51" i="16"/>
  <c r="Q51" i="21"/>
  <c r="Q51" i="22"/>
  <c r="Q48" i="21"/>
  <c r="Q48" i="22"/>
  <c r="Q48" i="19"/>
  <c r="Q48" i="20"/>
  <c r="Q48" i="16"/>
  <c r="Q45" i="22"/>
  <c r="Q45" i="19"/>
  <c r="Q45" i="20"/>
  <c r="Q45" i="21"/>
  <c r="Q45" i="16"/>
  <c r="Q42" i="20"/>
  <c r="Q42" i="22"/>
  <c r="Q42" i="19"/>
  <c r="Q42" i="21"/>
  <c r="Q42" i="16"/>
  <c r="Q47" i="20"/>
  <c r="Q47" i="21"/>
  <c r="Q47" i="22"/>
  <c r="Q47" i="16"/>
  <c r="Q47" i="19"/>
  <c r="Q44" i="21"/>
  <c r="Q44" i="20"/>
  <c r="Q44" i="19"/>
  <c r="Q44" i="22"/>
  <c r="Q44" i="16"/>
  <c r="Q41" i="19"/>
  <c r="Q41" i="21"/>
  <c r="Q41" i="20"/>
  <c r="Q41" i="22"/>
  <c r="Q41" i="16"/>
  <c r="Q40" i="16"/>
  <c r="Q40" i="20"/>
  <c r="Q40" i="22"/>
  <c r="Q40" i="21"/>
  <c r="Q40" i="19"/>
  <c r="Q52" i="16"/>
  <c r="Q52" i="21"/>
  <c r="Q52" i="20"/>
  <c r="Q52" i="19"/>
  <c r="Q52" i="22"/>
  <c r="Q49" i="16"/>
  <c r="Q49" i="19"/>
  <c r="Q49" i="22"/>
  <c r="Q49" i="21"/>
  <c r="Q49" i="20"/>
  <c r="Q46" i="21"/>
  <c r="Q46" i="20"/>
  <c r="Q46" i="16"/>
  <c r="Q46" i="22"/>
  <c r="Q46" i="19"/>
  <c r="Q43" i="16"/>
  <c r="Q43" i="19"/>
  <c r="Q43" i="20"/>
  <c r="Q43" i="21"/>
  <c r="Q43" i="22"/>
  <c r="Q54" i="21"/>
  <c r="Q54" i="20"/>
  <c r="Q54" i="22"/>
  <c r="Q54" i="16"/>
  <c r="Q54" i="19"/>
  <c r="BX14" i="22"/>
  <c r="BY14" i="22" s="1"/>
  <c r="BX15" i="21"/>
  <c r="BY15" i="21" s="1"/>
  <c r="BX16" i="22"/>
  <c r="BY16" i="22" s="1"/>
  <c r="BX27" i="22"/>
  <c r="BY27" i="22" s="1"/>
  <c r="BX29" i="21"/>
  <c r="BY29" i="21" s="1"/>
  <c r="BX22" i="21"/>
  <c r="BY22" i="21" s="1"/>
  <c r="BX4" i="21"/>
  <c r="BY4" i="21" s="1"/>
  <c r="BX31" i="21"/>
  <c r="BY31" i="21" s="1"/>
  <c r="BX32" i="22"/>
  <c r="BY32" i="22" s="1"/>
  <c r="BX6" i="22"/>
  <c r="BY6" i="22" s="1"/>
  <c r="BX17" i="22"/>
  <c r="BY17" i="22" s="1"/>
  <c r="BX30" i="22"/>
  <c r="BY30" i="22" s="1"/>
  <c r="BX11" i="22"/>
  <c r="BY11" i="22" s="1"/>
  <c r="BX21" i="22"/>
  <c r="BY21" i="22" s="1"/>
  <c r="BX12" i="22"/>
  <c r="BY12" i="22" s="1"/>
  <c r="BX19" i="22"/>
  <c r="BY19" i="22" s="1"/>
  <c r="BX24" i="22"/>
  <c r="BY24" i="22" s="1"/>
  <c r="BX9" i="22"/>
  <c r="BY9" i="22" s="1"/>
  <c r="BX22" i="22"/>
  <c r="BY22" i="22" s="1"/>
  <c r="BX20" i="22"/>
  <c r="BY20" i="22" s="1"/>
  <c r="BX15" i="22"/>
  <c r="BY15" i="22" s="1"/>
  <c r="BX5" i="22"/>
  <c r="BY5" i="22" s="1"/>
  <c r="BX25" i="22"/>
  <c r="BY25" i="22" s="1"/>
  <c r="BX31" i="22"/>
  <c r="BY31" i="22" s="1"/>
  <c r="BX29" i="22"/>
  <c r="BY29" i="22" s="1"/>
  <c r="BX26" i="22"/>
  <c r="BY26" i="22" s="1"/>
  <c r="BX4" i="22"/>
  <c r="BY4" i="22" s="1"/>
  <c r="BX10" i="22"/>
  <c r="BY10" i="22" s="1"/>
  <c r="BX7" i="22"/>
  <c r="BY7" i="22" s="1"/>
  <c r="BX32" i="21"/>
  <c r="BY32" i="21" s="1"/>
  <c r="BX31" i="20"/>
  <c r="BY31" i="20" s="1"/>
  <c r="BX25" i="21"/>
  <c r="BY25" i="21" s="1"/>
  <c r="BX6" i="21"/>
  <c r="BY6" i="21" s="1"/>
  <c r="BX20" i="21"/>
  <c r="BY20" i="21" s="1"/>
  <c r="BX30" i="21"/>
  <c r="BY30" i="21" s="1"/>
  <c r="BX7" i="21"/>
  <c r="BY7" i="21" s="1"/>
  <c r="BX19" i="21"/>
  <c r="BY19" i="21" s="1"/>
  <c r="BX11" i="21"/>
  <c r="BY11" i="21" s="1"/>
  <c r="BX12" i="21"/>
  <c r="BY12" i="21" s="1"/>
  <c r="BX16" i="21"/>
  <c r="BY16" i="21" s="1"/>
  <c r="BX10" i="21"/>
  <c r="BY10" i="21" s="1"/>
  <c r="BX9" i="21"/>
  <c r="BY9" i="21" s="1"/>
  <c r="BX26" i="21"/>
  <c r="BY26" i="21" s="1"/>
  <c r="BX27" i="21"/>
  <c r="BY27" i="21" s="1"/>
  <c r="BX21" i="21"/>
  <c r="BY21" i="21" s="1"/>
  <c r="BX14" i="21"/>
  <c r="BY14" i="21" s="1"/>
  <c r="BX17" i="21"/>
  <c r="BY17" i="21" s="1"/>
  <c r="BX5" i="21"/>
  <c r="BY5" i="21" s="1"/>
  <c r="BX24" i="21"/>
  <c r="BY24" i="21" s="1"/>
  <c r="BX26" i="20"/>
  <c r="BY26" i="20" s="1"/>
  <c r="BX11" i="20"/>
  <c r="BY11" i="20" s="1"/>
  <c r="BX6" i="20"/>
  <c r="BY6" i="20" s="1"/>
  <c r="BX15" i="20"/>
  <c r="BY15" i="20" s="1"/>
  <c r="BX30" i="20"/>
  <c r="BY30" i="20" s="1"/>
  <c r="BX17" i="20"/>
  <c r="BY17" i="20" s="1"/>
  <c r="BX20" i="20"/>
  <c r="BY20" i="20" s="1"/>
  <c r="BX32" i="20"/>
  <c r="BY32" i="20" s="1"/>
  <c r="BX7" i="20"/>
  <c r="BY7" i="20" s="1"/>
  <c r="BX19" i="20"/>
  <c r="BY19" i="20" s="1"/>
  <c r="BX27" i="20"/>
  <c r="BY27" i="20" s="1"/>
  <c r="BX4" i="20"/>
  <c r="BY4" i="20" s="1"/>
  <c r="BX14" i="20"/>
  <c r="BY14" i="20" s="1"/>
  <c r="BX21" i="20"/>
  <c r="BY21" i="20" s="1"/>
  <c r="BX29" i="20"/>
  <c r="BY29" i="20" s="1"/>
  <c r="BX25" i="20"/>
  <c r="BY25" i="20" s="1"/>
  <c r="BX22" i="20"/>
  <c r="BY22" i="20" s="1"/>
  <c r="BX24" i="20"/>
  <c r="BY24" i="20" s="1"/>
  <c r="BX12" i="20"/>
  <c r="BY12" i="20" s="1"/>
  <c r="BX9" i="20"/>
  <c r="BY9" i="20" s="1"/>
  <c r="BX10" i="20"/>
  <c r="BY10" i="20" s="1"/>
  <c r="BX5" i="20"/>
  <c r="BY5" i="20" s="1"/>
  <c r="BX16" i="20"/>
  <c r="BY16" i="20" s="1"/>
  <c r="BX24" i="19"/>
  <c r="BY24" i="19" s="1"/>
  <c r="BX7" i="19"/>
  <c r="BY7" i="19" s="1"/>
  <c r="BX14" i="19"/>
  <c r="BY14" i="19" s="1"/>
  <c r="BX5" i="19"/>
  <c r="BY5" i="19" s="1"/>
  <c r="BX4" i="19"/>
  <c r="BY4" i="19" s="1"/>
  <c r="BX22" i="19"/>
  <c r="BY22" i="19" s="1"/>
  <c r="BX10" i="19"/>
  <c r="BY10" i="19" s="1"/>
  <c r="BX15" i="19"/>
  <c r="BY15" i="19" s="1"/>
  <c r="BX32" i="19"/>
  <c r="BY32" i="19" s="1"/>
  <c r="BX12" i="19"/>
  <c r="BY12" i="19" s="1"/>
  <c r="BX30" i="19"/>
  <c r="BY30" i="19" s="1"/>
  <c r="BX20" i="19"/>
  <c r="BY20" i="19" s="1"/>
  <c r="BX11" i="19"/>
  <c r="BY11" i="19" s="1"/>
  <c r="BX9" i="19"/>
  <c r="BY9" i="19" s="1"/>
  <c r="BX17" i="19"/>
  <c r="BY17" i="19" s="1"/>
  <c r="BX21" i="19"/>
  <c r="BY21" i="19" s="1"/>
  <c r="BX29" i="19"/>
  <c r="BY29" i="19" s="1"/>
  <c r="BX6" i="19"/>
  <c r="BY6" i="19" s="1"/>
  <c r="BX27" i="19"/>
  <c r="BY27" i="19" s="1"/>
  <c r="BX19" i="19"/>
  <c r="BY19" i="19" s="1"/>
  <c r="BX31" i="19"/>
  <c r="BY31" i="19" s="1"/>
  <c r="BX25" i="19"/>
  <c r="BY25" i="19" s="1"/>
  <c r="BX16" i="19"/>
  <c r="BY16" i="19" s="1"/>
  <c r="BX26" i="19"/>
  <c r="BY26" i="19" s="1"/>
  <c r="Q40" i="6"/>
  <c r="R40" i="6"/>
  <c r="Q41" i="6"/>
  <c r="R41" i="6"/>
  <c r="Q42" i="6"/>
  <c r="R42" i="6"/>
  <c r="Q43" i="6"/>
  <c r="R43" i="6"/>
  <c r="Q44" i="6"/>
  <c r="R44" i="6"/>
  <c r="Q45" i="6"/>
  <c r="R45" i="6"/>
  <c r="Q46" i="6"/>
  <c r="R46" i="6"/>
  <c r="Q47" i="6"/>
  <c r="R47" i="6"/>
  <c r="Q48" i="6"/>
  <c r="R48" i="6"/>
  <c r="Q49" i="6"/>
  <c r="R49" i="6"/>
  <c r="Q50" i="6"/>
  <c r="R50" i="6"/>
  <c r="Q51" i="6"/>
  <c r="R51" i="6"/>
  <c r="GR12" i="6"/>
  <c r="GR13" i="6"/>
  <c r="GR14" i="6"/>
  <c r="GR15" i="6"/>
  <c r="GR16" i="6"/>
  <c r="GR17" i="6"/>
  <c r="GR18" i="6"/>
  <c r="GR19" i="6"/>
  <c r="GR6" i="6"/>
  <c r="GR7" i="6"/>
  <c r="GR8" i="6"/>
  <c r="GR9" i="6"/>
  <c r="GR10" i="6"/>
  <c r="GR11" i="6"/>
  <c r="BC32" i="6"/>
  <c r="BC31" i="6"/>
  <c r="BC30" i="6"/>
  <c r="BC29" i="6"/>
  <c r="BC28" i="6"/>
  <c r="BC27" i="6"/>
  <c r="BC26" i="6"/>
  <c r="BC25" i="6"/>
  <c r="BC24" i="6"/>
  <c r="BC23" i="6"/>
  <c r="BC22" i="6"/>
  <c r="BC21" i="6"/>
  <c r="BC20" i="6"/>
  <c r="BC19" i="6"/>
  <c r="BC18" i="6"/>
  <c r="BC17" i="6"/>
  <c r="BC16" i="6"/>
  <c r="BC15" i="6"/>
  <c r="BC14" i="6"/>
  <c r="BC13" i="6"/>
  <c r="BC12" i="6"/>
  <c r="BC11" i="6"/>
  <c r="BC10" i="6"/>
  <c r="BC9" i="6"/>
  <c r="BC8" i="6"/>
  <c r="BC7" i="6"/>
  <c r="BC6" i="6"/>
  <c r="BC5" i="6"/>
  <c r="BC4" i="6"/>
  <c r="BL7" i="22" l="1"/>
  <c r="BN7" i="22" s="1"/>
  <c r="BL30" i="22"/>
  <c r="BN30" i="22" s="1"/>
  <c r="BL15" i="22"/>
  <c r="BN15" i="22" s="1"/>
  <c r="BL32" i="22"/>
  <c r="BN32" i="22" s="1"/>
  <c r="BL31" i="22"/>
  <c r="BN31" i="22" s="1"/>
  <c r="BL9" i="22"/>
  <c r="BN9" i="22" s="1"/>
  <c r="BL20" i="21"/>
  <c r="BN20" i="21" s="1"/>
  <c r="BL30" i="21"/>
  <c r="BN30" i="21" s="1"/>
  <c r="BL26" i="22"/>
  <c r="BN26" i="22" s="1"/>
  <c r="BL21" i="22"/>
  <c r="BN21" i="22" s="1"/>
  <c r="BL16" i="22"/>
  <c r="BN16" i="22" s="1"/>
  <c r="BL12" i="22"/>
  <c r="BN12" i="22" s="1"/>
  <c r="BL10" i="22"/>
  <c r="BN10" i="22" s="1"/>
  <c r="BL25" i="22"/>
  <c r="BN25" i="22" s="1"/>
  <c r="BL4" i="22"/>
  <c r="BN4" i="22" s="1"/>
  <c r="BL5" i="22"/>
  <c r="BN5" i="22" s="1"/>
  <c r="BL22" i="22"/>
  <c r="BN22" i="22" s="1"/>
  <c r="BL11" i="22"/>
  <c r="BN11" i="22" s="1"/>
  <c r="BL29" i="22"/>
  <c r="BN29" i="22" s="1"/>
  <c r="BL27" i="22"/>
  <c r="BN27" i="22" s="1"/>
  <c r="BL24" i="22"/>
  <c r="BN24" i="22" s="1"/>
  <c r="BL17" i="22"/>
  <c r="BN17" i="22" s="1"/>
  <c r="BL6" i="22"/>
  <c r="BN6" i="22" s="1"/>
  <c r="BL20" i="22"/>
  <c r="BN20" i="22" s="1"/>
  <c r="BL19" i="22"/>
  <c r="BN19" i="22" s="1"/>
  <c r="BL14" i="22"/>
  <c r="BN14" i="22" s="1"/>
  <c r="BL14" i="21"/>
  <c r="BN14" i="21" s="1"/>
  <c r="BL21" i="21"/>
  <c r="BN21" i="21" s="1"/>
  <c r="BL24" i="20"/>
  <c r="BN24" i="20" s="1"/>
  <c r="BL24" i="21"/>
  <c r="BN24" i="21" s="1"/>
  <c r="BL29" i="21"/>
  <c r="BN29" i="21" s="1"/>
  <c r="BL12" i="21"/>
  <c r="BN12" i="21" s="1"/>
  <c r="BL32" i="21"/>
  <c r="BN32" i="21" s="1"/>
  <c r="BL7" i="21"/>
  <c r="BN7" i="21" s="1"/>
  <c r="BL5" i="21"/>
  <c r="BN5" i="21" s="1"/>
  <c r="BL26" i="21"/>
  <c r="BN26" i="21" s="1"/>
  <c r="BL11" i="21"/>
  <c r="BN11" i="21" s="1"/>
  <c r="BL6" i="21"/>
  <c r="BN6" i="21" s="1"/>
  <c r="BL17" i="21"/>
  <c r="BN17" i="21" s="1"/>
  <c r="BL9" i="21"/>
  <c r="BN9" i="21" s="1"/>
  <c r="BL19" i="21"/>
  <c r="BN19" i="21" s="1"/>
  <c r="BL22" i="21"/>
  <c r="BN22" i="21" s="1"/>
  <c r="BL10" i="21"/>
  <c r="BN10" i="21" s="1"/>
  <c r="BL16" i="21"/>
  <c r="BN16" i="21" s="1"/>
  <c r="BL15" i="21"/>
  <c r="BN15" i="21" s="1"/>
  <c r="BL27" i="21"/>
  <c r="BN27" i="21" s="1"/>
  <c r="BL31" i="21"/>
  <c r="BN31" i="21" s="1"/>
  <c r="BL4" i="21"/>
  <c r="BN4" i="21" s="1"/>
  <c r="BL25" i="21"/>
  <c r="BN25" i="21" s="1"/>
  <c r="BL22" i="20"/>
  <c r="BN22" i="20" s="1"/>
  <c r="BL15" i="20"/>
  <c r="BN15" i="20" s="1"/>
  <c r="BL9" i="20"/>
  <c r="BN9" i="20" s="1"/>
  <c r="BL16" i="20"/>
  <c r="BN16" i="20" s="1"/>
  <c r="BL29" i="20"/>
  <c r="BN29" i="20" s="1"/>
  <c r="BL7" i="20"/>
  <c r="BN7" i="20" s="1"/>
  <c r="BL17" i="20"/>
  <c r="BN17" i="20" s="1"/>
  <c r="BL5" i="20"/>
  <c r="BN5" i="20" s="1"/>
  <c r="BL25" i="20"/>
  <c r="BN25" i="20" s="1"/>
  <c r="BL27" i="20"/>
  <c r="BN27" i="20" s="1"/>
  <c r="BL30" i="20"/>
  <c r="BN30" i="20" s="1"/>
  <c r="BL4" i="20"/>
  <c r="BN4" i="20" s="1"/>
  <c r="BL10" i="20"/>
  <c r="BN10" i="20" s="1"/>
  <c r="BL11" i="20"/>
  <c r="BN11" i="20" s="1"/>
  <c r="BL19" i="20"/>
  <c r="BN19" i="20" s="1"/>
  <c r="BL31" i="20"/>
  <c r="BN31" i="20" s="1"/>
  <c r="BL12" i="20"/>
  <c r="BN12" i="20" s="1"/>
  <c r="BL21" i="20"/>
  <c r="BN21" i="20" s="1"/>
  <c r="BL32" i="20"/>
  <c r="BN32" i="20" s="1"/>
  <c r="BL6" i="20"/>
  <c r="BN6" i="20" s="1"/>
  <c r="BL14" i="20"/>
  <c r="BN14" i="20" s="1"/>
  <c r="BL20" i="20"/>
  <c r="BN20" i="20" s="1"/>
  <c r="BL26" i="20"/>
  <c r="BN26" i="20" s="1"/>
  <c r="BL22" i="19"/>
  <c r="BN22" i="19" s="1"/>
  <c r="BL24" i="19"/>
  <c r="BN24" i="19" s="1"/>
  <c r="BL4" i="19"/>
  <c r="BN4" i="19" s="1"/>
  <c r="AV6" i="19" s="1"/>
  <c r="BL6" i="19"/>
  <c r="BN6" i="19" s="1"/>
  <c r="BL5" i="19"/>
  <c r="BN5" i="19" s="1"/>
  <c r="BL31" i="19"/>
  <c r="BN31" i="19" s="1"/>
  <c r="BL19" i="19"/>
  <c r="BN19" i="19" s="1"/>
  <c r="BL17" i="19"/>
  <c r="BN17" i="19" s="1"/>
  <c r="BL27" i="19"/>
  <c r="BN27" i="19" s="1"/>
  <c r="BL9" i="19"/>
  <c r="BN9" i="19" s="1"/>
  <c r="BL30" i="19"/>
  <c r="BN30" i="19" s="1"/>
  <c r="BL12" i="19"/>
  <c r="BN12" i="19" s="1"/>
  <c r="BL26" i="19"/>
  <c r="BN26" i="19" s="1"/>
  <c r="BL11" i="19"/>
  <c r="BN11" i="19" s="1"/>
  <c r="BL32" i="19"/>
  <c r="BN32" i="19" s="1"/>
  <c r="BL16" i="19"/>
  <c r="BN16" i="19" s="1"/>
  <c r="BL29" i="19"/>
  <c r="BN29" i="19" s="1"/>
  <c r="BL20" i="19"/>
  <c r="BN20" i="19" s="1"/>
  <c r="BL15" i="19"/>
  <c r="BN15" i="19" s="1"/>
  <c r="BL25" i="19"/>
  <c r="BN25" i="19" s="1"/>
  <c r="BL21" i="19"/>
  <c r="BN21" i="19" s="1"/>
  <c r="BL7" i="19"/>
  <c r="BN7" i="19" s="1"/>
  <c r="BL10" i="19"/>
  <c r="BN10" i="19" s="1"/>
  <c r="BL14" i="19"/>
  <c r="BN14" i="19" s="1"/>
  <c r="AA47" i="6"/>
  <c r="AA51" i="6"/>
  <c r="AA48" i="6"/>
  <c r="AA45" i="6"/>
  <c r="AA41" i="6"/>
  <c r="AB41" i="6"/>
  <c r="AA50" i="6"/>
  <c r="AA44" i="6"/>
  <c r="AA49" i="6"/>
  <c r="AA46" i="6"/>
  <c r="AA43" i="6"/>
  <c r="AA40" i="6"/>
  <c r="AA42" i="6"/>
  <c r="AB47" i="6"/>
  <c r="AB49" i="6"/>
  <c r="AB46" i="6"/>
  <c r="AB43" i="6"/>
  <c r="AB40" i="6"/>
  <c r="N40" i="16" s="1"/>
  <c r="AB50" i="6"/>
  <c r="AB44" i="6"/>
  <c r="AB51" i="6"/>
  <c r="AB48" i="6"/>
  <c r="AB45" i="6"/>
  <c r="AB42" i="6"/>
  <c r="M43" i="19" l="1"/>
  <c r="M43" i="20"/>
  <c r="M43" i="21"/>
  <c r="M43" i="22"/>
  <c r="M41" i="19"/>
  <c r="M41" i="20"/>
  <c r="M41" i="22"/>
  <c r="M41" i="21"/>
  <c r="M46" i="22"/>
  <c r="M46" i="19"/>
  <c r="M46" i="21"/>
  <c r="M46" i="20"/>
  <c r="M45" i="22"/>
  <c r="M45" i="21"/>
  <c r="M45" i="20"/>
  <c r="M45" i="19"/>
  <c r="M48" i="22"/>
  <c r="M48" i="20"/>
  <c r="M48" i="19"/>
  <c r="M48" i="21"/>
  <c r="M40" i="21"/>
  <c r="M40" i="22"/>
  <c r="M40" i="20"/>
  <c r="M40" i="19"/>
  <c r="M49" i="19"/>
  <c r="M49" i="22"/>
  <c r="M49" i="21"/>
  <c r="M49" i="20"/>
  <c r="M44" i="20"/>
  <c r="M44" i="21"/>
  <c r="M44" i="19"/>
  <c r="M44" i="22"/>
  <c r="M51" i="22"/>
  <c r="M51" i="19"/>
  <c r="M51" i="21"/>
  <c r="M51" i="20"/>
  <c r="M42" i="22"/>
  <c r="M42" i="20"/>
  <c r="M42" i="21"/>
  <c r="M42" i="19"/>
  <c r="M50" i="19"/>
  <c r="M50" i="22"/>
  <c r="M50" i="21"/>
  <c r="M50" i="20"/>
  <c r="M47" i="19"/>
  <c r="M47" i="22"/>
  <c r="M47" i="20"/>
  <c r="M47" i="21"/>
  <c r="AV38" i="22"/>
  <c r="AV31" i="22"/>
  <c r="AV30" i="22"/>
  <c r="AV37" i="22"/>
  <c r="AV33" i="22"/>
  <c r="AV32" i="22"/>
  <c r="AV39" i="22"/>
  <c r="AV36" i="22"/>
  <c r="AV27" i="22"/>
  <c r="AV24" i="22"/>
  <c r="AV26" i="22"/>
  <c r="AV18" i="22"/>
  <c r="AV20" i="22"/>
  <c r="AV19" i="22"/>
  <c r="AV13" i="22"/>
  <c r="AV15" i="22"/>
  <c r="AV14" i="22"/>
  <c r="AV9" i="22"/>
  <c r="AV8" i="22"/>
  <c r="AV7" i="22"/>
  <c r="AV6" i="22"/>
  <c r="AV25" i="22"/>
  <c r="AV21" i="22"/>
  <c r="AV12" i="22"/>
  <c r="AV38" i="21"/>
  <c r="AV31" i="21"/>
  <c r="AV30" i="21"/>
  <c r="AV37" i="21"/>
  <c r="AV33" i="21"/>
  <c r="AV32" i="21"/>
  <c r="AV39" i="21"/>
  <c r="AV27" i="21"/>
  <c r="AV26" i="21"/>
  <c r="AV36" i="21"/>
  <c r="AV24" i="21"/>
  <c r="AV21" i="21"/>
  <c r="AV15" i="21"/>
  <c r="AV14" i="21"/>
  <c r="AV13" i="21"/>
  <c r="AV8" i="21"/>
  <c r="AV20" i="21"/>
  <c r="AV18" i="21"/>
  <c r="AV12" i="21"/>
  <c r="AV7" i="21"/>
  <c r="AV25" i="21"/>
  <c r="AV19" i="21"/>
  <c r="AV6" i="21"/>
  <c r="AV9" i="21"/>
  <c r="AV38" i="20"/>
  <c r="AV31" i="20"/>
  <c r="AV30" i="20"/>
  <c r="AV37" i="20"/>
  <c r="AV33" i="20"/>
  <c r="AV32" i="20"/>
  <c r="AV39" i="20"/>
  <c r="AV36" i="20"/>
  <c r="AV25" i="20"/>
  <c r="AV24" i="20"/>
  <c r="AV27" i="20"/>
  <c r="AV26" i="20"/>
  <c r="AV19" i="20"/>
  <c r="AV15" i="20"/>
  <c r="AV14" i="20"/>
  <c r="AV20" i="20"/>
  <c r="AV18" i="20"/>
  <c r="AV21" i="20"/>
  <c r="AV13" i="20"/>
  <c r="AV9" i="20"/>
  <c r="AV8" i="20"/>
  <c r="AV7" i="20"/>
  <c r="AV12" i="20"/>
  <c r="AV6" i="20"/>
  <c r="AV32" i="19"/>
  <c r="CB8" i="19" s="1"/>
  <c r="AV21" i="19"/>
  <c r="AY21" i="19" s="1"/>
  <c r="AV7" i="19"/>
  <c r="AY7" i="19" s="1"/>
  <c r="AV33" i="19"/>
  <c r="AY33" i="19" s="1"/>
  <c r="AV8" i="19"/>
  <c r="AY8" i="19" s="1"/>
  <c r="AV30" i="19"/>
  <c r="AY30" i="19" s="1"/>
  <c r="AV9" i="19"/>
  <c r="AW9" i="19" s="1"/>
  <c r="AV12" i="19"/>
  <c r="AW12" i="19" s="1"/>
  <c r="AV31" i="19"/>
  <c r="AY31" i="19" s="1"/>
  <c r="AV36" i="19"/>
  <c r="AV20" i="19"/>
  <c r="AV39" i="19"/>
  <c r="AW6" i="19"/>
  <c r="AY6" i="19"/>
  <c r="AX6" i="19"/>
  <c r="AV24" i="19"/>
  <c r="AV14" i="19"/>
  <c r="AV13" i="19"/>
  <c r="AV38" i="19"/>
  <c r="AV15" i="19"/>
  <c r="AV19" i="19"/>
  <c r="AV26" i="19"/>
  <c r="AV37" i="19"/>
  <c r="AV18" i="19"/>
  <c r="AV25" i="19"/>
  <c r="AV27" i="19"/>
  <c r="G4" i="6"/>
  <c r="GQ30" i="6"/>
  <c r="R54" i="6"/>
  <c r="Q54" i="6"/>
  <c r="R53" i="6"/>
  <c r="Q53" i="6"/>
  <c r="R52" i="6"/>
  <c r="Q52" i="6"/>
  <c r="R38" i="6"/>
  <c r="Q38" i="6"/>
  <c r="N38" i="6"/>
  <c r="M38" i="6"/>
  <c r="R37" i="6"/>
  <c r="Q37" i="6"/>
  <c r="N37" i="6"/>
  <c r="M37" i="6"/>
  <c r="R36" i="6"/>
  <c r="Q36" i="6"/>
  <c r="N36" i="6"/>
  <c r="M36" i="6"/>
  <c r="R35" i="6"/>
  <c r="Q35" i="6"/>
  <c r="N35" i="6"/>
  <c r="M35" i="6"/>
  <c r="R34" i="6"/>
  <c r="Q34" i="6"/>
  <c r="N34" i="6"/>
  <c r="M34" i="6"/>
  <c r="R33" i="6"/>
  <c r="Q33" i="6"/>
  <c r="N33" i="6"/>
  <c r="M33" i="6"/>
  <c r="R32" i="6"/>
  <c r="Q32" i="6"/>
  <c r="N32" i="6"/>
  <c r="M32" i="6"/>
  <c r="R31" i="6"/>
  <c r="Q31" i="6"/>
  <c r="N31" i="6"/>
  <c r="M31" i="6"/>
  <c r="R30" i="6"/>
  <c r="Q30" i="6"/>
  <c r="N30" i="6"/>
  <c r="M30" i="6"/>
  <c r="R29" i="6"/>
  <c r="Q29" i="6"/>
  <c r="N29" i="6"/>
  <c r="M29" i="6"/>
  <c r="R28" i="6"/>
  <c r="Q28" i="6"/>
  <c r="N28" i="6"/>
  <c r="M28" i="6"/>
  <c r="R27" i="6"/>
  <c r="Q27" i="6"/>
  <c r="N27" i="6"/>
  <c r="M27" i="6"/>
  <c r="R26" i="6"/>
  <c r="Q26" i="6"/>
  <c r="N26" i="6"/>
  <c r="M26" i="6"/>
  <c r="R25" i="6"/>
  <c r="Q25" i="6"/>
  <c r="N25" i="6"/>
  <c r="M25" i="6"/>
  <c r="R24" i="6"/>
  <c r="Q24" i="6"/>
  <c r="N24" i="6"/>
  <c r="M24" i="6"/>
  <c r="R23" i="6"/>
  <c r="Q23" i="6"/>
  <c r="N23" i="6"/>
  <c r="M23" i="6"/>
  <c r="R22" i="6"/>
  <c r="Q22" i="6"/>
  <c r="N22" i="6"/>
  <c r="M22" i="6"/>
  <c r="R21" i="6"/>
  <c r="Q21" i="6"/>
  <c r="N21" i="6"/>
  <c r="M21" i="6"/>
  <c r="R20" i="6"/>
  <c r="Q20" i="6"/>
  <c r="N20" i="6"/>
  <c r="M20" i="6"/>
  <c r="R19" i="6"/>
  <c r="Q19" i="6"/>
  <c r="N19" i="6"/>
  <c r="M19" i="6"/>
  <c r="R18" i="6"/>
  <c r="Q18" i="6"/>
  <c r="N18" i="6"/>
  <c r="M18" i="6"/>
  <c r="R17" i="6"/>
  <c r="Q17" i="6"/>
  <c r="N17" i="6"/>
  <c r="M17" i="6"/>
  <c r="R16" i="6"/>
  <c r="Q16" i="6"/>
  <c r="N16" i="6"/>
  <c r="M16" i="6"/>
  <c r="R15" i="6"/>
  <c r="Q15" i="6"/>
  <c r="N15" i="6"/>
  <c r="M15" i="6"/>
  <c r="R14" i="6"/>
  <c r="Q14" i="6"/>
  <c r="N14" i="6"/>
  <c r="M14" i="6"/>
  <c r="R13" i="6"/>
  <c r="Q13" i="6"/>
  <c r="N13" i="6"/>
  <c r="M13" i="6"/>
  <c r="R12" i="6"/>
  <c r="Q12" i="6"/>
  <c r="N12" i="6"/>
  <c r="M12" i="6"/>
  <c r="R11" i="6"/>
  <c r="Q11" i="6"/>
  <c r="N11" i="6"/>
  <c r="M11" i="6"/>
  <c r="R10" i="6"/>
  <c r="Q10" i="6"/>
  <c r="N10" i="6"/>
  <c r="M10" i="6"/>
  <c r="R9" i="6"/>
  <c r="Q9" i="6"/>
  <c r="N9" i="6"/>
  <c r="M9" i="6"/>
  <c r="R8" i="6"/>
  <c r="Q8" i="6"/>
  <c r="N8" i="6"/>
  <c r="M8" i="6"/>
  <c r="R7" i="6"/>
  <c r="Q7" i="6"/>
  <c r="N7" i="6"/>
  <c r="M7" i="6"/>
  <c r="R6" i="6"/>
  <c r="Q6" i="6"/>
  <c r="N6" i="6"/>
  <c r="M6" i="6"/>
  <c r="R5" i="6"/>
  <c r="Q5" i="6"/>
  <c r="N5" i="6"/>
  <c r="M5" i="6"/>
  <c r="R4" i="6"/>
  <c r="Q4" i="6"/>
  <c r="N4" i="6"/>
  <c r="M4" i="6"/>
  <c r="AW33" i="19" l="1"/>
  <c r="AX13" i="22"/>
  <c r="AW13" i="22"/>
  <c r="AY13" i="22"/>
  <c r="AY12" i="22"/>
  <c r="AX12" i="22"/>
  <c r="AW12" i="22"/>
  <c r="AY9" i="22"/>
  <c r="AX9" i="22"/>
  <c r="AW9" i="22"/>
  <c r="AY18" i="22"/>
  <c r="AX18" i="22"/>
  <c r="AW18" i="22"/>
  <c r="AX32" i="22"/>
  <c r="AW32" i="22"/>
  <c r="AY32" i="22"/>
  <c r="CB8" i="22"/>
  <c r="AY6" i="22"/>
  <c r="AX6" i="22"/>
  <c r="AW6" i="22"/>
  <c r="AX21" i="22"/>
  <c r="AY21" i="22"/>
  <c r="AW21" i="22"/>
  <c r="AY14" i="22"/>
  <c r="AX14" i="22"/>
  <c r="AW14" i="22"/>
  <c r="CB5" i="22"/>
  <c r="AY26" i="22"/>
  <c r="AX26" i="22"/>
  <c r="AW26" i="22"/>
  <c r="CB7" i="22"/>
  <c r="AX33" i="22"/>
  <c r="AW33" i="22"/>
  <c r="AY33" i="22"/>
  <c r="AY27" i="22"/>
  <c r="AX27" i="22"/>
  <c r="AW27" i="22"/>
  <c r="AX25" i="22"/>
  <c r="AY25" i="22"/>
  <c r="AW25" i="22"/>
  <c r="AY15" i="22"/>
  <c r="AX15" i="22"/>
  <c r="AW15" i="22"/>
  <c r="AW24" i="22"/>
  <c r="AY24" i="22"/>
  <c r="AX24" i="22"/>
  <c r="AX37" i="22"/>
  <c r="AW37" i="22"/>
  <c r="AY37" i="22"/>
  <c r="AW30" i="22"/>
  <c r="AY30" i="22"/>
  <c r="AX30" i="22"/>
  <c r="AW7" i="22"/>
  <c r="AY7" i="22"/>
  <c r="AX7" i="22"/>
  <c r="AX19" i="22"/>
  <c r="AY19" i="22"/>
  <c r="AW19" i="22"/>
  <c r="AY36" i="22"/>
  <c r="AX36" i="22"/>
  <c r="AW36" i="22"/>
  <c r="AW31" i="22"/>
  <c r="AY31" i="22"/>
  <c r="AX31" i="22"/>
  <c r="AY8" i="22"/>
  <c r="CB4" i="22"/>
  <c r="AX8" i="22"/>
  <c r="AW8" i="22"/>
  <c r="AX20" i="22"/>
  <c r="AY20" i="22"/>
  <c r="AW20" i="22"/>
  <c r="CB6" i="22"/>
  <c r="AY39" i="22"/>
  <c r="AX39" i="22"/>
  <c r="AW39" i="22"/>
  <c r="AY38" i="22"/>
  <c r="AX38" i="22"/>
  <c r="AW38" i="22"/>
  <c r="CB9" i="22"/>
  <c r="AY9" i="19"/>
  <c r="AX33" i="19"/>
  <c r="AX9" i="21"/>
  <c r="AY9" i="21"/>
  <c r="AW9" i="21"/>
  <c r="AX18" i="21"/>
  <c r="AW18" i="21"/>
  <c r="AY18" i="21"/>
  <c r="AY21" i="21"/>
  <c r="AW21" i="21"/>
  <c r="AX21" i="21"/>
  <c r="AX32" i="21"/>
  <c r="AW32" i="21"/>
  <c r="AY32" i="21"/>
  <c r="CB8" i="21"/>
  <c r="AY6" i="21"/>
  <c r="AX6" i="21"/>
  <c r="AW6" i="21"/>
  <c r="AY20" i="21"/>
  <c r="AX20" i="21"/>
  <c r="AW20" i="21"/>
  <c r="CB6" i="21"/>
  <c r="AY24" i="21"/>
  <c r="AX24" i="21"/>
  <c r="AW24" i="21"/>
  <c r="AX33" i="21"/>
  <c r="AW33" i="21"/>
  <c r="AY33" i="21"/>
  <c r="AY19" i="21"/>
  <c r="AW19" i="21"/>
  <c r="AX19" i="21"/>
  <c r="AY8" i="21"/>
  <c r="AX8" i="21"/>
  <c r="CB4" i="21"/>
  <c r="AW8" i="21"/>
  <c r="AY36" i="21"/>
  <c r="AX36" i="21"/>
  <c r="AW36" i="21"/>
  <c r="AX37" i="21"/>
  <c r="AW37" i="21"/>
  <c r="AY37" i="21"/>
  <c r="AY25" i="21"/>
  <c r="AX25" i="21"/>
  <c r="AW25" i="21"/>
  <c r="AY13" i="21"/>
  <c r="AX13" i="21"/>
  <c r="AW13" i="21"/>
  <c r="AW26" i="21"/>
  <c r="AY26" i="21"/>
  <c r="AX26" i="21"/>
  <c r="CB7" i="21"/>
  <c r="AW30" i="21"/>
  <c r="AY30" i="21"/>
  <c r="AX30" i="21"/>
  <c r="AW7" i="21"/>
  <c r="AX7" i="21"/>
  <c r="AY7" i="21"/>
  <c r="AW14" i="21"/>
  <c r="AY14" i="21"/>
  <c r="AX14" i="21"/>
  <c r="CB5" i="21"/>
  <c r="AW27" i="21"/>
  <c r="AY27" i="21"/>
  <c r="AX27" i="21"/>
  <c r="AW31" i="21"/>
  <c r="AY31" i="21"/>
  <c r="AX31" i="21"/>
  <c r="AY12" i="21"/>
  <c r="AW12" i="21"/>
  <c r="AX12" i="21"/>
  <c r="AX15" i="21"/>
  <c r="AW15" i="21"/>
  <c r="AY15" i="21"/>
  <c r="AY39" i="21"/>
  <c r="AX39" i="21"/>
  <c r="AW39" i="21"/>
  <c r="AY38" i="21"/>
  <c r="AX38" i="21"/>
  <c r="AW38" i="21"/>
  <c r="CB9" i="21"/>
  <c r="AW21" i="19"/>
  <c r="AX32" i="19"/>
  <c r="AY32" i="19"/>
  <c r="AY6" i="20"/>
  <c r="AX6" i="20"/>
  <c r="AW6" i="20"/>
  <c r="AY21" i="20"/>
  <c r="AX21" i="20"/>
  <c r="AW21" i="20"/>
  <c r="AY26" i="20"/>
  <c r="AX26" i="20"/>
  <c r="AW26" i="20"/>
  <c r="CB7" i="20"/>
  <c r="AX32" i="20"/>
  <c r="AW32" i="20"/>
  <c r="AY32" i="20"/>
  <c r="CB8" i="20"/>
  <c r="AW14" i="20"/>
  <c r="AX14" i="20"/>
  <c r="AY14" i="20"/>
  <c r="CB5" i="20"/>
  <c r="AY12" i="20"/>
  <c r="AX12" i="20"/>
  <c r="AW12" i="20"/>
  <c r="AX18" i="20"/>
  <c r="AW18" i="20"/>
  <c r="AY18" i="20"/>
  <c r="AY27" i="20"/>
  <c r="AX27" i="20"/>
  <c r="AW27" i="20"/>
  <c r="AX33" i="20"/>
  <c r="AW33" i="20"/>
  <c r="AY33" i="20"/>
  <c r="AX8" i="20"/>
  <c r="AW8" i="20"/>
  <c r="CB4" i="20"/>
  <c r="AY8" i="20"/>
  <c r="AY7" i="20"/>
  <c r="AX7" i="20"/>
  <c r="AW7" i="20"/>
  <c r="AY20" i="20"/>
  <c r="AX20" i="20"/>
  <c r="AW20" i="20"/>
  <c r="CB6" i="20"/>
  <c r="AX24" i="20"/>
  <c r="AW24" i="20"/>
  <c r="AY24" i="20"/>
  <c r="AX37" i="20"/>
  <c r="AW37" i="20"/>
  <c r="AY37" i="20"/>
  <c r="AX25" i="20"/>
  <c r="AW25" i="20"/>
  <c r="AY25" i="20"/>
  <c r="AX9" i="20"/>
  <c r="AW9" i="20"/>
  <c r="AY9" i="20"/>
  <c r="AY15" i="20"/>
  <c r="AW15" i="20"/>
  <c r="AX15" i="20"/>
  <c r="AY36" i="20"/>
  <c r="AX36" i="20"/>
  <c r="AW36" i="20"/>
  <c r="AW31" i="20"/>
  <c r="AY31" i="20"/>
  <c r="AX31" i="20"/>
  <c r="AW30" i="20"/>
  <c r="AY30" i="20"/>
  <c r="AX30" i="20"/>
  <c r="AY13" i="20"/>
  <c r="AX13" i="20"/>
  <c r="AW13" i="20"/>
  <c r="AY19" i="20"/>
  <c r="AX19" i="20"/>
  <c r="AW19" i="20"/>
  <c r="AY39" i="20"/>
  <c r="AX39" i="20"/>
  <c r="AW39" i="20"/>
  <c r="AY38" i="20"/>
  <c r="AX38" i="20"/>
  <c r="AW38" i="20"/>
  <c r="CB9" i="20"/>
  <c r="AX7" i="19"/>
  <c r="CB4" i="19"/>
  <c r="CF4" i="19" s="1"/>
  <c r="AW30" i="19"/>
  <c r="AW32" i="19"/>
  <c r="AX8" i="19"/>
  <c r="AW8" i="19"/>
  <c r="AX12" i="19"/>
  <c r="AW31" i="19"/>
  <c r="AW7" i="19"/>
  <c r="AY12" i="19"/>
  <c r="AX31" i="19"/>
  <c r="AX21" i="19"/>
  <c r="AX9" i="19"/>
  <c r="AX30" i="19"/>
  <c r="AY38" i="19"/>
  <c r="AX38" i="19"/>
  <c r="AW38" i="19"/>
  <c r="CB9" i="19"/>
  <c r="AY18" i="19"/>
  <c r="AX18" i="19"/>
  <c r="AW18" i="19"/>
  <c r="AW37" i="19"/>
  <c r="AY37" i="19"/>
  <c r="AX37" i="19"/>
  <c r="AY14" i="19"/>
  <c r="AX14" i="19"/>
  <c r="AW14" i="19"/>
  <c r="CB5" i="19"/>
  <c r="AW25" i="19"/>
  <c r="AX25" i="19"/>
  <c r="AY25" i="19"/>
  <c r="CE4" i="19"/>
  <c r="AX26" i="19"/>
  <c r="AW26" i="19"/>
  <c r="AY26" i="19"/>
  <c r="CB7" i="19"/>
  <c r="AX24" i="19"/>
  <c r="AW24" i="19"/>
  <c r="AY24" i="19"/>
  <c r="AY36" i="19"/>
  <c r="AX36" i="19"/>
  <c r="AW36" i="19"/>
  <c r="AX19" i="19"/>
  <c r="AW19" i="19"/>
  <c r="AY19" i="19"/>
  <c r="AX39" i="19"/>
  <c r="AW39" i="19"/>
  <c r="AY39" i="19"/>
  <c r="CC8" i="19"/>
  <c r="CF8" i="19"/>
  <c r="CE8" i="19"/>
  <c r="CD8" i="19"/>
  <c r="AX27" i="19"/>
  <c r="AY27" i="19"/>
  <c r="AW27" i="19"/>
  <c r="AY13" i="19"/>
  <c r="AX13" i="19"/>
  <c r="AW13" i="19"/>
  <c r="AY15" i="19"/>
  <c r="AX15" i="19"/>
  <c r="AW15" i="19"/>
  <c r="AY20" i="19"/>
  <c r="AX20" i="19"/>
  <c r="AW20" i="19"/>
  <c r="CB6" i="19"/>
  <c r="AC4" i="6"/>
  <c r="AA54" i="6"/>
  <c r="AB4" i="6"/>
  <c r="AB12" i="6"/>
  <c r="AA12" i="6"/>
  <c r="AB15" i="6"/>
  <c r="AA15" i="6"/>
  <c r="AB18" i="6"/>
  <c r="AA18" i="6"/>
  <c r="AB24" i="6"/>
  <c r="AA24" i="6"/>
  <c r="AB30" i="6"/>
  <c r="AA30" i="6"/>
  <c r="AB33" i="6"/>
  <c r="AA33" i="6"/>
  <c r="AB36" i="6"/>
  <c r="AA36" i="6"/>
  <c r="AB39" i="6"/>
  <c r="N39" i="16" s="1"/>
  <c r="AA39" i="6"/>
  <c r="AB9" i="6"/>
  <c r="AA9" i="6"/>
  <c r="AB21" i="6"/>
  <c r="AA21" i="6"/>
  <c r="AB5" i="6"/>
  <c r="AA5" i="6"/>
  <c r="AB8" i="6"/>
  <c r="AA8" i="6"/>
  <c r="AB11" i="6"/>
  <c r="AA11" i="6"/>
  <c r="AB14" i="6"/>
  <c r="AA14" i="6"/>
  <c r="AB17" i="6"/>
  <c r="AA17" i="6"/>
  <c r="AB20" i="6"/>
  <c r="AA20" i="6"/>
  <c r="AB23" i="6"/>
  <c r="AA23" i="6"/>
  <c r="AB26" i="6"/>
  <c r="AA26" i="6"/>
  <c r="AB29" i="6"/>
  <c r="AA29" i="6"/>
  <c r="AB32" i="6"/>
  <c r="AA32" i="6"/>
  <c r="AB35" i="6"/>
  <c r="AA35" i="6"/>
  <c r="AB38" i="6"/>
  <c r="AA38" i="6"/>
  <c r="AB52" i="6"/>
  <c r="AA52" i="6"/>
  <c r="AA4" i="6"/>
  <c r="AA7" i="6"/>
  <c r="AA10" i="6"/>
  <c r="AA13" i="6"/>
  <c r="AA16" i="6"/>
  <c r="AA19" i="6"/>
  <c r="AA22" i="6"/>
  <c r="AA25" i="6"/>
  <c r="AA28" i="6"/>
  <c r="AA31" i="6"/>
  <c r="AA34" i="6"/>
  <c r="AA37" i="6"/>
  <c r="AA53" i="6"/>
  <c r="AB6" i="6"/>
  <c r="AA6" i="6"/>
  <c r="AB27" i="6"/>
  <c r="AA27" i="6"/>
  <c r="AB7" i="6"/>
  <c r="AB10" i="6"/>
  <c r="AB13" i="6"/>
  <c r="AB16" i="6"/>
  <c r="AB19" i="6"/>
  <c r="AB22" i="6"/>
  <c r="AB25" i="6"/>
  <c r="AB28" i="6"/>
  <c r="AB31" i="6"/>
  <c r="AB34" i="6"/>
  <c r="AB37" i="6"/>
  <c r="AB54" i="6"/>
  <c r="AB53" i="6"/>
  <c r="O4" i="6"/>
  <c r="L8" i="6"/>
  <c r="L4" i="6"/>
  <c r="S33" i="6"/>
  <c r="S20" i="6"/>
  <c r="O26" i="6"/>
  <c r="P26" i="6" s="1"/>
  <c r="S39" i="6"/>
  <c r="O17" i="6"/>
  <c r="P17" i="6" s="1"/>
  <c r="L23" i="6"/>
  <c r="S29" i="6"/>
  <c r="O36" i="6"/>
  <c r="P36" i="6" s="1"/>
  <c r="L6" i="6"/>
  <c r="L7" i="6"/>
  <c r="O15" i="6"/>
  <c r="P15" i="6" s="1"/>
  <c r="S21" i="6"/>
  <c r="S24" i="6"/>
  <c r="L34" i="6"/>
  <c r="L28" i="6"/>
  <c r="T37" i="6"/>
  <c r="T5" i="6"/>
  <c r="S13" i="6"/>
  <c r="S19" i="6"/>
  <c r="S35" i="6"/>
  <c r="S4" i="6"/>
  <c r="O12" i="6"/>
  <c r="P12" i="6" s="1"/>
  <c r="S18" i="6"/>
  <c r="O24" i="6"/>
  <c r="P24" i="6" s="1"/>
  <c r="O25" i="6"/>
  <c r="P25" i="6" s="1"/>
  <c r="T26" i="6"/>
  <c r="S34" i="6"/>
  <c r="O29" i="6"/>
  <c r="P29" i="6" s="1"/>
  <c r="S22" i="6"/>
  <c r="O31" i="6"/>
  <c r="P31" i="6" s="1"/>
  <c r="O32" i="6"/>
  <c r="P32" i="6" s="1"/>
  <c r="L17" i="6"/>
  <c r="T19" i="6"/>
  <c r="T20" i="6"/>
  <c r="T21" i="6"/>
  <c r="T22" i="6"/>
  <c r="O27" i="6"/>
  <c r="P27" i="6" s="1"/>
  <c r="O28" i="6"/>
  <c r="P28" i="6" s="1"/>
  <c r="O34" i="6"/>
  <c r="P34" i="6" s="1"/>
  <c r="S6" i="6"/>
  <c r="S12" i="6"/>
  <c r="L15" i="6"/>
  <c r="S32" i="6"/>
  <c r="T33" i="6"/>
  <c r="L36" i="6"/>
  <c r="O10" i="6"/>
  <c r="P10" i="6" s="1"/>
  <c r="T14" i="6"/>
  <c r="L12" i="6"/>
  <c r="L14" i="6"/>
  <c r="L18" i="6"/>
  <c r="L32" i="6"/>
  <c r="L11" i="6"/>
  <c r="L25" i="6"/>
  <c r="O5" i="6"/>
  <c r="P5" i="6" s="1"/>
  <c r="G21" i="6"/>
  <c r="G38" i="6"/>
  <c r="G20" i="6"/>
  <c r="G51" i="6"/>
  <c r="G33" i="6"/>
  <c r="G15" i="6"/>
  <c r="G50" i="6"/>
  <c r="G32" i="6"/>
  <c r="G14" i="6"/>
  <c r="G45" i="6"/>
  <c r="G27" i="6"/>
  <c r="G9" i="6"/>
  <c r="G44" i="6"/>
  <c r="G26" i="6"/>
  <c r="G8" i="6"/>
  <c r="G49" i="6"/>
  <c r="G43" i="6"/>
  <c r="G37" i="6"/>
  <c r="G31" i="6"/>
  <c r="G25" i="6"/>
  <c r="G19" i="6"/>
  <c r="G13" i="6"/>
  <c r="G7" i="6"/>
  <c r="G48" i="6"/>
  <c r="G42" i="6"/>
  <c r="G36" i="6"/>
  <c r="G30" i="6"/>
  <c r="G24" i="6"/>
  <c r="G18" i="6"/>
  <c r="G12" i="6"/>
  <c r="G6" i="6"/>
  <c r="G47" i="6"/>
  <c r="G41" i="6"/>
  <c r="G35" i="6"/>
  <c r="G29" i="6"/>
  <c r="G23" i="6"/>
  <c r="G17" i="6"/>
  <c r="G11" i="6"/>
  <c r="G5" i="6"/>
  <c r="AD39" i="6" s="1"/>
  <c r="G46" i="6"/>
  <c r="G40" i="6"/>
  <c r="G34" i="6"/>
  <c r="G28" i="6"/>
  <c r="G22" i="6"/>
  <c r="G16" i="6"/>
  <c r="G10" i="6"/>
  <c r="O9" i="6"/>
  <c r="P9" i="6" s="1"/>
  <c r="T12" i="6"/>
  <c r="S14" i="6"/>
  <c r="O23" i="6"/>
  <c r="P23" i="6" s="1"/>
  <c r="T24" i="6"/>
  <c r="T28" i="6"/>
  <c r="S11" i="6"/>
  <c r="T15" i="6"/>
  <c r="T23" i="6"/>
  <c r="T25" i="6"/>
  <c r="T11" i="6"/>
  <c r="S15" i="6"/>
  <c r="T16" i="6"/>
  <c r="S25" i="6"/>
  <c r="T4" i="6"/>
  <c r="O11" i="6"/>
  <c r="P11" i="6" s="1"/>
  <c r="T17" i="6"/>
  <c r="T27" i="6"/>
  <c r="S31" i="6"/>
  <c r="T32" i="6"/>
  <c r="T34" i="6"/>
  <c r="T38" i="6"/>
  <c r="L9" i="6"/>
  <c r="L10" i="6"/>
  <c r="S8" i="6"/>
  <c r="O8" i="6"/>
  <c r="T6" i="6"/>
  <c r="T7" i="6"/>
  <c r="V8" i="6"/>
  <c r="U8" i="6"/>
  <c r="O6" i="6"/>
  <c r="P6" i="6" s="1"/>
  <c r="T8" i="6"/>
  <c r="S5" i="6"/>
  <c r="L5" i="6"/>
  <c r="S7" i="6"/>
  <c r="O7" i="6"/>
  <c r="P7" i="6" s="1"/>
  <c r="T13" i="6"/>
  <c r="L13" i="6"/>
  <c r="O14" i="6"/>
  <c r="P14" i="6" s="1"/>
  <c r="G53" i="6"/>
  <c r="G54" i="6"/>
  <c r="G52" i="6"/>
  <c r="T9" i="6"/>
  <c r="S9" i="6"/>
  <c r="T10" i="6"/>
  <c r="S10" i="6"/>
  <c r="O13" i="6"/>
  <c r="P13" i="6" s="1"/>
  <c r="O16" i="6"/>
  <c r="P16" i="6" s="1"/>
  <c r="S16" i="6"/>
  <c r="L16" i="6"/>
  <c r="O18" i="6"/>
  <c r="P18" i="6" s="1"/>
  <c r="T18" i="6"/>
  <c r="O19" i="6"/>
  <c r="P19" i="6" s="1"/>
  <c r="O20" i="6"/>
  <c r="P20" i="6" s="1"/>
  <c r="O21" i="6"/>
  <c r="P21" i="6" s="1"/>
  <c r="O22" i="6"/>
  <c r="P22" i="6" s="1"/>
  <c r="S17" i="6"/>
  <c r="L19" i="6"/>
  <c r="L20" i="6"/>
  <c r="L21" i="6"/>
  <c r="L22" i="6"/>
  <c r="S23" i="6"/>
  <c r="L24" i="6"/>
  <c r="O30" i="6"/>
  <c r="P30" i="6" s="1"/>
  <c r="T30" i="6"/>
  <c r="S30" i="6"/>
  <c r="L30" i="6"/>
  <c r="L26" i="6"/>
  <c r="L27" i="6"/>
  <c r="S26" i="6"/>
  <c r="S27" i="6"/>
  <c r="S28" i="6"/>
  <c r="L29" i="6"/>
  <c r="T29" i="6"/>
  <c r="L31" i="6"/>
  <c r="L35" i="6"/>
  <c r="T31" i="6"/>
  <c r="O33" i="6"/>
  <c r="P33" i="6" s="1"/>
  <c r="T35" i="6"/>
  <c r="L37" i="6"/>
  <c r="O35" i="6"/>
  <c r="P35" i="6" s="1"/>
  <c r="O38" i="6"/>
  <c r="P38" i="6" s="1"/>
  <c r="L33" i="6"/>
  <c r="O37" i="6"/>
  <c r="P37" i="6" s="1"/>
  <c r="L38" i="6"/>
  <c r="S36" i="6"/>
  <c r="S37" i="6"/>
  <c r="S38" i="6"/>
  <c r="T39" i="6"/>
  <c r="T36" i="6"/>
  <c r="CC4" i="19" l="1"/>
  <c r="M16" i="22"/>
  <c r="M16" i="19"/>
  <c r="M16" i="21"/>
  <c r="M16" i="16"/>
  <c r="M16" i="20"/>
  <c r="P31" i="22"/>
  <c r="P31" i="19"/>
  <c r="P31" i="20"/>
  <c r="P31" i="21"/>
  <c r="P31" i="16"/>
  <c r="M24" i="20"/>
  <c r="M24" i="19"/>
  <c r="M24" i="21"/>
  <c r="M24" i="16"/>
  <c r="M24" i="22"/>
  <c r="P19" i="22"/>
  <c r="P19" i="21"/>
  <c r="P19" i="19"/>
  <c r="P19" i="20"/>
  <c r="P19" i="16"/>
  <c r="P5" i="16"/>
  <c r="P5" i="21"/>
  <c r="P5" i="20"/>
  <c r="P5" i="19"/>
  <c r="P5" i="22"/>
  <c r="L5" i="22" s="1"/>
  <c r="P18" i="19"/>
  <c r="P18" i="22"/>
  <c r="P18" i="20"/>
  <c r="P18" i="21"/>
  <c r="P18" i="16"/>
  <c r="P17" i="22"/>
  <c r="P17" i="21"/>
  <c r="P17" i="20"/>
  <c r="P17" i="19"/>
  <c r="P17" i="16"/>
  <c r="M34" i="19"/>
  <c r="M34" i="21"/>
  <c r="M34" i="22"/>
  <c r="M34" i="20"/>
  <c r="M34" i="16"/>
  <c r="P24" i="22"/>
  <c r="P24" i="21"/>
  <c r="P24" i="20"/>
  <c r="P24" i="19"/>
  <c r="P24" i="16"/>
  <c r="M31" i="21"/>
  <c r="M31" i="20"/>
  <c r="M31" i="16"/>
  <c r="M31" i="19"/>
  <c r="M31" i="22"/>
  <c r="M11" i="22"/>
  <c r="M11" i="20"/>
  <c r="M11" i="19"/>
  <c r="M11" i="21"/>
  <c r="M11" i="16"/>
  <c r="P37" i="19"/>
  <c r="P37" i="22"/>
  <c r="P37" i="21"/>
  <c r="P37" i="20"/>
  <c r="P37" i="16"/>
  <c r="P26" i="22"/>
  <c r="P26" i="20"/>
  <c r="P26" i="19"/>
  <c r="P26" i="21"/>
  <c r="P26" i="16"/>
  <c r="P16" i="19"/>
  <c r="P16" i="20"/>
  <c r="P16" i="22"/>
  <c r="P16" i="21"/>
  <c r="P16" i="16"/>
  <c r="P13" i="20"/>
  <c r="P13" i="21"/>
  <c r="P13" i="16"/>
  <c r="P13" i="19"/>
  <c r="P13" i="22"/>
  <c r="P12" i="20"/>
  <c r="P12" i="21"/>
  <c r="P12" i="22"/>
  <c r="P12" i="16"/>
  <c r="P12" i="19"/>
  <c r="P15" i="20"/>
  <c r="P15" i="19"/>
  <c r="P15" i="22"/>
  <c r="P15" i="21"/>
  <c r="P15" i="16"/>
  <c r="P23" i="20"/>
  <c r="P23" i="19"/>
  <c r="P23" i="22"/>
  <c r="P23" i="16"/>
  <c r="P23" i="21"/>
  <c r="P4" i="21"/>
  <c r="P4" i="20"/>
  <c r="P4" i="19"/>
  <c r="P4" i="22"/>
  <c r="L4" i="22" s="1"/>
  <c r="P4" i="16"/>
  <c r="M6" i="21"/>
  <c r="M6" i="19"/>
  <c r="M6" i="22"/>
  <c r="M6" i="16"/>
  <c r="M6" i="20"/>
  <c r="M28" i="21"/>
  <c r="M28" i="19"/>
  <c r="M28" i="22"/>
  <c r="M28" i="20"/>
  <c r="M28" i="16"/>
  <c r="M10" i="21"/>
  <c r="M10" i="22"/>
  <c r="M10" i="19"/>
  <c r="M10" i="16"/>
  <c r="M10" i="20"/>
  <c r="M27" i="19"/>
  <c r="M27" i="20"/>
  <c r="M27" i="21"/>
  <c r="M27" i="16"/>
  <c r="M27" i="22"/>
  <c r="P27" i="22"/>
  <c r="P27" i="20"/>
  <c r="P27" i="19"/>
  <c r="P27" i="16"/>
  <c r="P27" i="21"/>
  <c r="M20" i="19"/>
  <c r="M20" i="22"/>
  <c r="M20" i="21"/>
  <c r="M20" i="20"/>
  <c r="M20" i="16"/>
  <c r="P29" i="21"/>
  <c r="P29" i="19"/>
  <c r="P29" i="22"/>
  <c r="P29" i="20"/>
  <c r="P29" i="16"/>
  <c r="P30" i="22"/>
  <c r="P30" i="19"/>
  <c r="P30" i="20"/>
  <c r="P30" i="21"/>
  <c r="P30" i="16"/>
  <c r="P22" i="21"/>
  <c r="P22" i="20"/>
  <c r="P22" i="22"/>
  <c r="P22" i="19"/>
  <c r="P22" i="16"/>
  <c r="P25" i="20"/>
  <c r="P25" i="21"/>
  <c r="P25" i="19"/>
  <c r="P25" i="22"/>
  <c r="P25" i="16"/>
  <c r="P8" i="19"/>
  <c r="P8" i="16"/>
  <c r="P8" i="20"/>
  <c r="P8" i="22"/>
  <c r="P8" i="21"/>
  <c r="M25" i="22"/>
  <c r="M25" i="20"/>
  <c r="M25" i="19"/>
  <c r="M25" i="16"/>
  <c r="M25" i="21"/>
  <c r="M7" i="20"/>
  <c r="M7" i="19"/>
  <c r="M7" i="22"/>
  <c r="M7" i="16"/>
  <c r="M7" i="21"/>
  <c r="M35" i="22"/>
  <c r="M35" i="20"/>
  <c r="M35" i="21"/>
  <c r="M35" i="19"/>
  <c r="M35" i="16"/>
  <c r="M26" i="22"/>
  <c r="M26" i="21"/>
  <c r="M26" i="19"/>
  <c r="M26" i="20"/>
  <c r="M26" i="16"/>
  <c r="M17" i="19"/>
  <c r="M17" i="16"/>
  <c r="M17" i="21"/>
  <c r="M17" i="22"/>
  <c r="M17" i="20"/>
  <c r="M8" i="20"/>
  <c r="M8" i="21"/>
  <c r="M8" i="19"/>
  <c r="M8" i="22"/>
  <c r="M8" i="16"/>
  <c r="M9" i="20"/>
  <c r="M9" i="22"/>
  <c r="M9" i="21"/>
  <c r="M9" i="19"/>
  <c r="M9" i="16"/>
  <c r="M33" i="22"/>
  <c r="M33" i="21"/>
  <c r="M33" i="20"/>
  <c r="M33" i="19"/>
  <c r="M33" i="16"/>
  <c r="M18" i="21"/>
  <c r="M18" i="20"/>
  <c r="M18" i="19"/>
  <c r="M18" i="22"/>
  <c r="M18" i="16"/>
  <c r="P34" i="20"/>
  <c r="P34" i="19"/>
  <c r="P34" i="21"/>
  <c r="P34" i="16"/>
  <c r="P34" i="22"/>
  <c r="M38" i="22"/>
  <c r="M38" i="16"/>
  <c r="M38" i="21"/>
  <c r="M38" i="20"/>
  <c r="M38" i="19"/>
  <c r="M36" i="19"/>
  <c r="M36" i="21"/>
  <c r="M36" i="16"/>
  <c r="M36" i="20"/>
  <c r="M36" i="22"/>
  <c r="P38" i="22"/>
  <c r="P38" i="20"/>
  <c r="P38" i="19"/>
  <c r="P38" i="21"/>
  <c r="P38" i="16"/>
  <c r="P21" i="20"/>
  <c r="P21" i="22"/>
  <c r="P21" i="21"/>
  <c r="P21" i="16"/>
  <c r="P21" i="19"/>
  <c r="P11" i="20"/>
  <c r="P11" i="22"/>
  <c r="P11" i="19"/>
  <c r="P11" i="16"/>
  <c r="P11" i="21"/>
  <c r="P7" i="19"/>
  <c r="P7" i="22"/>
  <c r="P7" i="16"/>
  <c r="P7" i="21"/>
  <c r="P7" i="20"/>
  <c r="M53" i="19"/>
  <c r="M53" i="21"/>
  <c r="M53" i="20"/>
  <c r="M53" i="22"/>
  <c r="M22" i="22"/>
  <c r="M22" i="21"/>
  <c r="M22" i="20"/>
  <c r="M22" i="19"/>
  <c r="M22" i="16"/>
  <c r="M4" i="19"/>
  <c r="M4" i="22"/>
  <c r="M4" i="21"/>
  <c r="M4" i="20"/>
  <c r="M4" i="16"/>
  <c r="M54" i="22"/>
  <c r="M54" i="21"/>
  <c r="M54" i="20"/>
  <c r="M54" i="19"/>
  <c r="P35" i="19"/>
  <c r="P35" i="20"/>
  <c r="P35" i="22"/>
  <c r="P35" i="21"/>
  <c r="P35" i="16"/>
  <c r="P14" i="19"/>
  <c r="P14" i="22"/>
  <c r="P14" i="20"/>
  <c r="P14" i="21"/>
  <c r="P14" i="16"/>
  <c r="M13" i="20"/>
  <c r="M13" i="19"/>
  <c r="M13" i="22"/>
  <c r="M13" i="16"/>
  <c r="M13" i="21"/>
  <c r="M29" i="20"/>
  <c r="M29" i="22"/>
  <c r="M29" i="21"/>
  <c r="M29" i="19"/>
  <c r="M29" i="16"/>
  <c r="M21" i="22"/>
  <c r="M21" i="19"/>
  <c r="M21" i="20"/>
  <c r="M21" i="21"/>
  <c r="M21" i="16"/>
  <c r="M12" i="20"/>
  <c r="M12" i="22"/>
  <c r="M12" i="16"/>
  <c r="M12" i="21"/>
  <c r="M12" i="19"/>
  <c r="P10" i="22"/>
  <c r="P10" i="21"/>
  <c r="P10" i="20"/>
  <c r="P10" i="19"/>
  <c r="P10" i="16"/>
  <c r="P33" i="19"/>
  <c r="P33" i="22"/>
  <c r="P33" i="21"/>
  <c r="P33" i="16"/>
  <c r="P33" i="20"/>
  <c r="P20" i="21"/>
  <c r="P20" i="22"/>
  <c r="P20" i="20"/>
  <c r="P20" i="19"/>
  <c r="P20" i="16"/>
  <c r="P9" i="19"/>
  <c r="P9" i="16"/>
  <c r="P9" i="20"/>
  <c r="P9" i="22"/>
  <c r="P9" i="21"/>
  <c r="P32" i="19"/>
  <c r="P32" i="22"/>
  <c r="P32" i="21"/>
  <c r="P32" i="20"/>
  <c r="P32" i="16"/>
  <c r="P36" i="20"/>
  <c r="P36" i="22"/>
  <c r="P36" i="21"/>
  <c r="P36" i="19"/>
  <c r="P36" i="16"/>
  <c r="P28" i="22"/>
  <c r="P28" i="20"/>
  <c r="P28" i="16"/>
  <c r="P28" i="21"/>
  <c r="P28" i="19"/>
  <c r="P6" i="21"/>
  <c r="P6" i="20"/>
  <c r="P6" i="19"/>
  <c r="P6" i="22"/>
  <c r="P6" i="16"/>
  <c r="M37" i="20"/>
  <c r="M37" i="22"/>
  <c r="M37" i="21"/>
  <c r="M37" i="16"/>
  <c r="M37" i="19"/>
  <c r="M19" i="19"/>
  <c r="M19" i="20"/>
  <c r="M19" i="22"/>
  <c r="M19" i="21"/>
  <c r="M19" i="16"/>
  <c r="M52" i="20"/>
  <c r="M52" i="19"/>
  <c r="M52" i="22"/>
  <c r="M52" i="21"/>
  <c r="M32" i="21"/>
  <c r="M32" i="20"/>
  <c r="M32" i="22"/>
  <c r="M32" i="16"/>
  <c r="M32" i="19"/>
  <c r="M23" i="19"/>
  <c r="M23" i="21"/>
  <c r="M23" i="16"/>
  <c r="M23" i="20"/>
  <c r="M23" i="22"/>
  <c r="M14" i="21"/>
  <c r="M14" i="22"/>
  <c r="M14" i="19"/>
  <c r="M14" i="20"/>
  <c r="M14" i="16"/>
  <c r="M5" i="21"/>
  <c r="M5" i="20"/>
  <c r="M5" i="22"/>
  <c r="M5" i="19"/>
  <c r="M5" i="16"/>
  <c r="M39" i="19"/>
  <c r="M39" i="22"/>
  <c r="M39" i="20"/>
  <c r="M39" i="21"/>
  <c r="M39" i="16"/>
  <c r="M30" i="19"/>
  <c r="M30" i="22"/>
  <c r="M30" i="16"/>
  <c r="M30" i="21"/>
  <c r="M30" i="20"/>
  <c r="M15" i="22"/>
  <c r="M15" i="21"/>
  <c r="M15" i="19"/>
  <c r="M15" i="16"/>
  <c r="M15" i="20"/>
  <c r="CF9" i="22"/>
  <c r="CD9" i="22"/>
  <c r="CE9" i="22"/>
  <c r="CC9" i="22"/>
  <c r="CD4" i="22"/>
  <c r="CC4" i="22"/>
  <c r="CE4" i="22"/>
  <c r="CF4" i="22"/>
  <c r="CE8" i="22"/>
  <c r="CF8" i="22"/>
  <c r="CD8" i="22"/>
  <c r="CC8" i="22"/>
  <c r="CD6" i="22"/>
  <c r="CC6" i="22"/>
  <c r="CF6" i="22"/>
  <c r="CE6" i="22"/>
  <c r="CD5" i="22"/>
  <c r="CF5" i="22"/>
  <c r="CE5" i="22"/>
  <c r="CC5" i="22"/>
  <c r="CE7" i="22"/>
  <c r="CC7" i="22"/>
  <c r="CF7" i="22"/>
  <c r="CD7" i="22"/>
  <c r="CD9" i="21"/>
  <c r="CC9" i="21"/>
  <c r="CF9" i="21"/>
  <c r="CE9" i="21"/>
  <c r="CD6" i="21"/>
  <c r="CC6" i="21"/>
  <c r="CE6" i="21"/>
  <c r="CF6" i="21"/>
  <c r="CF7" i="21"/>
  <c r="CD7" i="21"/>
  <c r="CC7" i="21"/>
  <c r="CE7" i="21"/>
  <c r="CE4" i="21"/>
  <c r="CD4" i="21"/>
  <c r="CF4" i="21"/>
  <c r="CC4" i="21"/>
  <c r="CE5" i="21"/>
  <c r="CC5" i="21"/>
  <c r="CF5" i="21"/>
  <c r="CD5" i="21"/>
  <c r="CF8" i="21"/>
  <c r="CD8" i="21"/>
  <c r="CC8" i="21"/>
  <c r="CE8" i="21"/>
  <c r="CC9" i="20"/>
  <c r="CF9" i="20"/>
  <c r="CE9" i="20"/>
  <c r="CD9" i="20"/>
  <c r="CC4" i="20"/>
  <c r="CF4" i="20"/>
  <c r="CE4" i="20"/>
  <c r="CD4" i="20"/>
  <c r="CD7" i="20"/>
  <c r="CC7" i="20"/>
  <c r="CE7" i="20"/>
  <c r="CF7" i="20"/>
  <c r="CF6" i="20"/>
  <c r="CE6" i="20"/>
  <c r="CD6" i="20"/>
  <c r="CC6" i="20"/>
  <c r="CD8" i="20"/>
  <c r="CC8" i="20"/>
  <c r="CF8" i="20"/>
  <c r="CE8" i="20"/>
  <c r="CF5" i="20"/>
  <c r="CE5" i="20"/>
  <c r="CD5" i="20"/>
  <c r="CC5" i="20"/>
  <c r="CD4" i="19"/>
  <c r="CG4" i="19" s="1"/>
  <c r="CG8" i="19"/>
  <c r="CE9" i="19"/>
  <c r="CD9" i="19"/>
  <c r="CF9" i="19"/>
  <c r="CC9" i="19"/>
  <c r="CC7" i="19"/>
  <c r="CF7" i="19"/>
  <c r="CE7" i="19"/>
  <c r="CD7" i="19"/>
  <c r="CC5" i="19"/>
  <c r="CF5" i="19"/>
  <c r="CD5" i="19"/>
  <c r="CE5" i="19"/>
  <c r="CF6" i="19"/>
  <c r="CD6" i="19"/>
  <c r="CC6" i="19"/>
  <c r="CE6" i="19"/>
  <c r="N53" i="16"/>
  <c r="AD23" i="6"/>
  <c r="AC23" i="6"/>
  <c r="AD52" i="6"/>
  <c r="AC52" i="6"/>
  <c r="AD40" i="6"/>
  <c r="AC40" i="6"/>
  <c r="AC29" i="6"/>
  <c r="AD29" i="6"/>
  <c r="AC18" i="6"/>
  <c r="AD18" i="6"/>
  <c r="AC7" i="6"/>
  <c r="AD7" i="6"/>
  <c r="AC43" i="6"/>
  <c r="AD43" i="6"/>
  <c r="AC27" i="6"/>
  <c r="AD27" i="6"/>
  <c r="AD33" i="6"/>
  <c r="AC33" i="6"/>
  <c r="AC48" i="6"/>
  <c r="AD48" i="6"/>
  <c r="AD10" i="6"/>
  <c r="AC10" i="6"/>
  <c r="AD46" i="6"/>
  <c r="AC46" i="6"/>
  <c r="AD35" i="6"/>
  <c r="AC35" i="6"/>
  <c r="AC24" i="6"/>
  <c r="AD24" i="6"/>
  <c r="AC13" i="6"/>
  <c r="AD13" i="6"/>
  <c r="AC49" i="6"/>
  <c r="AD49" i="6"/>
  <c r="AC45" i="6"/>
  <c r="AD45" i="6"/>
  <c r="AC51" i="6"/>
  <c r="AD51" i="6"/>
  <c r="AD34" i="6"/>
  <c r="AC34" i="6"/>
  <c r="AC9" i="6"/>
  <c r="AD9" i="6"/>
  <c r="AD53" i="6"/>
  <c r="AC53" i="6"/>
  <c r="AD16" i="6"/>
  <c r="AC16" i="6"/>
  <c r="AD5" i="6"/>
  <c r="AC5" i="6"/>
  <c r="AD41" i="6"/>
  <c r="AC41" i="6"/>
  <c r="AC30" i="6"/>
  <c r="AD30" i="6"/>
  <c r="AC19" i="6"/>
  <c r="AD19" i="6"/>
  <c r="AC8" i="6"/>
  <c r="AD8" i="6"/>
  <c r="AC14" i="6"/>
  <c r="AD14" i="6"/>
  <c r="AC20" i="6"/>
  <c r="AD20" i="6"/>
  <c r="AC37" i="6"/>
  <c r="AD37" i="6"/>
  <c r="AD22" i="6"/>
  <c r="AC22" i="6"/>
  <c r="AD11" i="6"/>
  <c r="AC11" i="6"/>
  <c r="AD47" i="6"/>
  <c r="AC47" i="6"/>
  <c r="AC36" i="6"/>
  <c r="AD36" i="6"/>
  <c r="AC25" i="6"/>
  <c r="AD25" i="6"/>
  <c r="AC26" i="6"/>
  <c r="AD26" i="6"/>
  <c r="AC32" i="6"/>
  <c r="AD32" i="6"/>
  <c r="AC38" i="6"/>
  <c r="AD38" i="6"/>
  <c r="AC12" i="6"/>
  <c r="AD12" i="6"/>
  <c r="AC15" i="6"/>
  <c r="AD15" i="6"/>
  <c r="AC54" i="6"/>
  <c r="AD54" i="6"/>
  <c r="AD28" i="6"/>
  <c r="AC28" i="6"/>
  <c r="AD17" i="6"/>
  <c r="AC17" i="6"/>
  <c r="AC6" i="6"/>
  <c r="AD6" i="6"/>
  <c r="AC42" i="6"/>
  <c r="AD42" i="6"/>
  <c r="AC31" i="6"/>
  <c r="AD31" i="6"/>
  <c r="AC44" i="6"/>
  <c r="AD44" i="6"/>
  <c r="AC50" i="6"/>
  <c r="AD50" i="6"/>
  <c r="AD21" i="6"/>
  <c r="AC21" i="6"/>
  <c r="AD4" i="6"/>
  <c r="U14" i="6"/>
  <c r="U6" i="6"/>
  <c r="V36" i="6"/>
  <c r="U36" i="6"/>
  <c r="P8" i="6"/>
  <c r="U12" i="6"/>
  <c r="U7" i="6"/>
  <c r="V6" i="6"/>
  <c r="V32" i="6"/>
  <c r="U23" i="6"/>
  <c r="V18" i="6"/>
  <c r="U18" i="6"/>
  <c r="V14" i="6"/>
  <c r="V23" i="6"/>
  <c r="U28" i="6"/>
  <c r="V7" i="6"/>
  <c r="V25" i="6"/>
  <c r="V12" i="6"/>
  <c r="V15" i="6"/>
  <c r="U32" i="6"/>
  <c r="V28" i="6"/>
  <c r="V34" i="6"/>
  <c r="U25" i="6"/>
  <c r="U34" i="6"/>
  <c r="U15" i="6"/>
  <c r="U11" i="6"/>
  <c r="V11" i="6"/>
  <c r="V17" i="6"/>
  <c r="U17" i="6"/>
  <c r="V35" i="6"/>
  <c r="U35" i="6"/>
  <c r="V29" i="6"/>
  <c r="U29" i="6"/>
  <c r="V16" i="6"/>
  <c r="U16" i="6"/>
  <c r="P4" i="6"/>
  <c r="V38" i="6"/>
  <c r="U38" i="6"/>
  <c r="V37" i="6"/>
  <c r="U37" i="6"/>
  <c r="U31" i="6"/>
  <c r="V31" i="6"/>
  <c r="V26" i="6"/>
  <c r="U26" i="6"/>
  <c r="V13" i="6"/>
  <c r="U13" i="6"/>
  <c r="V21" i="6"/>
  <c r="U21" i="6"/>
  <c r="U27" i="6"/>
  <c r="V27" i="6"/>
  <c r="V33" i="6"/>
  <c r="U33" i="6"/>
  <c r="V30" i="6"/>
  <c r="U30" i="6"/>
  <c r="V24" i="6"/>
  <c r="U24" i="6"/>
  <c r="V22" i="6"/>
  <c r="U22" i="6"/>
  <c r="V4" i="6"/>
  <c r="U4" i="6"/>
  <c r="V20" i="6"/>
  <c r="U20" i="6"/>
  <c r="V10" i="6"/>
  <c r="U10" i="6"/>
  <c r="V19" i="6"/>
  <c r="U19" i="6"/>
  <c r="V5" i="6"/>
  <c r="U5" i="6"/>
  <c r="V9" i="6"/>
  <c r="U9" i="6"/>
  <c r="CG5" i="20" l="1"/>
  <c r="CG5" i="21"/>
  <c r="CG4" i="22"/>
  <c r="CG8" i="20"/>
  <c r="CG8" i="22"/>
  <c r="CG5" i="22"/>
  <c r="CG7" i="22"/>
  <c r="CG9" i="22"/>
  <c r="CG6" i="22"/>
  <c r="CG4" i="21"/>
  <c r="CG6" i="21"/>
  <c r="CG8" i="21"/>
  <c r="CG7" i="21"/>
  <c r="CG9" i="21"/>
  <c r="CG4" i="20"/>
  <c r="CG6" i="20"/>
  <c r="CG7" i="20"/>
  <c r="CG9" i="20"/>
  <c r="CG7" i="19"/>
  <c r="CG6" i="19"/>
  <c r="CG9" i="19"/>
  <c r="CG5" i="19"/>
  <c r="A2" i="11" a="1"/>
  <c r="X4" i="11" s="1" a="1"/>
  <c r="X4" i="11" s="1"/>
  <c r="S4" i="11" s="1"/>
  <c r="D4" i="11" s="1"/>
  <c r="CH7" i="22" l="1"/>
  <c r="CH6" i="22"/>
  <c r="CH5" i="22"/>
  <c r="CH9" i="22"/>
  <c r="CH4" i="22"/>
  <c r="CH8" i="22"/>
  <c r="CH7" i="21"/>
  <c r="CH5" i="21"/>
  <c r="CH9" i="21"/>
  <c r="CH4" i="21"/>
  <c r="CH8" i="21"/>
  <c r="CH5" i="20"/>
  <c r="CH6" i="21"/>
  <c r="CH9" i="20"/>
  <c r="CH7" i="20"/>
  <c r="CH6" i="20"/>
  <c r="CH4" i="20"/>
  <c r="CH8" i="20"/>
  <c r="CH6" i="19"/>
  <c r="CH5" i="19"/>
  <c r="CH8" i="19"/>
  <c r="CH4" i="19"/>
  <c r="CH9" i="19"/>
  <c r="CH7" i="19"/>
  <c r="V8" i="11" a="1"/>
  <c r="V8" i="11" s="1"/>
  <c r="Q8" i="11" s="1"/>
  <c r="B8" i="11" s="1"/>
  <c r="AD8" i="11" s="1" a="1"/>
  <c r="AD8" i="11" s="1"/>
  <c r="W4" i="11" a="1"/>
  <c r="W4" i="11" s="1"/>
  <c r="R4" i="11" s="1"/>
  <c r="C4" i="11" s="1"/>
  <c r="V17" i="11" a="1"/>
  <c r="V17" i="11" s="1"/>
  <c r="Q17" i="11" s="1"/>
  <c r="Y7" i="11" a="1"/>
  <c r="Y7" i="11" s="1"/>
  <c r="T7" i="11" s="1"/>
  <c r="E7" i="11" s="1"/>
  <c r="V22" i="11" a="1"/>
  <c r="V22" i="11" s="1"/>
  <c r="Q22" i="11" s="1"/>
  <c r="Y12" i="11" a="1"/>
  <c r="Y12" i="11" s="1"/>
  <c r="T12" i="11" s="1"/>
  <c r="E12" i="11" s="1"/>
  <c r="AG12" i="11" s="1" a="1"/>
  <c r="AG12" i="11" s="1"/>
  <c r="V5" i="11" a="1"/>
  <c r="V5" i="11" s="1"/>
  <c r="Q5" i="11" s="1"/>
  <c r="B5" i="11" s="1"/>
  <c r="X20" i="11" a="1"/>
  <c r="X20" i="11" s="1"/>
  <c r="S20" i="11" s="1"/>
  <c r="D20" i="11" s="1"/>
  <c r="V10" i="11" a="1"/>
  <c r="V10" i="11" s="1"/>
  <c r="Q10" i="11" s="1"/>
  <c r="B10" i="11" s="1"/>
  <c r="AD10" i="11" s="1" a="1"/>
  <c r="AD10" i="11" s="1"/>
  <c r="X21" i="11" a="1"/>
  <c r="X21" i="11" s="1"/>
  <c r="S21" i="11" s="1"/>
  <c r="D21" i="11" s="1"/>
  <c r="W11" i="11" a="1"/>
  <c r="W11" i="11" s="1"/>
  <c r="R11" i="11" s="1"/>
  <c r="C11" i="11" s="1"/>
  <c r="AE11" i="11" s="1" a="1"/>
  <c r="AE11" i="11" s="1"/>
  <c r="Y23" i="11" a="1"/>
  <c r="Y23" i="11" s="1"/>
  <c r="T23" i="11" s="1"/>
  <c r="E23" i="11" s="1"/>
  <c r="AG23" i="11" s="1" a="1"/>
  <c r="AG23" i="11" s="1"/>
  <c r="X14" i="11" a="1"/>
  <c r="X14" i="11" s="1"/>
  <c r="S14" i="11" s="1"/>
  <c r="D14" i="11" s="1"/>
  <c r="AF14" i="11" s="1" a="1"/>
  <c r="AF14" i="11" s="1"/>
  <c r="Y6" i="11" a="1"/>
  <c r="Y6" i="11" s="1"/>
  <c r="T6" i="11" s="1"/>
  <c r="E6" i="11" s="1"/>
  <c r="X23" i="11" a="1"/>
  <c r="X23" i="11" s="1"/>
  <c r="S23" i="11" s="1"/>
  <c r="D23" i="11" s="1"/>
  <c r="AF23" i="11" s="1" a="1"/>
  <c r="AF23" i="11" s="1"/>
  <c r="X15" i="11" a="1"/>
  <c r="X15" i="11" s="1"/>
  <c r="S15" i="11" s="1"/>
  <c r="D15" i="11" s="1"/>
  <c r="X6" i="11" a="1"/>
  <c r="X6" i="11" s="1"/>
  <c r="S6" i="11" s="1"/>
  <c r="D6" i="11" s="1"/>
  <c r="Y20" i="11" a="1"/>
  <c r="Y20" i="11" s="1"/>
  <c r="T20" i="11" s="1"/>
  <c r="E20" i="11" s="1"/>
  <c r="AG20" i="11" s="1" a="1"/>
  <c r="AG20" i="11" s="1"/>
  <c r="X11" i="11" a="1"/>
  <c r="X11" i="11" s="1"/>
  <c r="S11" i="11" s="1"/>
  <c r="D11" i="11" s="1"/>
  <c r="AF11" i="11" s="1" a="1"/>
  <c r="AF11" i="11" s="1"/>
  <c r="W21" i="11" a="1"/>
  <c r="W21" i="11" s="1"/>
  <c r="R21" i="11" s="1"/>
  <c r="C21" i="11" s="1"/>
  <c r="W19" i="11" a="1"/>
  <c r="W19" i="11" s="1"/>
  <c r="R19" i="11" s="1"/>
  <c r="Y8" i="11" a="1"/>
  <c r="Y8" i="11" s="1"/>
  <c r="T8" i="11" s="1"/>
  <c r="E8" i="11" s="1"/>
  <c r="V19" i="11" a="1"/>
  <c r="V19" i="11" s="1"/>
  <c r="Q19" i="11" s="1"/>
  <c r="Y9" i="11" a="1"/>
  <c r="Y9" i="11" s="1"/>
  <c r="T9" i="11" s="1"/>
  <c r="E9" i="11" s="1"/>
  <c r="AG9" i="11" s="1" a="1"/>
  <c r="AG9" i="11" s="1"/>
  <c r="X22" i="11" a="1"/>
  <c r="X22" i="11" s="1"/>
  <c r="S22" i="11" s="1"/>
  <c r="D22" i="11" s="1"/>
  <c r="AF22" i="11" s="1" a="1"/>
  <c r="AF22" i="11" s="1"/>
  <c r="W13" i="11" a="1"/>
  <c r="W13" i="11" s="1"/>
  <c r="R13" i="11" s="1"/>
  <c r="C13" i="11" s="1"/>
  <c r="X5" i="11" a="1"/>
  <c r="X5" i="11" s="1"/>
  <c r="S5" i="11" s="1"/>
  <c r="D5" i="11" s="1"/>
  <c r="AF5" i="11" s="1" a="1"/>
  <c r="AF5" i="11" s="1"/>
  <c r="W22" i="11" a="1"/>
  <c r="W22" i="11" s="1"/>
  <c r="R22" i="11" s="1"/>
  <c r="C22" i="11" s="1"/>
  <c r="W14" i="11" a="1"/>
  <c r="W14" i="11" s="1"/>
  <c r="R14" i="11" s="1"/>
  <c r="C14" i="11" s="1"/>
  <c r="AE14" i="11" s="1" a="1"/>
  <c r="AE14" i="11" s="1"/>
  <c r="W5" i="11" a="1"/>
  <c r="W5" i="11" s="1"/>
  <c r="R5" i="11" s="1"/>
  <c r="C5" i="11" s="1"/>
  <c r="AE5" i="11" s="1" a="1"/>
  <c r="AE5" i="11" s="1"/>
  <c r="X19" i="11" a="1"/>
  <c r="X19" i="11" s="1"/>
  <c r="S19" i="11" s="1"/>
  <c r="D19" i="11" s="1"/>
  <c r="AF19" i="11" s="1" a="1"/>
  <c r="AF19" i="11" s="1"/>
  <c r="W10" i="11" a="1"/>
  <c r="W10" i="11" s="1"/>
  <c r="R10" i="11" s="1"/>
  <c r="C10" i="11" s="1"/>
  <c r="V16" i="11" a="1"/>
  <c r="V16" i="11" s="1"/>
  <c r="Q16" i="11" s="1"/>
  <c r="V18" i="11" a="1"/>
  <c r="V18" i="11" s="1"/>
  <c r="Q18" i="11" s="1"/>
  <c r="W7" i="11" a="1"/>
  <c r="W7" i="11" s="1"/>
  <c r="R7" i="11" s="1"/>
  <c r="C7" i="11" s="1"/>
  <c r="AE7" i="11" s="1" a="1"/>
  <c r="AE7" i="11" s="1"/>
  <c r="Y17" i="11" a="1"/>
  <c r="Y17" i="11" s="1"/>
  <c r="T17" i="11" s="1"/>
  <c r="E17" i="11" s="1"/>
  <c r="AG17" i="11" s="1" a="1"/>
  <c r="AG17" i="11" s="1"/>
  <c r="X8" i="11" a="1"/>
  <c r="X8" i="11" s="1"/>
  <c r="S8" i="11" s="1"/>
  <c r="D8" i="11" s="1"/>
  <c r="AF8" i="11" s="1" a="1"/>
  <c r="AF8" i="11" s="1"/>
  <c r="Y15" i="11" a="1"/>
  <c r="Y15" i="11" s="1"/>
  <c r="T15" i="11" s="1"/>
  <c r="E15" i="11" s="1"/>
  <c r="V20" i="11" a="1"/>
  <c r="V20" i="11" s="1"/>
  <c r="Q20" i="11" s="1"/>
  <c r="V12" i="11" a="1"/>
  <c r="V12" i="11" s="1"/>
  <c r="Q12" i="11" s="1"/>
  <c r="B12" i="11" s="1"/>
  <c r="V4" i="11" a="1"/>
  <c r="V4" i="11" s="1"/>
  <c r="Q4" i="11" s="1"/>
  <c r="B4" i="11" s="1"/>
  <c r="AD4" i="11" s="1" a="1"/>
  <c r="AD4" i="11" s="1"/>
  <c r="V21" i="11" a="1"/>
  <c r="V21" i="11" s="1"/>
  <c r="Q21" i="11" s="1"/>
  <c r="V13" i="11" a="1"/>
  <c r="V13" i="11" s="1"/>
  <c r="Q13" i="11" s="1"/>
  <c r="B13" i="11" s="1"/>
  <c r="AD13" i="11" s="1" a="1"/>
  <c r="AD13" i="11" s="1"/>
  <c r="W20" i="11" a="1"/>
  <c r="W20" i="11" s="1"/>
  <c r="R20" i="11" s="1"/>
  <c r="Y16" i="11" a="1"/>
  <c r="Y16" i="11" s="1"/>
  <c r="T16" i="11" s="1"/>
  <c r="E16" i="11" s="1"/>
  <c r="AG16" i="11" s="1" a="1"/>
  <c r="AG16" i="11" s="1"/>
  <c r="V9" i="11" a="1"/>
  <c r="V9" i="11" s="1"/>
  <c r="Q9" i="11" s="1"/>
  <c r="B9" i="11" s="1"/>
  <c r="V11" i="11" a="1"/>
  <c r="V11" i="11" s="1"/>
  <c r="Q11" i="11" s="1"/>
  <c r="B11" i="11" s="1"/>
  <c r="AD11" i="11" s="1" a="1"/>
  <c r="AD11" i="11" s="1"/>
  <c r="X16" i="11" a="1"/>
  <c r="X16" i="11" s="1"/>
  <c r="S16" i="11" s="1"/>
  <c r="D16" i="11" s="1"/>
  <c r="AF16" i="11" s="1" a="1"/>
  <c r="AF16" i="11" s="1"/>
  <c r="Y4" i="11" a="1"/>
  <c r="Y4" i="11" s="1"/>
  <c r="T4" i="11" s="1"/>
  <c r="E4" i="11" s="1"/>
  <c r="AG4" i="11" s="1" a="1"/>
  <c r="AG4" i="11" s="1"/>
  <c r="W16" i="11" a="1"/>
  <c r="W16" i="11" s="1"/>
  <c r="R16" i="11" s="1"/>
  <c r="V7" i="11" a="1"/>
  <c r="V7" i="11" s="1"/>
  <c r="Q7" i="11" s="1"/>
  <c r="B7" i="11" s="1"/>
  <c r="AD7" i="11" s="1" a="1"/>
  <c r="AD7" i="11" s="1"/>
  <c r="W8" i="11" a="1"/>
  <c r="W8" i="11" s="1"/>
  <c r="R8" i="11" s="1"/>
  <c r="C8" i="11" s="1"/>
  <c r="Y18" i="11" a="1"/>
  <c r="Y18" i="11" s="1"/>
  <c r="T18" i="11" s="1"/>
  <c r="E18" i="11" s="1"/>
  <c r="AG18" i="11" s="1" a="1"/>
  <c r="AG18" i="11" s="1"/>
  <c r="X18" i="11" a="1"/>
  <c r="X18" i="11" s="1"/>
  <c r="S18" i="11" s="1"/>
  <c r="D18" i="11" s="1"/>
  <c r="AF18" i="11" s="1" a="1"/>
  <c r="AF18" i="11" s="1"/>
  <c r="Y10" i="11" a="1"/>
  <c r="Y10" i="11" s="1"/>
  <c r="T10" i="11" s="1"/>
  <c r="E10" i="11" s="1"/>
  <c r="AG10" i="11" s="1" a="1"/>
  <c r="AG10" i="11" s="1"/>
  <c r="X17" i="11" a="1"/>
  <c r="X17" i="11" s="1"/>
  <c r="S17" i="11" s="1"/>
  <c r="D17" i="11" s="1"/>
  <c r="Y19" i="11" a="1"/>
  <c r="Y19" i="11" s="1"/>
  <c r="T19" i="11" s="1"/>
  <c r="E19" i="11" s="1"/>
  <c r="AG19" i="11" s="1" a="1"/>
  <c r="AG19" i="11" s="1"/>
  <c r="Y11" i="11" a="1"/>
  <c r="Y11" i="11" s="1"/>
  <c r="T11" i="11" s="1"/>
  <c r="E11" i="11" s="1"/>
  <c r="Y5" i="11" a="1"/>
  <c r="Y5" i="11" s="1"/>
  <c r="T5" i="11" s="1"/>
  <c r="E5" i="11" s="1"/>
  <c r="AG5" i="11" s="1" a="1"/>
  <c r="AG5" i="11" s="1"/>
  <c r="W15" i="11" a="1"/>
  <c r="W15" i="11" s="1"/>
  <c r="R15" i="11" s="1"/>
  <c r="X7" i="11" a="1"/>
  <c r="X7" i="11" s="1"/>
  <c r="S7" i="11" s="1"/>
  <c r="D7" i="11" s="1"/>
  <c r="AF7" i="11" s="1" a="1"/>
  <c r="AF7" i="11" s="1"/>
  <c r="V23" i="11" a="1"/>
  <c r="V23" i="11" s="1"/>
  <c r="Q23" i="11" s="1"/>
  <c r="Y13" i="11" a="1"/>
  <c r="Y13" i="11" s="1"/>
  <c r="T13" i="11" s="1"/>
  <c r="E13" i="11" s="1"/>
  <c r="AG13" i="11" s="1" a="1"/>
  <c r="AG13" i="11" s="1"/>
  <c r="X9" i="11" a="1"/>
  <c r="X9" i="11" s="1"/>
  <c r="S9" i="11" s="1"/>
  <c r="D9" i="11" s="1"/>
  <c r="V15" i="11" a="1"/>
  <c r="V15" i="11" s="1"/>
  <c r="Q15" i="11" s="1"/>
  <c r="V6" i="11" a="1"/>
  <c r="V6" i="11" s="1"/>
  <c r="Q6" i="11" s="1"/>
  <c r="B6" i="11" s="1"/>
  <c r="AD6" i="11" s="1" a="1"/>
  <c r="AD6" i="11" s="1"/>
  <c r="Y14" i="11" a="1"/>
  <c r="Y14" i="11" s="1"/>
  <c r="T14" i="11" s="1"/>
  <c r="E14" i="11" s="1"/>
  <c r="AG14" i="11" s="1" a="1"/>
  <c r="AG14" i="11" s="1"/>
  <c r="W17" i="11" a="1"/>
  <c r="W17" i="11" s="1"/>
  <c r="R17" i="11" s="1"/>
  <c r="W9" i="11" a="1"/>
  <c r="W9" i="11" s="1"/>
  <c r="R9" i="11" s="1"/>
  <c r="C9" i="11" s="1"/>
  <c r="AE9" i="11" s="1" a="1"/>
  <c r="AE9" i="11" s="1"/>
  <c r="X13" i="11" a="1"/>
  <c r="X13" i="11" s="1"/>
  <c r="S13" i="11" s="1"/>
  <c r="D13" i="11" s="1"/>
  <c r="W18" i="11" a="1"/>
  <c r="W18" i="11" s="1"/>
  <c r="R18" i="11" s="1"/>
  <c r="X10" i="11" a="1"/>
  <c r="X10" i="11" s="1"/>
  <c r="S10" i="11" s="1"/>
  <c r="D10" i="11" s="1"/>
  <c r="AF10" i="11" s="1" a="1"/>
  <c r="AF10" i="11" s="1"/>
  <c r="W23" i="11" a="1"/>
  <c r="W23" i="11" s="1"/>
  <c r="R23" i="11" s="1"/>
  <c r="C23" i="11" s="1"/>
  <c r="AE23" i="11" s="1" a="1"/>
  <c r="AE23" i="11" s="1"/>
  <c r="V14" i="11" a="1"/>
  <c r="V14" i="11" s="1"/>
  <c r="Q14" i="11" s="1"/>
  <c r="B14" i="11" s="1"/>
  <c r="W6" i="11" a="1"/>
  <c r="W6" i="11" s="1"/>
  <c r="R6" i="11" s="1"/>
  <c r="C6" i="11" s="1"/>
  <c r="AE6" i="11" s="1" a="1"/>
  <c r="AE6" i="11" s="1"/>
  <c r="Y21" i="11" a="1"/>
  <c r="Y21" i="11" s="1"/>
  <c r="T21" i="11" s="1"/>
  <c r="E21" i="11" s="1"/>
  <c r="X12" i="11" a="1"/>
  <c r="X12" i="11" s="1"/>
  <c r="S12" i="11" s="1"/>
  <c r="D12" i="11" s="1"/>
  <c r="AF12" i="11" s="1" a="1"/>
  <c r="AF12" i="11" s="1"/>
  <c r="Y22" i="11" a="1"/>
  <c r="Y22" i="11" s="1"/>
  <c r="T22" i="11" s="1"/>
  <c r="E22" i="11" s="1"/>
  <c r="AG22" i="11" s="1" a="1"/>
  <c r="AG22" i="11" s="1"/>
  <c r="W12" i="11" a="1"/>
  <c r="W12" i="11" s="1"/>
  <c r="R12" i="11" s="1"/>
  <c r="C12" i="11" s="1"/>
  <c r="AE12" i="11" s="1" a="1"/>
  <c r="AE12" i="11" s="1"/>
  <c r="X3" i="11" a="1"/>
  <c r="X3" i="11" s="1"/>
  <c r="S3" i="11" s="1"/>
  <c r="D3" i="11" s="1"/>
  <c r="AF3" i="11" s="1" a="1"/>
  <c r="AF3" i="11" s="1"/>
  <c r="W3" i="11" a="1"/>
  <c r="W3" i="11" s="1"/>
  <c r="V3" i="11" a="1"/>
  <c r="V3" i="11" s="1"/>
  <c r="Q3" i="11" s="1"/>
  <c r="B3" i="11" s="1"/>
  <c r="AD3" i="11" s="1" a="1"/>
  <c r="AD3" i="11" s="1"/>
  <c r="Y3" i="11" a="1"/>
  <c r="Y3" i="11" s="1"/>
  <c r="T3" i="11" s="1"/>
  <c r="E3" i="11" s="1"/>
  <c r="AG3" i="11" s="1" a="1"/>
  <c r="AG3" i="11" s="1"/>
  <c r="AE13" i="11" a="1"/>
  <c r="AE13" i="11" s="1"/>
  <c r="A2" i="11"/>
  <c r="V2" i="11" s="1" a="1"/>
  <c r="V2" i="11" s="1"/>
  <c r="Q2" i="11" s="1"/>
  <c r="AF21" i="11" a="1"/>
  <c r="AF21" i="11" s="1"/>
  <c r="AG8" i="11" a="1"/>
  <c r="AG8" i="11" s="1"/>
  <c r="AG7" i="11" a="1"/>
  <c r="AG7" i="11" s="1"/>
  <c r="AE8" i="11" a="1"/>
  <c r="AE8" i="11" s="1"/>
  <c r="AG15" i="11" a="1"/>
  <c r="AG15" i="11" s="1"/>
  <c r="AD12" i="11" a="1"/>
  <c r="AD12" i="11" s="1"/>
  <c r="AF13" i="11" a="1"/>
  <c r="AF13" i="11" s="1"/>
  <c r="AF9" i="11" a="1"/>
  <c r="AF9" i="11" s="1"/>
  <c r="AE22" i="11" a="1"/>
  <c r="AE22" i="11" s="1"/>
  <c r="AE4" i="11" a="1"/>
  <c r="AE4" i="11" s="1"/>
  <c r="AF20" i="11" a="1"/>
  <c r="AF20" i="11" s="1"/>
  <c r="AF17" i="11" a="1"/>
  <c r="AF17" i="11" s="1"/>
  <c r="AG21" i="11" a="1"/>
  <c r="AG21" i="11" s="1"/>
  <c r="AF15" i="11" a="1"/>
  <c r="AF15" i="11" s="1"/>
  <c r="AF6" i="11" a="1"/>
  <c r="AF6" i="11" s="1"/>
  <c r="AD14" i="11" a="1"/>
  <c r="AD14" i="11" s="1"/>
  <c r="AF4" i="11" a="1"/>
  <c r="AF4" i="11" s="1"/>
  <c r="AG6" i="11" a="1"/>
  <c r="AG6" i="11" s="1"/>
  <c r="AD5" i="11" a="1"/>
  <c r="AD5" i="11" s="1"/>
  <c r="AE21" i="11" a="1"/>
  <c r="AE21" i="11" s="1"/>
  <c r="AE10" i="11" a="1"/>
  <c r="AE10" i="11" s="1"/>
  <c r="AD9" i="11" a="1"/>
  <c r="AD9" i="11" s="1"/>
  <c r="AG11" i="11" a="1"/>
  <c r="AG11" i="11" s="1"/>
  <c r="AV47" i="22" l="1"/>
  <c r="AV46" i="22"/>
  <c r="AV45" i="22"/>
  <c r="AV44" i="22"/>
  <c r="AV48" i="22"/>
  <c r="AV43" i="22"/>
  <c r="AV47" i="21"/>
  <c r="AV46" i="21"/>
  <c r="AV45" i="21"/>
  <c r="AV43" i="21"/>
  <c r="AV44" i="21"/>
  <c r="AV48" i="21"/>
  <c r="AV47" i="20"/>
  <c r="AV46" i="20"/>
  <c r="AV45" i="20"/>
  <c r="AV44" i="20"/>
  <c r="AV43" i="20"/>
  <c r="AV48" i="20"/>
  <c r="AV46" i="19"/>
  <c r="AV45" i="19"/>
  <c r="AV44" i="19"/>
  <c r="AV43" i="19"/>
  <c r="AV47" i="19"/>
  <c r="AV48" i="19"/>
  <c r="W2" i="11" a="1"/>
  <c r="W2" i="11" s="1"/>
  <c r="R2" i="11" s="1"/>
  <c r="Y2" i="11" a="1"/>
  <c r="Y2" i="11" s="1"/>
  <c r="E2" i="11" s="1"/>
  <c r="AG2" i="11" s="1" a="1"/>
  <c r="AG2" i="11" s="1"/>
  <c r="X2" i="11" a="1"/>
  <c r="X2" i="11" s="1"/>
  <c r="D2" i="11" s="1"/>
  <c r="AF2" i="11" s="1" a="1"/>
  <c r="AF2" i="11" s="1"/>
  <c r="B2" i="11"/>
  <c r="AD2" i="11" s="1" a="1"/>
  <c r="AD2" i="11" s="1"/>
  <c r="R3" i="11"/>
  <c r="C3" i="11" s="1"/>
  <c r="AE3" i="11" s="1" a="1"/>
  <c r="AE3" i="11" s="1"/>
  <c r="AY43" i="22" l="1"/>
  <c r="AX43" i="22"/>
  <c r="AW43" i="22"/>
  <c r="AZ26" i="22"/>
  <c r="AZ8" i="22"/>
  <c r="AZ38" i="22"/>
  <c r="AZ32" i="22"/>
  <c r="AZ14" i="22"/>
  <c r="AZ20" i="22"/>
  <c r="AY48" i="22"/>
  <c r="AX48" i="22"/>
  <c r="AW48" i="22"/>
  <c r="AY44" i="22"/>
  <c r="AX44" i="22"/>
  <c r="AW44" i="22"/>
  <c r="AX45" i="22"/>
  <c r="AW45" i="22"/>
  <c r="AY45" i="22"/>
  <c r="AW46" i="22"/>
  <c r="AY46" i="22"/>
  <c r="AX46" i="22"/>
  <c r="AY47" i="22"/>
  <c r="AX47" i="22"/>
  <c r="AW47" i="22"/>
  <c r="AY44" i="21"/>
  <c r="AX44" i="21"/>
  <c r="AW44" i="21"/>
  <c r="AY43" i="21"/>
  <c r="AX43" i="21"/>
  <c r="AW43" i="21"/>
  <c r="AZ14" i="21"/>
  <c r="AZ26" i="21"/>
  <c r="AZ8" i="21"/>
  <c r="AZ38" i="21"/>
  <c r="AZ32" i="21"/>
  <c r="AZ20" i="21"/>
  <c r="AY48" i="21"/>
  <c r="AX48" i="21"/>
  <c r="AW48" i="21"/>
  <c r="AX45" i="21"/>
  <c r="AW45" i="21"/>
  <c r="AY45" i="21"/>
  <c r="AW46" i="21"/>
  <c r="AY46" i="21"/>
  <c r="AX46" i="21"/>
  <c r="AW47" i="21"/>
  <c r="AY47" i="21"/>
  <c r="AX47" i="21"/>
  <c r="AW46" i="20"/>
  <c r="AY46" i="20"/>
  <c r="AX46" i="20"/>
  <c r="AY43" i="20"/>
  <c r="AX43" i="20"/>
  <c r="AW43" i="20"/>
  <c r="AZ26" i="20"/>
  <c r="AZ32" i="20"/>
  <c r="AZ8" i="20"/>
  <c r="AZ38" i="20"/>
  <c r="AZ14" i="20"/>
  <c r="AZ20" i="20"/>
  <c r="AY47" i="20"/>
  <c r="AX47" i="20"/>
  <c r="AW47" i="20"/>
  <c r="AY48" i="20"/>
  <c r="AX48" i="20"/>
  <c r="AW48" i="20"/>
  <c r="AY44" i="20"/>
  <c r="AX44" i="20"/>
  <c r="AW44" i="20"/>
  <c r="AX45" i="20"/>
  <c r="AW45" i="20"/>
  <c r="AY45" i="20"/>
  <c r="AY47" i="19"/>
  <c r="AX47" i="19"/>
  <c r="AW47" i="19"/>
  <c r="AY43" i="19"/>
  <c r="AX43" i="19"/>
  <c r="AW43" i="19"/>
  <c r="AZ8" i="19"/>
  <c r="AZ32" i="19"/>
  <c r="AZ38" i="19"/>
  <c r="AZ26" i="19"/>
  <c r="AZ20" i="19"/>
  <c r="AZ14" i="19"/>
  <c r="AX44" i="19"/>
  <c r="AW44" i="19"/>
  <c r="AY44" i="19"/>
  <c r="AY48" i="19"/>
  <c r="AX48" i="19"/>
  <c r="AW48" i="19"/>
  <c r="AW45" i="19"/>
  <c r="AY45" i="19"/>
  <c r="AX45" i="19"/>
  <c r="AY46" i="19"/>
  <c r="AW46" i="19"/>
  <c r="AX46" i="19"/>
  <c r="C2" i="11"/>
  <c r="AE2" i="11" s="1" a="1"/>
  <c r="AE2" i="11" s="1"/>
  <c r="T2" i="11"/>
  <c r="S2" i="11"/>
  <c r="AZ42" i="22" l="1"/>
  <c r="AZ42" i="21"/>
  <c r="AZ42" i="20"/>
  <c r="AZ42" i="19"/>
  <c r="BJ5" i="16" l="1"/>
  <c r="BJ26" i="16"/>
  <c r="BJ17" i="16"/>
  <c r="BJ6" i="16"/>
  <c r="BJ29" i="16"/>
  <c r="BJ22" i="16"/>
  <c r="BJ16" i="16"/>
  <c r="BJ14" i="16"/>
  <c r="BJ11" i="16"/>
  <c r="BJ30" i="16"/>
  <c r="BJ19" i="16"/>
  <c r="BJ12" i="16"/>
  <c r="BJ20" i="16"/>
  <c r="BJ9" i="16"/>
  <c r="BJ31" i="16"/>
  <c r="BJ25" i="16"/>
  <c r="BJ15" i="16"/>
  <c r="BJ10" i="16"/>
  <c r="BJ4" i="16"/>
  <c r="BJ27" i="16"/>
  <c r="BJ21" i="16"/>
  <c r="BJ24" i="16"/>
  <c r="BJ32" i="16"/>
  <c r="BJ7" i="16"/>
  <c r="EI4" i="16"/>
  <c r="GC4" i="16"/>
  <c r="EH5" i="16"/>
  <c r="GB5" i="16"/>
  <c r="EL6" i="16"/>
  <c r="CV7" i="16"/>
  <c r="FV7" i="16"/>
  <c r="EF8" i="16"/>
  <c r="DB11" i="16"/>
  <c r="DS5" i="16"/>
  <c r="FW5" i="16"/>
  <c r="DN6" i="16"/>
  <c r="CW7" i="16"/>
  <c r="FW7" i="16"/>
  <c r="DJ12" i="16"/>
  <c r="GE5" i="16"/>
  <c r="DJ5" i="16"/>
  <c r="DN4" i="16"/>
  <c r="FR4" i="16"/>
  <c r="DC4" i="16"/>
  <c r="FM4" i="16"/>
  <c r="DH5" i="16"/>
  <c r="FR5" i="16"/>
  <c r="DO6" i="16"/>
  <c r="FM7" i="16"/>
  <c r="CW10" i="16"/>
  <c r="FA6" i="16"/>
  <c r="DI7" i="16"/>
  <c r="DD8" i="16"/>
  <c r="EW10" i="16"/>
  <c r="FQ7" i="16"/>
  <c r="DI10" i="16"/>
  <c r="FM27" i="16"/>
  <c r="DI27" i="16"/>
  <c r="FU27" i="16"/>
  <c r="DB27" i="16"/>
  <c r="EO26" i="16"/>
  <c r="GH25" i="16"/>
  <c r="EH25" i="16"/>
  <c r="FT24" i="16"/>
  <c r="FT27" i="16"/>
  <c r="DA27" i="16"/>
  <c r="ET26" i="16"/>
  <c r="CZ26" i="16"/>
  <c r="ES25" i="16"/>
  <c r="CY25" i="16"/>
  <c r="EQ24" i="16"/>
  <c r="ES27" i="16"/>
  <c r="GF26" i="16"/>
  <c r="EF26" i="16"/>
  <c r="FS25" i="16"/>
  <c r="DO25" i="16"/>
  <c r="FW24" i="16"/>
  <c r="ER27" i="16"/>
  <c r="GE26" i="16"/>
  <c r="EK26" i="16"/>
  <c r="GD25" i="16"/>
  <c r="EJ25" i="16"/>
  <c r="GH24" i="16"/>
  <c r="EH24" i="16"/>
  <c r="GC27" i="16"/>
  <c r="DK27" i="16"/>
  <c r="FL26" i="16"/>
  <c r="EO4" i="16"/>
  <c r="GI4" i="16"/>
  <c r="EN5" i="16"/>
  <c r="GH5" i="16"/>
  <c r="EV6" i="16"/>
  <c r="DF7" i="16"/>
  <c r="GH7" i="16"/>
  <c r="FZ8" i="16"/>
  <c r="EV11" i="16"/>
  <c r="EI5" i="16"/>
  <c r="GC5" i="16"/>
  <c r="EO6" i="16"/>
  <c r="DG7" i="16"/>
  <c r="EL8" i="16"/>
  <c r="GH12" i="16"/>
  <c r="DC5" i="16"/>
  <c r="DK4" i="16"/>
  <c r="ER5" i="16"/>
  <c r="ED4" i="16"/>
  <c r="FX4" i="16"/>
  <c r="DI4" i="16"/>
  <c r="FS4" i="16"/>
  <c r="DN5" i="16"/>
  <c r="FX5" i="16"/>
  <c r="EF6" i="16"/>
  <c r="CZ7" i="16"/>
  <c r="FY7" i="16"/>
  <c r="EQ10" i="16"/>
  <c r="DC6" i="16"/>
  <c r="FS6" i="16"/>
  <c r="DS7" i="16"/>
  <c r="EX8" i="16"/>
  <c r="GC7" i="16"/>
  <c r="FM10" i="16"/>
  <c r="EW27" i="16"/>
  <c r="DC27" i="16"/>
  <c r="FN27" i="16"/>
  <c r="GI26" i="16"/>
  <c r="EI26" i="16"/>
  <c r="GB25" i="16"/>
  <c r="DL25" i="16"/>
  <c r="FN24" i="16"/>
  <c r="FL27" i="16"/>
  <c r="GH26" i="16"/>
  <c r="EN26" i="16"/>
  <c r="GG25" i="16"/>
  <c r="EM25" i="16"/>
  <c r="GE24" i="16"/>
  <c r="EK24" i="16"/>
  <c r="EL27" i="16"/>
  <c r="FZ26" i="16"/>
  <c r="DJ26" i="16"/>
  <c r="FM25" i="16"/>
  <c r="DI25" i="16"/>
  <c r="FQ24" i="16"/>
  <c r="EJ27" i="16"/>
  <c r="FY26" i="16"/>
  <c r="EE26" i="16"/>
  <c r="FX25" i="16"/>
  <c r="ED25" i="16"/>
  <c r="GB24" i="16"/>
  <c r="DL24" i="16"/>
  <c r="FV27" i="16"/>
  <c r="DD27" i="16"/>
  <c r="EV26" i="16"/>
  <c r="DB26" i="16"/>
  <c r="DA4" i="16"/>
  <c r="EU4" i="16"/>
  <c r="CZ5" i="16"/>
  <c r="ET5" i="16"/>
  <c r="FN6" i="16"/>
  <c r="DN7" i="16"/>
  <c r="CX9" i="16"/>
  <c r="DC12" i="16"/>
  <c r="EO5" i="16"/>
  <c r="GI5" i="16"/>
  <c r="EW6" i="16"/>
  <c r="DO7" i="16"/>
  <c r="GF8" i="16"/>
  <c r="DJ4" i="16"/>
  <c r="DO5" i="16"/>
  <c r="ES4" i="16"/>
  <c r="EJ4" i="16"/>
  <c r="GD4" i="16"/>
  <c r="DO4" i="16"/>
  <c r="FY4" i="16"/>
  <c r="EJ5" i="16"/>
  <c r="GD5" i="16"/>
  <c r="EP6" i="16"/>
  <c r="DH7" i="16"/>
  <c r="CX8" i="16"/>
  <c r="DN11" i="16"/>
  <c r="DI6" i="16"/>
  <c r="GC6" i="16"/>
  <c r="EK7" i="16"/>
  <c r="DP9" i="16"/>
  <c r="ED11" i="16"/>
  <c r="DB7" i="16"/>
  <c r="DJ8" i="16"/>
  <c r="GD11" i="16"/>
  <c r="EQ27" i="16"/>
  <c r="CW27" i="16"/>
  <c r="EV27" i="16"/>
  <c r="GC26" i="16"/>
  <c r="DS26" i="16"/>
  <c r="FV25" i="16"/>
  <c r="DF25" i="16"/>
  <c r="EX24" i="16"/>
  <c r="EU27" i="16"/>
  <c r="GB26" i="16"/>
  <c r="EH26" i="16"/>
  <c r="GA25" i="16"/>
  <c r="EG25" i="16"/>
  <c r="FY24" i="16"/>
  <c r="GG27" i="16"/>
  <c r="ED27" i="16"/>
  <c r="FT26" i="16"/>
  <c r="DD26" i="16"/>
  <c r="EW25" i="16"/>
  <c r="DC25" i="16"/>
  <c r="EU24" i="16"/>
  <c r="DS27" i="16"/>
  <c r="FS26" i="16"/>
  <c r="DO26" i="16"/>
  <c r="FR25" i="16"/>
  <c r="DN25" i="16"/>
  <c r="FV24" i="16"/>
  <c r="DF24" i="16"/>
  <c r="FO27" i="16"/>
  <c r="CV27" i="16"/>
  <c r="EP26" i="16"/>
  <c r="CV26" i="16"/>
  <c r="DM4" i="16"/>
  <c r="DL5" i="16"/>
  <c r="CZ6" i="16"/>
  <c r="EH7" i="16"/>
  <c r="DM5" i="16"/>
  <c r="DG6" i="16"/>
  <c r="FA7" i="16"/>
  <c r="FZ4" i="16"/>
  <c r="GG4" i="16"/>
  <c r="EV4" i="16"/>
  <c r="EQ4" i="16"/>
  <c r="EV5" i="16"/>
  <c r="FR6" i="16"/>
  <c r="ER8" i="16"/>
  <c r="DP6" i="16"/>
  <c r="EU7" i="16"/>
  <c r="EN7" i="16"/>
  <c r="FY27" i="16"/>
  <c r="GI27" i="16"/>
  <c r="FQ26" i="16"/>
  <c r="ET25" i="16"/>
  <c r="GH27" i="16"/>
  <c r="FP26" i="16"/>
  <c r="FO25" i="16"/>
  <c r="FM24" i="16"/>
  <c r="DF27" i="16"/>
  <c r="GE25" i="16"/>
  <c r="GI24" i="16"/>
  <c r="DE27" i="16"/>
  <c r="DC26" i="16"/>
  <c r="DB25" i="16"/>
  <c r="FX26" i="16"/>
  <c r="GI25" i="16"/>
  <c r="EI25" i="16"/>
  <c r="FU24" i="16"/>
  <c r="DN27" i="16"/>
  <c r="DM24" i="16"/>
  <c r="FM23" i="16"/>
  <c r="DI23" i="16"/>
  <c r="FQ22" i="16"/>
  <c r="DA22" i="16"/>
  <c r="EU21" i="16"/>
  <c r="DA21" i="16"/>
  <c r="DJ25" i="16"/>
  <c r="CW24" i="16"/>
  <c r="EJ23" i="16"/>
  <c r="GH22" i="16"/>
  <c r="EH22" i="16"/>
  <c r="GH21" i="16"/>
  <c r="EH21" i="16"/>
  <c r="DD25" i="16"/>
  <c r="GI23" i="16"/>
  <c r="EI23" i="16"/>
  <c r="GA22" i="16"/>
  <c r="EG22" i="16"/>
  <c r="GA21" i="16"/>
  <c r="EG21" i="16"/>
  <c r="EJ24" i="16"/>
  <c r="FV23" i="16"/>
  <c r="DF23" i="16"/>
  <c r="EX22" i="16"/>
  <c r="DD22" i="16"/>
  <c r="EX21" i="16"/>
  <c r="DK26" i="16"/>
  <c r="DH24" i="16"/>
  <c r="EY23" i="16"/>
  <c r="DE23" i="16"/>
  <c r="EQ22" i="16"/>
  <c r="CW22" i="16"/>
  <c r="EK21" i="16"/>
  <c r="GI20" i="16"/>
  <c r="EI20" i="16"/>
  <c r="DE26" i="16"/>
  <c r="DG24" i="16"/>
  <c r="EX23" i="16"/>
  <c r="DD23" i="16"/>
  <c r="EV22" i="16"/>
  <c r="DB22" i="16"/>
  <c r="EP21" i="16"/>
  <c r="EP12" i="16"/>
  <c r="DS4" i="16"/>
  <c r="DR5" i="16"/>
  <c r="DF6" i="16"/>
  <c r="EP7" i="16"/>
  <c r="ER9" i="16"/>
  <c r="EU5" i="16"/>
  <c r="FQ6" i="16"/>
  <c r="DD9" i="16"/>
  <c r="EK5" i="16"/>
  <c r="FL4" i="16"/>
  <c r="EW4" i="16"/>
  <c r="FL5" i="16"/>
  <c r="FZ6" i="16"/>
  <c r="DJ9" i="16"/>
  <c r="EI6" i="16"/>
  <c r="FP7" i="16"/>
  <c r="FX11" i="16"/>
  <c r="EV7" i="16"/>
  <c r="FS27" i="16"/>
  <c r="GB27" i="16"/>
  <c r="EU26" i="16"/>
  <c r="EN25" i="16"/>
  <c r="GA27" i="16"/>
  <c r="EZ26" i="16"/>
  <c r="EY25" i="16"/>
  <c r="EW24" i="16"/>
  <c r="CY27" i="16"/>
  <c r="FY25" i="16"/>
  <c r="GC24" i="16"/>
  <c r="CX27" i="16"/>
  <c r="CW26" i="16"/>
  <c r="CV25" i="16"/>
  <c r="FR26" i="16"/>
  <c r="GC25" i="16"/>
  <c r="DM25" i="16"/>
  <c r="FO24" i="16"/>
  <c r="ES26" i="16"/>
  <c r="DE24" i="16"/>
  <c r="EW23" i="16"/>
  <c r="DC23" i="16"/>
  <c r="FA22" i="16"/>
  <c r="GI21" i="16"/>
  <c r="EO21" i="16"/>
  <c r="FR27" i="16"/>
  <c r="GD24" i="16"/>
  <c r="GD23" i="16"/>
  <c r="ED23" i="16"/>
  <c r="GB22" i="16"/>
  <c r="DR22" i="16"/>
  <c r="GB21" i="16"/>
  <c r="DR21" i="16"/>
  <c r="FX24" i="16"/>
  <c r="GC23" i="16"/>
  <c r="DS23" i="16"/>
  <c r="FU22" i="16"/>
  <c r="DQ22" i="16"/>
  <c r="FU21" i="16"/>
  <c r="ET27" i="16"/>
  <c r="DP24" i="16"/>
  <c r="FP23" i="16"/>
  <c r="CZ23" i="16"/>
  <c r="ER22" i="16"/>
  <c r="CX22" i="16"/>
  <c r="ER21" i="16"/>
  <c r="GF25" i="16"/>
  <c r="DA24" i="16"/>
  <c r="ES23" i="16"/>
  <c r="CY23" i="16"/>
  <c r="EK22" i="16"/>
  <c r="GE21" i="16"/>
  <c r="EE21" i="16"/>
  <c r="GC20" i="16"/>
  <c r="DS20" i="16"/>
  <c r="FZ25" i="16"/>
  <c r="CY24" i="16"/>
  <c r="ER23" i="16"/>
  <c r="CX23" i="16"/>
  <c r="EP22" i="16"/>
  <c r="FQ4" i="16"/>
  <c r="FP5" i="16"/>
  <c r="FX6" i="16"/>
  <c r="FY10" i="16"/>
  <c r="FQ5" i="16"/>
  <c r="GI6" i="16"/>
  <c r="FW4" i="16"/>
  <c r="FV5" i="16"/>
  <c r="GF6" i="16"/>
  <c r="FP12" i="16"/>
  <c r="DA5" i="16"/>
  <c r="EI7" i="16"/>
  <c r="ER4" i="16"/>
  <c r="FO4" i="16"/>
  <c r="EZ5" i="16"/>
  <c r="DA6" i="16"/>
  <c r="EW5" i="16"/>
  <c r="DH4" i="16"/>
  <c r="GE4" i="16"/>
  <c r="DH6" i="16"/>
  <c r="FN9" i="16"/>
  <c r="EF9" i="16"/>
  <c r="DG26" i="16"/>
  <c r="ER24" i="16"/>
  <c r="DL26" i="16"/>
  <c r="FS24" i="16"/>
  <c r="ER26" i="16"/>
  <c r="CW25" i="16"/>
  <c r="EW26" i="16"/>
  <c r="DH25" i="16"/>
  <c r="EI27" i="16"/>
  <c r="DH26" i="16"/>
  <c r="DA25" i="16"/>
  <c r="FZ27" i="16"/>
  <c r="GE23" i="16"/>
  <c r="DO23" i="16"/>
  <c r="EI22" i="16"/>
  <c r="FA21" i="16"/>
  <c r="GG26" i="16"/>
  <c r="DD24" i="16"/>
  <c r="DH23" i="16"/>
  <c r="EN22" i="16"/>
  <c r="FP21" i="16"/>
  <c r="EG26" i="16"/>
  <c r="FQ23" i="16"/>
  <c r="GG22" i="16"/>
  <c r="DE22" i="16"/>
  <c r="EM21" i="16"/>
  <c r="DB24" i="16"/>
  <c r="DR23" i="16"/>
  <c r="EF22" i="16"/>
  <c r="FN21" i="16"/>
  <c r="FL24" i="16"/>
  <c r="FO23" i="16"/>
  <c r="FY22" i="16"/>
  <c r="DC22" i="16"/>
  <c r="DI21" i="16"/>
  <c r="EO20" i="16"/>
  <c r="EV24" i="16"/>
  <c r="FN23" i="16"/>
  <c r="FX22" i="16"/>
  <c r="DH22" i="16"/>
  <c r="EJ21" i="16"/>
  <c r="GB20" i="16"/>
  <c r="EH20" i="16"/>
  <c r="DE21" i="16"/>
  <c r="DQ20" i="16"/>
  <c r="FM19" i="16"/>
  <c r="CW19" i="16"/>
  <c r="EJ18" i="16"/>
  <c r="GA17" i="16"/>
  <c r="DQ17" i="16"/>
  <c r="DD21" i="16"/>
  <c r="DP20" i="16"/>
  <c r="EY20" i="16"/>
  <c r="GC19" i="16"/>
  <c r="EI19" i="16"/>
  <c r="GB18" i="16"/>
  <c r="EH18" i="16"/>
  <c r="FY17" i="16"/>
  <c r="EE17" i="16"/>
  <c r="FZ16" i="16"/>
  <c r="DP16" i="16"/>
  <c r="FR20" i="16"/>
  <c r="GH19" i="16"/>
  <c r="EN19" i="16"/>
  <c r="GG18" i="16"/>
  <c r="EG18" i="16"/>
  <c r="FX17" i="16"/>
  <c r="DN17" i="16"/>
  <c r="FM16" i="16"/>
  <c r="CW16" i="16"/>
  <c r="GG20" i="16"/>
  <c r="DC20" i="16"/>
  <c r="ES19" i="16"/>
  <c r="CY19" i="16"/>
  <c r="ER18" i="16"/>
  <c r="CX18" i="16"/>
  <c r="EU17" i="16"/>
  <c r="DA17" i="16"/>
  <c r="FX20" i="16"/>
  <c r="FW18" i="16"/>
  <c r="DR17" i="16"/>
  <c r="EH16" i="16"/>
  <c r="FS15" i="16"/>
  <c r="DO15" i="16"/>
  <c r="FR14" i="16"/>
  <c r="DN14" i="16"/>
  <c r="FR13" i="16"/>
  <c r="DN13" i="16"/>
  <c r="FU12" i="16"/>
  <c r="DB19" i="16"/>
  <c r="DP17" i="16"/>
  <c r="EG16" i="16"/>
  <c r="FL15" i="16"/>
  <c r="DH15" i="16"/>
  <c r="FQ14" i="16"/>
  <c r="DA14" i="16"/>
  <c r="EU13" i="16"/>
  <c r="GF12" i="16"/>
  <c r="CX19" i="16"/>
  <c r="FP17" i="16"/>
  <c r="EN16" i="16"/>
  <c r="FQ15" i="16"/>
  <c r="DM15" i="16"/>
  <c r="FP14" i="16"/>
  <c r="DL14" i="16"/>
  <c r="FV13" i="16"/>
  <c r="DR13" i="16"/>
  <c r="FM18" i="16"/>
  <c r="FO16" i="16"/>
  <c r="FW15" i="16"/>
  <c r="DL15" i="16"/>
  <c r="FO14" i="16"/>
  <c r="DE14" i="16"/>
  <c r="EY13" i="16"/>
  <c r="FY6" i="16"/>
  <c r="FS5" i="16"/>
  <c r="EP4" i="16"/>
  <c r="EX6" i="16"/>
  <c r="FR11" i="16"/>
  <c r="DA7" i="16"/>
  <c r="EH12" i="16"/>
  <c r="FZ9" i="16"/>
  <c r="EO27" i="16"/>
  <c r="DA26" i="16"/>
  <c r="EN27" i="16"/>
  <c r="DF26" i="16"/>
  <c r="GF27" i="16"/>
  <c r="EL26" i="16"/>
  <c r="GD27" i="16"/>
  <c r="EQ26" i="16"/>
  <c r="FP24" i="16"/>
  <c r="DR27" i="16"/>
  <c r="FW25" i="16"/>
  <c r="GG24" i="16"/>
  <c r="CY26" i="16"/>
  <c r="FY23" i="16"/>
  <c r="CW23" i="16"/>
  <c r="DS22" i="16"/>
  <c r="EI21" i="16"/>
  <c r="EM26" i="16"/>
  <c r="FX23" i="16"/>
  <c r="DB23" i="16"/>
  <c r="DL22" i="16"/>
  <c r="EZ21" i="16"/>
  <c r="EL24" i="16"/>
  <c r="FA23" i="16"/>
  <c r="FO22" i="16"/>
  <c r="CY22" i="16"/>
  <c r="FU26" i="16"/>
  <c r="GH23" i="16"/>
  <c r="GF22" i="16"/>
  <c r="DP22" i="16"/>
  <c r="EL21" i="16"/>
  <c r="EI24" i="16"/>
  <c r="EM23" i="16"/>
  <c r="FS22" i="16"/>
  <c r="FY21" i="16"/>
  <c r="DC21" i="16"/>
  <c r="DM20" i="16"/>
  <c r="EF24" i="16"/>
  <c r="EL23" i="16"/>
  <c r="FR22" i="16"/>
  <c r="CV22" i="16"/>
  <c r="ED21" i="16"/>
  <c r="FV20" i="16"/>
  <c r="DR20" i="16"/>
  <c r="GE20" i="16"/>
  <c r="DI20" i="16"/>
  <c r="EW19" i="16"/>
  <c r="GD18" i="16"/>
  <c r="ED18" i="16"/>
  <c r="FU17" i="16"/>
  <c r="DE17" i="16"/>
  <c r="GD20" i="16"/>
  <c r="DH20" i="16"/>
  <c r="EQ20" i="16"/>
  <c r="FW19" i="16"/>
  <c r="DS19" i="16"/>
  <c r="FV18" i="16"/>
  <c r="DR18" i="16"/>
  <c r="FS17" i="16"/>
  <c r="DO17" i="16"/>
  <c r="FT16" i="16"/>
  <c r="DD16" i="16"/>
  <c r="EX20" i="16"/>
  <c r="GB19" i="16"/>
  <c r="EH19" i="16"/>
  <c r="GA18" i="16"/>
  <c r="DQ18" i="16"/>
  <c r="FR17" i="16"/>
  <c r="DB17" i="16"/>
  <c r="EW16" i="16"/>
  <c r="GF15" i="16"/>
  <c r="FY20" i="16"/>
  <c r="GG19" i="16"/>
  <c r="EM19" i="16"/>
  <c r="GF18" i="16"/>
  <c r="EL18" i="16"/>
  <c r="GI17" i="16"/>
  <c r="EO17" i="16"/>
  <c r="GD16" i="16"/>
  <c r="DJ20" i="16"/>
  <c r="EU18" i="16"/>
  <c r="CZ17" i="16"/>
  <c r="DN16" i="16"/>
  <c r="FM15" i="16"/>
  <c r="DI15" i="16"/>
  <c r="FL14" i="16"/>
  <c r="DH14" i="16"/>
  <c r="FL13" i="16"/>
  <c r="DH13" i="16"/>
  <c r="FO12" i="16"/>
  <c r="FS18" i="16"/>
  <c r="CX17" i="16"/>
  <c r="DM16" i="16"/>
  <c r="EV15" i="16"/>
  <c r="DB15" i="16"/>
  <c r="FA14" i="16"/>
  <c r="GI13" i="16"/>
  <c r="EI13" i="16"/>
  <c r="FZ12" i="16"/>
  <c r="GI18" i="16"/>
  <c r="EN17" i="16"/>
  <c r="ED16" i="16"/>
  <c r="FA15" i="16"/>
  <c r="DG15" i="16"/>
  <c r="EZ14" i="16"/>
  <c r="DF14" i="16"/>
  <c r="FP13" i="16"/>
  <c r="DL13" i="16"/>
  <c r="EK18" i="16"/>
  <c r="EU16" i="16"/>
  <c r="FP15" i="16"/>
  <c r="CZ15" i="16"/>
  <c r="DG4" i="16"/>
  <c r="EE10" i="16"/>
  <c r="DG5" i="16"/>
  <c r="EX9" i="16"/>
  <c r="DH11" i="16"/>
  <c r="EP5" i="16"/>
  <c r="DR7" i="16"/>
  <c r="FT9" i="16"/>
  <c r="EK27" i="16"/>
  <c r="DJ27" i="16"/>
  <c r="CZ25" i="16"/>
  <c r="DH27" i="16"/>
  <c r="DQ25" i="16"/>
  <c r="FQ27" i="16"/>
  <c r="EQ25" i="16"/>
  <c r="FP27" i="16"/>
  <c r="FL25" i="16"/>
  <c r="EN24" i="16"/>
  <c r="EJ26" i="16"/>
  <c r="EU25" i="16"/>
  <c r="ES24" i="16"/>
  <c r="EP24" i="16"/>
  <c r="EQ23" i="16"/>
  <c r="GC22" i="16"/>
  <c r="GC21" i="16"/>
  <c r="DM21" i="16"/>
  <c r="EO24" i="16"/>
  <c r="FL23" i="16"/>
  <c r="FV22" i="16"/>
  <c r="CZ22" i="16"/>
  <c r="FA27" i="16"/>
  <c r="DC24" i="16"/>
  <c r="DM23" i="16"/>
  <c r="ES22" i="16"/>
  <c r="FO21" i="16"/>
  <c r="CX25" i="16"/>
  <c r="EZ23" i="16"/>
  <c r="FT22" i="16"/>
  <c r="GF21" i="16"/>
  <c r="EM27" i="16"/>
  <c r="GG23" i="16"/>
  <c r="DQ23" i="16"/>
  <c r="EE22" i="16"/>
  <c r="FM21" i="16"/>
  <c r="FW20" i="16"/>
  <c r="DA20" i="16"/>
  <c r="GF23" i="16"/>
  <c r="DP23" i="16"/>
  <c r="EJ22" i="16"/>
  <c r="FX21" i="16"/>
  <c r="DB21" i="16"/>
  <c r="EZ20" i="16"/>
  <c r="DF20" i="16"/>
  <c r="FM20" i="16"/>
  <c r="GE19" i="16"/>
  <c r="EE19" i="16"/>
  <c r="FR18" i="16"/>
  <c r="DB18" i="16"/>
  <c r="EY17" i="16"/>
  <c r="GH16" i="16"/>
  <c r="FL20" i="16"/>
  <c r="CZ21" i="16"/>
  <c r="DE20" i="16"/>
  <c r="FA19" i="16"/>
  <c r="DG19" i="16"/>
  <c r="EZ18" i="16"/>
  <c r="DF18" i="16"/>
  <c r="EW17" i="16"/>
  <c r="DC17" i="16"/>
  <c r="EX16" i="16"/>
  <c r="DK21" i="16"/>
  <c r="EF20" i="16"/>
  <c r="FP19" i="16"/>
  <c r="DL19" i="16"/>
  <c r="FO18" i="16"/>
  <c r="DE18" i="16"/>
  <c r="EV17" i="16"/>
  <c r="GE16" i="16"/>
  <c r="EE16" i="16"/>
  <c r="FT15" i="16"/>
  <c r="EM20" i="16"/>
  <c r="FA4" i="16"/>
  <c r="EZ7" i="16"/>
  <c r="FA5" i="16"/>
  <c r="GE10" i="16"/>
  <c r="FL11" i="16"/>
  <c r="CV4" i="16"/>
  <c r="EJ7" i="16"/>
  <c r="EQ6" i="16"/>
  <c r="DL7" i="16"/>
  <c r="EE27" i="16"/>
  <c r="FW26" i="16"/>
  <c r="GF24" i="16"/>
  <c r="FV26" i="16"/>
  <c r="DK25" i="16"/>
  <c r="DM27" i="16"/>
  <c r="EK25" i="16"/>
  <c r="DL27" i="16"/>
  <c r="EV25" i="16"/>
  <c r="CZ24" i="16"/>
  <c r="ED26" i="16"/>
  <c r="EO25" i="16"/>
  <c r="EM24" i="16"/>
  <c r="EE24" i="16"/>
  <c r="EK23" i="16"/>
  <c r="FW22" i="16"/>
  <c r="FW21" i="16"/>
  <c r="DG21" i="16"/>
  <c r="ED24" i="16"/>
  <c r="EP23" i="16"/>
  <c r="FP22" i="16"/>
  <c r="CZ27" i="16"/>
  <c r="CV24" i="16"/>
  <c r="DG23" i="16"/>
  <c r="EM22" i="16"/>
  <c r="EY21" i="16"/>
  <c r="FR24" i="16"/>
  <c r="EN23" i="16"/>
  <c r="FN22" i="16"/>
  <c r="FZ21" i="16"/>
  <c r="FO26" i="16"/>
  <c r="GA23" i="16"/>
  <c r="DK23" i="16"/>
  <c r="DO22" i="16"/>
  <c r="EQ21" i="16"/>
  <c r="FQ20" i="16"/>
  <c r="EF27" i="16"/>
  <c r="FZ23" i="16"/>
  <c r="DJ23" i="16"/>
  <c r="ED22" i="16"/>
  <c r="FR21" i="16"/>
  <c r="CV21" i="16"/>
  <c r="ET20" i="16"/>
  <c r="CZ20" i="16"/>
  <c r="ES20" i="16"/>
  <c r="FY19" i="16"/>
  <c r="DO19" i="16"/>
  <c r="FL18" i="16"/>
  <c r="CV18" i="16"/>
  <c r="EM17" i="16"/>
  <c r="GB16" i="16"/>
  <c r="ER20" i="16"/>
  <c r="GA20" i="16"/>
  <c r="CW20" i="16"/>
  <c r="EU19" i="16"/>
  <c r="DA19" i="16"/>
  <c r="ET18" i="16"/>
  <c r="CZ18" i="16"/>
  <c r="EQ17" i="16"/>
  <c r="CW17" i="16"/>
  <c r="EL16" i="16"/>
  <c r="CY21" i="16"/>
  <c r="DD20" i="16"/>
  <c r="EZ19" i="16"/>
  <c r="DF5" i="16"/>
  <c r="FN4" i="16"/>
  <c r="DB4" i="16"/>
  <c r="EK4" i="16"/>
  <c r="DB6" i="16"/>
  <c r="ET7" i="16"/>
  <c r="DC10" i="16"/>
  <c r="FN8" i="16"/>
  <c r="DO27" i="16"/>
  <c r="DM26" i="16"/>
  <c r="FZ24" i="16"/>
  <c r="DR26" i="16"/>
  <c r="DE25" i="16"/>
  <c r="GE27" i="16"/>
  <c r="FN26" i="16"/>
  <c r="EP25" i="16"/>
  <c r="DG25" i="16"/>
  <c r="EE23" i="16"/>
  <c r="DG27" i="16"/>
  <c r="EZ22" i="16"/>
  <c r="FW23" i="16"/>
  <c r="ES21" i="16"/>
  <c r="EL22" i="16"/>
  <c r="FU23" i="16"/>
  <c r="DO21" i="16"/>
  <c r="FT23" i="16"/>
  <c r="FL21" i="16"/>
  <c r="DQ21" i="16"/>
  <c r="DC19" i="16"/>
  <c r="EG17" i="16"/>
  <c r="FS20" i="16"/>
  <c r="GH18" i="16"/>
  <c r="EK17" i="16"/>
  <c r="FZ20" i="16"/>
  <c r="DF19" i="16"/>
  <c r="CY18" i="16"/>
  <c r="FY16" i="16"/>
  <c r="DJ21" i="16"/>
  <c r="FU19" i="16"/>
  <c r="DE19" i="16"/>
  <c r="DP18" i="16"/>
  <c r="FA17" i="16"/>
  <c r="FR16" i="16"/>
  <c r="DD19" i="16"/>
  <c r="FU16" i="16"/>
  <c r="GA15" i="16"/>
  <c r="CW15" i="16"/>
  <c r="ED14" i="16"/>
  <c r="EP13" i="16"/>
  <c r="GA12" i="16"/>
  <c r="DO18" i="16"/>
  <c r="EO16" i="16"/>
  <c r="EJ15" i="16"/>
  <c r="FW14" i="16"/>
  <c r="FW13" i="16"/>
  <c r="DA13" i="16"/>
  <c r="EO18" i="16"/>
  <c r="EV16" i="16"/>
  <c r="EO15" i="16"/>
  <c r="FV14" i="16"/>
  <c r="EH13" i="16"/>
  <c r="FN17" i="16"/>
  <c r="GD15" i="16"/>
  <c r="GG14" i="16"/>
  <c r="DQ14" i="16"/>
  <c r="FO13" i="16"/>
  <c r="DE13" i="16"/>
  <c r="EL20" i="16"/>
  <c r="EI18" i="16"/>
  <c r="FW16" i="16"/>
  <c r="EH27" i="16"/>
  <c r="CX26" i="16"/>
  <c r="ET24" i="16"/>
  <c r="GA24" i="16"/>
  <c r="GI22" i="16"/>
  <c r="FN25" i="16"/>
  <c r="DF22" i="16"/>
  <c r="EO23" i="16"/>
  <c r="ER25" i="16"/>
  <c r="DJ22" i="16"/>
  <c r="EG23" i="16"/>
  <c r="CW21" i="16"/>
  <c r="EF23" i="16"/>
  <c r="DH21" i="16"/>
  <c r="FU20" i="16"/>
  <c r="FX18" i="16"/>
  <c r="CY17" i="16"/>
  <c r="EG20" i="16"/>
  <c r="FP18" i="16"/>
  <c r="DI17" i="16"/>
  <c r="EP20" i="16"/>
  <c r="CZ19" i="16"/>
  <c r="GD17" i="16"/>
  <c r="FS16" i="16"/>
  <c r="CX21" i="16"/>
  <c r="FO19" i="16"/>
  <c r="FZ18" i="16"/>
  <c r="DJ18" i="16"/>
  <c r="EI17" i="16"/>
  <c r="DF21" i="16"/>
  <c r="DS18" i="16"/>
  <c r="EZ16" i="16"/>
  <c r="EW15" i="16"/>
  <c r="GD14" i="16"/>
  <c r="DB14" i="16"/>
  <c r="EJ13" i="16"/>
  <c r="DB20" i="16"/>
  <c r="CW18" i="16"/>
  <c r="DE16" i="16"/>
  <c r="ED15" i="16"/>
  <c r="EU14" i="16"/>
  <c r="FQ13" i="16"/>
  <c r="FT12" i="16"/>
  <c r="DM18" i="16"/>
  <c r="DL16" i="16"/>
  <c r="EI15" i="16"/>
  <c r="ET14" i="16"/>
  <c r="GH13" i="16"/>
  <c r="FR19" i="16"/>
  <c r="EL17" i="16"/>
  <c r="EZ15" i="16"/>
  <c r="GA14" i="16"/>
  <c r="DK14" i="16"/>
  <c r="ES13" i="16"/>
  <c r="CY13" i="16"/>
  <c r="GF19" i="16"/>
  <c r="DG18" i="16"/>
  <c r="FL16" i="16"/>
  <c r="GC15" i="16"/>
  <c r="DQ15" i="16"/>
  <c r="FT14" i="16"/>
  <c r="DJ14" i="16"/>
  <c r="FN13" i="16"/>
  <c r="DD13" i="16"/>
  <c r="FA12" i="16"/>
  <c r="EE18" i="16"/>
  <c r="FV16" i="16"/>
  <c r="GI15" i="16"/>
  <c r="EF15" i="16"/>
  <c r="FS14" i="16"/>
  <c r="DO14" i="16"/>
  <c r="FS13" i="16"/>
  <c r="DO13" i="16"/>
  <c r="EG12" i="16"/>
  <c r="GC11" i="16"/>
  <c r="DS11" i="16"/>
  <c r="FR10" i="16"/>
  <c r="DN10" i="16"/>
  <c r="DB5" i="16"/>
  <c r="GB7" i="16"/>
  <c r="FP25" i="16"/>
  <c r="EE25" i="16"/>
  <c r="EP27" i="16"/>
  <c r="EG24" i="16"/>
  <c r="EO22" i="16"/>
  <c r="DK24" i="16"/>
  <c r="FV21" i="16"/>
  <c r="DA23" i="16"/>
  <c r="DI24" i="16"/>
  <c r="FT21" i="16"/>
  <c r="GE22" i="16"/>
  <c r="FA20" i="16"/>
  <c r="GD22" i="16"/>
  <c r="GH20" i="16"/>
  <c r="EK20" i="16"/>
  <c r="EV18" i="16"/>
  <c r="DP21" i="16"/>
  <c r="GI19" i="16"/>
  <c r="EN18" i="16"/>
  <c r="GF16" i="16"/>
  <c r="CV20" i="16"/>
  <c r="FU18" i="16"/>
  <c r="FL17" i="16"/>
  <c r="EK16" i="16"/>
  <c r="FO20" i="16"/>
  <c r="EY19" i="16"/>
  <c r="FT18" i="16"/>
  <c r="DD18" i="16"/>
  <c r="DS17" i="16"/>
  <c r="GF20" i="16"/>
  <c r="DA18" i="16"/>
  <c r="EP16" i="16"/>
  <c r="EQ15" i="16"/>
  <c r="FX14" i="16"/>
  <c r="CV14" i="16"/>
  <c r="ED13" i="16"/>
  <c r="FX19" i="16"/>
  <c r="FT17" i="16"/>
  <c r="GG15" i="16"/>
  <c r="DN15" i="16"/>
  <c r="EI14" i="16"/>
  <c r="FA13" i="16"/>
  <c r="FN20" i="16"/>
  <c r="GH17" i="16"/>
  <c r="DB16" i="16"/>
  <c r="DS15" i="16"/>
  <c r="EN14" i="16"/>
  <c r="GB13" i="16"/>
  <c r="DN19" i="16"/>
  <c r="GA16" i="16"/>
  <c r="ET15" i="16"/>
  <c r="FU14" i="16"/>
  <c r="CY14" i="16"/>
  <c r="EM13" i="16"/>
  <c r="GD12" i="16"/>
  <c r="FN19" i="16"/>
  <c r="GB17" i="16"/>
  <c r="ET16" i="16"/>
  <c r="FV15" i="16"/>
  <c r="DK15" i="16"/>
  <c r="FN14" i="16"/>
  <c r="DD14" i="16"/>
  <c r="EX13" i="16"/>
  <c r="CX13" i="16"/>
  <c r="EU12" i="16"/>
  <c r="GD19" i="16"/>
  <c r="DC18" i="16"/>
  <c r="GA4" i="16"/>
  <c r="EG27" i="16"/>
  <c r="FW27" i="16"/>
  <c r="GD26" i="16"/>
  <c r="FT25" i="16"/>
  <c r="DG22" i="16"/>
  <c r="FR23" i="16"/>
  <c r="EN21" i="16"/>
  <c r="EY22" i="16"/>
  <c r="GB23" i="16"/>
  <c r="EF21" i="16"/>
  <c r="FM22" i="16"/>
  <c r="DG20" i="16"/>
  <c r="FL22" i="16"/>
  <c r="FP20" i="16"/>
  <c r="CY20" i="16"/>
  <c r="DN18" i="16"/>
  <c r="FT20" i="16"/>
  <c r="FQ19" i="16"/>
  <c r="DL18" i="16"/>
  <c r="FN16" i="16"/>
  <c r="FV19" i="16"/>
  <c r="EY18" i="16"/>
  <c r="EJ17" i="16"/>
  <c r="DO16" i="16"/>
  <c r="EE20" i="16"/>
  <c r="EG19" i="16"/>
  <c r="FN18" i="16"/>
  <c r="GC17" i="16"/>
  <c r="DM17" i="16"/>
  <c r="FZ19" i="16"/>
  <c r="FV17" i="16"/>
  <c r="DF16" i="16"/>
  <c r="EK15" i="16"/>
  <c r="EV14" i="16"/>
  <c r="GD13" i="16"/>
  <c r="DB13" i="16"/>
  <c r="EV19" i="16"/>
  <c r="GG16" i="16"/>
  <c r="FY15" i="16"/>
  <c r="CV15" i="16"/>
  <c r="DS14" i="16"/>
  <c r="DS13" i="16"/>
  <c r="FT19" i="16"/>
  <c r="DL17" i="16"/>
  <c r="GE15" i="16"/>
  <c r="DA15" i="16"/>
  <c r="EH14" i="16"/>
  <c r="EZ13" i="16"/>
  <c r="CV19" i="16"/>
  <c r="EM16" i="16"/>
  <c r="EH15" i="16"/>
  <c r="EY14" i="16"/>
  <c r="GG13" i="16"/>
  <c r="EG13" i="16"/>
  <c r="FX12" i="16"/>
  <c r="EL19" i="16"/>
  <c r="EZ17" i="16"/>
  <c r="EJ16" i="16"/>
  <c r="FO15" i="16"/>
  <c r="DE15" i="16"/>
  <c r="EX14" i="16"/>
  <c r="CX14" i="16"/>
  <c r="ER13" i="16"/>
  <c r="GI12" i="16"/>
  <c r="EI12" i="16"/>
  <c r="FL19" i="16"/>
  <c r="FZ17" i="16"/>
  <c r="EI16" i="16"/>
  <c r="FU15" i="16"/>
  <c r="DJ15" i="16"/>
  <c r="EW14" i="16"/>
  <c r="DC14" i="16"/>
  <c r="EW13" i="16"/>
  <c r="DC13" i="16"/>
  <c r="DI12" i="16"/>
  <c r="FQ11" i="16"/>
  <c r="DG11" i="16"/>
  <c r="DM6" i="16"/>
  <c r="EQ7" i="16"/>
  <c r="DQ12" i="16"/>
  <c r="FU25" i="16"/>
  <c r="FM26" i="16"/>
  <c r="DN26" i="16"/>
  <c r="CX24" i="16"/>
  <c r="FQ21" i="16"/>
  <c r="DN23" i="16"/>
  <c r="GA26" i="16"/>
  <c r="DK22" i="16"/>
  <c r="EH23" i="16"/>
  <c r="EL25" i="16"/>
  <c r="DI22" i="16"/>
  <c r="EF25" i="16"/>
  <c r="DN22" i="16"/>
  <c r="EN20" i="16"/>
  <c r="FS19" i="16"/>
  <c r="GG17" i="16"/>
  <c r="EJ20" i="16"/>
  <c r="EO19" i="16"/>
  <c r="GE17" i="16"/>
  <c r="EF16" i="16"/>
  <c r="ET19" i="16"/>
  <c r="EM18" i="16"/>
  <c r="ED17" i="16"/>
  <c r="DC16" i="16"/>
  <c r="DK20" i="16"/>
  <c r="DQ19" i="16"/>
  <c r="EX18" i="16"/>
  <c r="FW17" i="16"/>
  <c r="DG17" i="16"/>
  <c r="EX19" i="16"/>
  <c r="ET17" i="16"/>
  <c r="CV16" i="16"/>
  <c r="EE15" i="16"/>
  <c r="EP14" i="16"/>
  <c r="FX13" i="16"/>
  <c r="CV13" i="16"/>
  <c r="ED19" i="16"/>
  <c r="FQ16" i="16"/>
  <c r="FR15" i="16"/>
  <c r="GI14" i="16"/>
  <c r="DM14" i="16"/>
  <c r="DM13" i="16"/>
  <c r="DP19" i="16"/>
  <c r="GC16" i="16"/>
  <c r="FX15" i="16"/>
  <c r="GH14" i="16"/>
  <c r="DR14" i="16"/>
  <c r="ET13" i="16"/>
  <c r="GE18" i="16"/>
  <c r="DS16" i="16"/>
  <c r="DR15" i="16"/>
  <c r="ES14" i="16"/>
  <c r="GA13" i="16"/>
  <c r="DQ13" i="16"/>
  <c r="FR12" i="16"/>
  <c r="GC18" i="16"/>
  <c r="EH17" i="16"/>
  <c r="DR16" i="16"/>
  <c r="EY15" i="16"/>
  <c r="CY15" i="16"/>
  <c r="ER14" i="16"/>
  <c r="GF13" i="16"/>
  <c r="EF13" i="16"/>
  <c r="GC12" i="16"/>
  <c r="DS12" i="16"/>
  <c r="EJ19" i="16"/>
  <c r="EX17" i="16"/>
  <c r="DQ16" i="16"/>
  <c r="FN15" i="16"/>
  <c r="CX15" i="16"/>
  <c r="EQ14" i="16"/>
  <c r="CW14" i="16"/>
  <c r="EQ13" i="16"/>
  <c r="GE12" i="16"/>
  <c r="DB12" i="16"/>
  <c r="FA11" i="16"/>
  <c r="DA11" i="16"/>
  <c r="EP10" i="16"/>
  <c r="CV10" i="16"/>
  <c r="EQ9" i="16"/>
  <c r="GE8" i="16"/>
  <c r="FX27" i="16"/>
  <c r="DI26" i="16"/>
  <c r="FQ25" i="16"/>
  <c r="FS23" i="16"/>
  <c r="DS21" i="16"/>
  <c r="CV23" i="16"/>
  <c r="DJ24" i="16"/>
  <c r="GG21" i="16"/>
  <c r="FZ22" i="16"/>
  <c r="DO24" i="16"/>
  <c r="FS21" i="16"/>
  <c r="DN24" i="16"/>
  <c r="GD21" i="16"/>
  <c r="DL20" i="16"/>
  <c r="EK19" i="16"/>
  <c r="FO17" i="16"/>
  <c r="CX20" i="16"/>
  <c r="DM19" i="16"/>
  <c r="FM17" i="16"/>
  <c r="CX16" i="16"/>
  <c r="DR19" i="16"/>
  <c r="DK18" i="16"/>
  <c r="CV17" i="16"/>
  <c r="FZ15" i="16"/>
  <c r="GA19" i="16"/>
  <c r="DK19" i="16"/>
  <c r="EF18" i="16"/>
  <c r="FQ17" i="16"/>
  <c r="FX16" i="16"/>
  <c r="EF19" i="16"/>
  <c r="GI16" i="16"/>
  <c r="GH15" i="16"/>
  <c r="DC15" i="16"/>
  <c r="EJ14" i="16"/>
  <c r="EV13" i="16"/>
  <c r="GG12" i="16"/>
  <c r="EQ18" i="16"/>
  <c r="EY16" i="16"/>
  <c r="EP15" i="16"/>
  <c r="GC14" i="16"/>
  <c r="GC13" i="16"/>
  <c r="DG13" i="16"/>
  <c r="FQ18" i="16"/>
  <c r="FP16" i="16"/>
  <c r="EU15" i="16"/>
  <c r="GB14" i="16"/>
  <c r="CZ14" i="16"/>
  <c r="EN13" i="16"/>
  <c r="GF17" i="16"/>
  <c r="DA16" i="16"/>
  <c r="EG14" i="16"/>
  <c r="FU13" i="16"/>
  <c r="DK13" i="16"/>
  <c r="FL12" i="16"/>
  <c r="FA18" i="16"/>
  <c r="DF17" i="16"/>
  <c r="DH16" i="16"/>
  <c r="ES15" i="16"/>
  <c r="GF14" i="16"/>
  <c r="EF14" i="16"/>
  <c r="FZ13" i="16"/>
  <c r="DP13" i="16"/>
  <c r="FW12" i="16"/>
  <c r="DM12" i="16"/>
  <c r="FY18" i="16"/>
  <c r="EF17" i="16"/>
  <c r="DG16" i="16"/>
  <c r="EX15" i="16"/>
  <c r="GE14" i="16"/>
  <c r="EK14" i="16"/>
  <c r="GE13" i="16"/>
  <c r="EK13" i="16"/>
  <c r="FN12" i="16"/>
  <c r="CV12" i="16"/>
  <c r="EU11" i="16"/>
  <c r="GD10" i="16"/>
  <c r="EJ10" i="16"/>
  <c r="GE9" i="16"/>
  <c r="EK9" i="16"/>
  <c r="FY8" i="16"/>
  <c r="DO8" i="16"/>
  <c r="FR7" i="16"/>
  <c r="EF12" i="16"/>
  <c r="DP14" i="16"/>
  <c r="DD17" i="16"/>
  <c r="FY14" i="16"/>
  <c r="EE13" i="16"/>
  <c r="EO11" i="16"/>
  <c r="DH10" i="16"/>
  <c r="EE9" i="16"/>
  <c r="EW8" i="16"/>
  <c r="GD7" i="16"/>
  <c r="ET12" i="16"/>
  <c r="FV11" i="16"/>
  <c r="DL11" i="16"/>
  <c r="FQ10" i="16"/>
  <c r="DG10" i="16"/>
  <c r="EP9" i="16"/>
  <c r="FX8" i="16"/>
  <c r="DN8" i="16"/>
  <c r="EZ12" i="16"/>
  <c r="CZ12" i="16"/>
  <c r="ES11" i="16"/>
  <c r="CY11" i="16"/>
  <c r="ET10" i="16"/>
  <c r="GC9" i="16"/>
  <c r="EI9" i="16"/>
  <c r="GC8" i="16"/>
  <c r="DS8" i="16"/>
  <c r="EK12" i="16"/>
  <c r="FZ11" i="16"/>
  <c r="EF11" i="16"/>
  <c r="GA10" i="16"/>
  <c r="EG10" i="16"/>
  <c r="GB9" i="16"/>
  <c r="DR9" i="16"/>
  <c r="FP8" i="16"/>
  <c r="DL8" i="16"/>
  <c r="FO7" i="16"/>
  <c r="DK7" i="16"/>
  <c r="FV6" i="16"/>
  <c r="FS12" i="16"/>
  <c r="DD12" i="16"/>
  <c r="EW11" i="16"/>
  <c r="DC11" i="16"/>
  <c r="EX10" i="16"/>
  <c r="DD10" i="16"/>
  <c r="EY9" i="16"/>
  <c r="DE9" i="16"/>
  <c r="FO8" i="16"/>
  <c r="DK8" i="16"/>
  <c r="FN7" i="16"/>
  <c r="DD7" i="16"/>
  <c r="EY6" i="16"/>
  <c r="DD4" i="16"/>
  <c r="CW5" i="16"/>
  <c r="DD5" i="16"/>
  <c r="FZ5" i="16"/>
  <c r="EJ6" i="16"/>
  <c r="DF4" i="16"/>
  <c r="EZ4" i="16"/>
  <c r="DE5" i="16"/>
  <c r="FO5" i="16"/>
  <c r="DE6" i="16"/>
  <c r="FW6" i="16"/>
  <c r="EW7" i="16"/>
  <c r="GF9" i="16"/>
  <c r="EW12" i="16"/>
  <c r="FT13" i="16"/>
  <c r="FA16" i="16"/>
  <c r="FM14" i="16"/>
  <c r="DI13" i="16"/>
  <c r="DM11" i="16"/>
  <c r="DB10" i="16"/>
  <c r="DO9" i="16"/>
  <c r="EQ8" i="16"/>
  <c r="FX7" i="16"/>
  <c r="DO12" i="16"/>
  <c r="FP11" i="16"/>
  <c r="DF11" i="16"/>
  <c r="FA10" i="16"/>
  <c r="GD9" i="16"/>
  <c r="ED9" i="16"/>
  <c r="FR8" i="16"/>
  <c r="DH8" i="16"/>
  <c r="ES12" i="16"/>
  <c r="GG11" i="16"/>
  <c r="EM11" i="16"/>
  <c r="GH10" i="16"/>
  <c r="EN10" i="16"/>
  <c r="FW9" i="16"/>
  <c r="DS9" i="16"/>
  <c r="FW8" i="16"/>
  <c r="DM8" i="16"/>
  <c r="ED12" i="16"/>
  <c r="FT11" i="16"/>
  <c r="DP11" i="16"/>
  <c r="FU10" i="16"/>
  <c r="DQ10" i="16"/>
  <c r="FV9" i="16"/>
  <c r="DL9" i="16"/>
  <c r="EZ8" i="16"/>
  <c r="DF8" i="16"/>
  <c r="EY7" i="16"/>
  <c r="DE7" i="16"/>
  <c r="FP6" i="16"/>
  <c r="EX12" i="16"/>
  <c r="CX12" i="16"/>
  <c r="EQ11" i="16"/>
  <c r="CW11" i="16"/>
  <c r="ER10" i="16"/>
  <c r="CX10" i="16"/>
  <c r="ES9" i="16"/>
  <c r="CY9" i="16"/>
  <c r="EY8" i="16"/>
  <c r="DE8" i="16"/>
  <c r="EX7" i="16"/>
  <c r="CX7" i="16"/>
  <c r="ES6" i="16"/>
  <c r="DP4" i="16"/>
  <c r="DI5" i="16"/>
  <c r="DE4" i="16"/>
  <c r="DP5" i="16"/>
  <c r="GF5" i="16"/>
  <c r="ER6" i="16"/>
  <c r="DL4" i="16"/>
  <c r="FP4" i="16"/>
  <c r="DK5" i="16"/>
  <c r="FU5" i="16"/>
  <c r="DL6" i="16"/>
  <c r="GE6" i="16"/>
  <c r="FS7" i="16"/>
  <c r="DO10" i="16"/>
  <c r="DJ13" i="16"/>
  <c r="CY16" i="16"/>
  <c r="EE14" i="16"/>
  <c r="EV12" i="16"/>
  <c r="FX10" i="16"/>
  <c r="FY9" i="16"/>
  <c r="DI9" i="16"/>
  <c r="EE8" i="16"/>
  <c r="FL7" i="16"/>
  <c r="DH12" i="16"/>
  <c r="EZ11" i="16"/>
  <c r="CZ11" i="16"/>
  <c r="EU10" i="16"/>
  <c r="FX9" i="16"/>
  <c r="DN9" i="16"/>
  <c r="FL8" i="16"/>
  <c r="CV8" i="16"/>
  <c r="EL12" i="16"/>
  <c r="GA11" i="16"/>
  <c r="EG11" i="16"/>
  <c r="GB10" i="16"/>
  <c r="DR10" i="16"/>
  <c r="FQ9" i="16"/>
  <c r="DM9" i="16"/>
  <c r="FQ8" i="16"/>
  <c r="DG8" i="16"/>
  <c r="DL12" i="16"/>
  <c r="FN11" i="16"/>
  <c r="DJ11" i="16"/>
  <c r="FO10" i="16"/>
  <c r="DK10" i="16"/>
  <c r="FP9" i="16"/>
  <c r="DF9" i="16"/>
  <c r="ET8" i="16"/>
  <c r="CZ8" i="16"/>
  <c r="ES7" i="16"/>
  <c r="CY7" i="16"/>
  <c r="EZ6" i="16"/>
  <c r="EQ12" i="16"/>
  <c r="GE11" i="16"/>
  <c r="EK11" i="16"/>
  <c r="GF10" i="16"/>
  <c r="EL10" i="16"/>
  <c r="GG9" i="16"/>
  <c r="EM9" i="16"/>
  <c r="ES8" i="16"/>
  <c r="CY8" i="16"/>
  <c r="ER7" i="16"/>
  <c r="GG6" i="16"/>
  <c r="EM6" i="16"/>
  <c r="EL4" i="16"/>
  <c r="EE5" i="16"/>
  <c r="DQ4" i="16"/>
  <c r="EL5" i="16"/>
  <c r="CX6" i="16"/>
  <c r="FL6" i="16"/>
  <c r="DR4" i="16"/>
  <c r="FV4" i="16"/>
  <c r="DQ5" i="16"/>
  <c r="GA5" i="16"/>
  <c r="DS6" i="16"/>
  <c r="GE7" i="16"/>
  <c r="FS10" i="16"/>
  <c r="CZ16" i="16"/>
  <c r="FQ12" i="16"/>
  <c r="GB15" i="16"/>
  <c r="DI14" i="16"/>
  <c r="DP12" i="16"/>
  <c r="FL10" i="16"/>
  <c r="FS9" i="16"/>
  <c r="CW9" i="16"/>
  <c r="DI8" i="16"/>
  <c r="CZ13" i="16"/>
  <c r="DA12" i="16"/>
  <c r="ET11" i="16"/>
  <c r="GI10" i="16"/>
  <c r="EO10" i="16"/>
  <c r="FR9" i="16"/>
  <c r="DH9" i="16"/>
  <c r="EV8" i="16"/>
  <c r="GI7" i="16"/>
  <c r="EE12" i="16"/>
  <c r="FU11" i="16"/>
  <c r="DQ11" i="16"/>
  <c r="FV10" i="16"/>
  <c r="DL10" i="16"/>
  <c r="FA9" i="16"/>
  <c r="DG9" i="16"/>
  <c r="FA8" i="16"/>
  <c r="FV12" i="16"/>
  <c r="DE12" i="16"/>
  <c r="EX11" i="16"/>
  <c r="DD11" i="16"/>
  <c r="EY10" i="16"/>
  <c r="DE10" i="16"/>
  <c r="EZ9" i="16"/>
  <c r="GH8" i="16"/>
  <c r="EN8" i="16"/>
  <c r="GG7" i="16"/>
  <c r="EM7" i="16"/>
  <c r="ET6" i="16"/>
  <c r="EJ12" i="16"/>
  <c r="FY11" i="16"/>
  <c r="EE11" i="16"/>
  <c r="FZ10" i="16"/>
  <c r="EF10" i="16"/>
  <c r="GA9" i="16"/>
  <c r="EG9" i="16"/>
  <c r="GG8" i="16"/>
  <c r="EM8" i="16"/>
  <c r="GF7" i="16"/>
  <c r="EL7" i="16"/>
  <c r="GA6" i="16"/>
  <c r="EG6" i="16"/>
  <c r="EX4" i="16"/>
  <c r="EQ5" i="16"/>
  <c r="EM4" i="16"/>
  <c r="EX5" i="16"/>
  <c r="DD6" i="16"/>
  <c r="FT6" i="16"/>
  <c r="EH4" i="16"/>
  <c r="GB4" i="16"/>
  <c r="EM5" i="16"/>
  <c r="GG5" i="16"/>
  <c r="EK6" i="16"/>
  <c r="DC7" i="16"/>
  <c r="DP8" i="16"/>
  <c r="CV11" i="16"/>
  <c r="EG15" i="16"/>
  <c r="ED20" i="16"/>
  <c r="ER15" i="16"/>
  <c r="FY13" i="16"/>
  <c r="GI11" i="16"/>
  <c r="EV10" i="16"/>
  <c r="FM9" i="16"/>
  <c r="FS8" i="16"/>
  <c r="DC8" i="16"/>
  <c r="GB12" i="16"/>
  <c r="GH11" i="16"/>
  <c r="EN11" i="16"/>
  <c r="GC10" i="16"/>
  <c r="DS10" i="16"/>
  <c r="FL9" i="16"/>
  <c r="CV9" i="16"/>
  <c r="EP8" i="16"/>
  <c r="CW13" i="16"/>
  <c r="DN12" i="16"/>
  <c r="FO11" i="16"/>
  <c r="DK11" i="16"/>
  <c r="FP10" i="16"/>
  <c r="DF10" i="16"/>
  <c r="EU9" i="16"/>
  <c r="DA9" i="16"/>
  <c r="EU8" i="16"/>
  <c r="EY12" i="16"/>
  <c r="CY12" i="16"/>
  <c r="ER11" i="16"/>
  <c r="CX11" i="16"/>
  <c r="ES10" i="16"/>
  <c r="CY10" i="16"/>
  <c r="ET9" i="16"/>
  <c r="GB8" i="16"/>
  <c r="EH8" i="16"/>
  <c r="GA7" i="16"/>
  <c r="EG7" i="16"/>
  <c r="GH6" i="16"/>
  <c r="EN6" i="16"/>
  <c r="DR12" i="16"/>
  <c r="FS11" i="16"/>
  <c r="DO11" i="16"/>
  <c r="FT10" i="16"/>
  <c r="DP10" i="16"/>
  <c r="FU9" i="16"/>
  <c r="DQ9" i="16"/>
  <c r="GA8" i="16"/>
  <c r="EG8" i="16"/>
  <c r="FZ7" i="16"/>
  <c r="DP7" i="16"/>
  <c r="FU6" i="16"/>
  <c r="DQ6" i="16"/>
  <c r="FT4" i="16"/>
  <c r="FM5" i="16"/>
  <c r="EY4" i="16"/>
  <c r="FN5" i="16"/>
  <c r="DJ6" i="16"/>
  <c r="GD6" i="16"/>
  <c r="EN4" i="16"/>
  <c r="GH4" i="16"/>
  <c r="ES5" i="16"/>
  <c r="EU6" i="16"/>
  <c r="DM7" i="16"/>
  <c r="FT8" i="16"/>
  <c r="EP11" i="16"/>
  <c r="FZ14" i="16"/>
  <c r="EW18" i="16"/>
  <c r="DP15" i="16"/>
  <c r="FM13" i="16"/>
  <c r="FW11" i="16"/>
  <c r="ED10" i="16"/>
  <c r="EW9" i="16"/>
  <c r="FM8" i="16"/>
  <c r="CW8" i="16"/>
  <c r="FM12" i="16"/>
  <c r="GB11" i="16"/>
  <c r="DR11" i="16"/>
  <c r="FW10" i="16"/>
  <c r="DM10" i="16"/>
  <c r="EV9" i="16"/>
  <c r="GD8" i="16"/>
  <c r="ED8" i="16"/>
  <c r="FY12" i="16"/>
  <c r="DF12" i="16"/>
  <c r="EY11" i="16"/>
  <c r="DE11" i="16"/>
  <c r="EZ10" i="16"/>
  <c r="GI9" i="16"/>
  <c r="EO9" i="16"/>
  <c r="GI8" i="16"/>
  <c r="EO8" i="16"/>
  <c r="ER12" i="16"/>
  <c r="GF11" i="16"/>
  <c r="EL11" i="16"/>
  <c r="GG10" i="16"/>
  <c r="EM10" i="16"/>
  <c r="GH9" i="16"/>
  <c r="EN9" i="16"/>
  <c r="FV8" i="16"/>
  <c r="DR8" i="16"/>
  <c r="FU7" i="16"/>
  <c r="DQ7" i="16"/>
  <c r="GB6" i="16"/>
  <c r="EH6" i="16"/>
  <c r="DK12" i="16"/>
  <c r="FM11" i="16"/>
  <c r="DI11" i="16"/>
  <c r="FN10" i="16"/>
  <c r="DJ10" i="16"/>
  <c r="FO9" i="16"/>
  <c r="DK9" i="16"/>
  <c r="FU8" i="16"/>
  <c r="DQ8" i="16"/>
  <c r="FT7" i="16"/>
  <c r="DJ7" i="16"/>
  <c r="FO6" i="16"/>
  <c r="DK6" i="16"/>
  <c r="GF4" i="16"/>
  <c r="FY5" i="16"/>
  <c r="FU4" i="16"/>
  <c r="FT5" i="16"/>
  <c r="DR6" i="16"/>
  <c r="CZ4" i="16"/>
  <c r="ET4" i="16"/>
  <c r="EY5" i="16"/>
  <c r="CY6" i="16"/>
  <c r="FM6" i="16"/>
  <c r="EO7" i="16"/>
  <c r="EL9" i="16"/>
  <c r="CW12" i="16"/>
  <c r="EX26" i="16"/>
  <c r="EP17" i="16"/>
  <c r="EZ27" i="16"/>
  <c r="EW21" i="16"/>
  <c r="EZ25" i="16"/>
  <c r="EI10" i="16"/>
  <c r="EP18" i="16"/>
  <c r="EJ11" i="16"/>
  <c r="EN15" i="16"/>
  <c r="EG5" i="16"/>
  <c r="EQ19" i="16"/>
  <c r="EF4" i="16"/>
  <c r="DL21" i="16"/>
  <c r="EL15" i="16"/>
  <c r="EM14" i="16"/>
  <c r="DQ24" i="16"/>
  <c r="EG4" i="16"/>
  <c r="EH11" i="16"/>
  <c r="EL13" i="16"/>
  <c r="EN12" i="16"/>
  <c r="EM15" i="16"/>
  <c r="EV20" i="16"/>
  <c r="ED6" i="16"/>
  <c r="EO14" i="16"/>
  <c r="ET23" i="16"/>
  <c r="EY27" i="16"/>
  <c r="EZ24" i="16"/>
  <c r="EU22" i="16"/>
  <c r="DP26" i="16"/>
  <c r="DC9" i="16"/>
  <c r="ES17" i="16"/>
  <c r="DK17" i="16"/>
  <c r="ED7" i="16"/>
  <c r="EJ9" i="16"/>
  <c r="FA24" i="16"/>
  <c r="EX25" i="16"/>
  <c r="EH10" i="16"/>
  <c r="EI11" i="16"/>
  <c r="CY5" i="16"/>
  <c r="EF5" i="16"/>
  <c r="CV6" i="16"/>
  <c r="DJ19" i="16"/>
  <c r="EU20" i="16"/>
  <c r="EF7" i="16"/>
  <c r="DJ17" i="16"/>
  <c r="CX4" i="16"/>
  <c r="EV21" i="16"/>
  <c r="DF15" i="16"/>
  <c r="EP19" i="16"/>
  <c r="ES16" i="16"/>
  <c r="EK8" i="16"/>
  <c r="EX27" i="16"/>
  <c r="EM12" i="16"/>
  <c r="FA26" i="16"/>
  <c r="DH17" i="16"/>
  <c r="EI8" i="16"/>
  <c r="DF13" i="16"/>
  <c r="CY4" i="16"/>
  <c r="ES18" i="16"/>
  <c r="EO13" i="16"/>
  <c r="ER19" i="16"/>
  <c r="DI18" i="16"/>
  <c r="ED5" i="16"/>
  <c r="DP25" i="16"/>
  <c r="EU23" i="16"/>
  <c r="EL14" i="16"/>
  <c r="EY26" i="16"/>
  <c r="EJ8" i="16"/>
  <c r="EW20" i="16"/>
  <c r="EK10" i="16"/>
  <c r="DQ26" i="16"/>
  <c r="EE4" i="16"/>
  <c r="DH18" i="16"/>
  <c r="EV23" i="16"/>
  <c r="ER16" i="16"/>
  <c r="DO20" i="16"/>
  <c r="DN20" i="16"/>
  <c r="EY24" i="16"/>
  <c r="EE7" i="16"/>
  <c r="ET22" i="16"/>
  <c r="EQ16" i="16"/>
  <c r="EE6" i="16"/>
  <c r="FA25" i="16"/>
  <c r="EW22" i="16"/>
  <c r="ET21" i="16"/>
  <c r="ER17" i="16"/>
  <c r="DB8" i="16"/>
  <c r="EH9" i="16"/>
  <c r="CV5" i="16"/>
  <c r="EO12" i="16"/>
  <c r="DA10" i="16"/>
  <c r="DH19" i="16"/>
  <c r="CW6" i="16"/>
  <c r="DJ16" i="16"/>
  <c r="DI16" i="16"/>
  <c r="DL23" i="16"/>
  <c r="DD15" i="16"/>
  <c r="DR25" i="16"/>
  <c r="DN21" i="16"/>
  <c r="CW4" i="16"/>
  <c r="DB9" i="16"/>
  <c r="CZ10" i="16"/>
  <c r="DK16" i="16"/>
  <c r="DG12" i="16"/>
  <c r="DR24" i="16"/>
  <c r="DA8" i="16"/>
  <c r="DQ27" i="16"/>
  <c r="CZ9" i="16"/>
  <c r="DS25" i="16"/>
  <c r="CX5" i="16"/>
  <c r="DM22" i="16"/>
  <c r="DG14" i="16"/>
  <c r="DI19" i="16"/>
  <c r="AF39" i="16"/>
  <c r="DP27" i="16" s="1"/>
  <c r="AG39" i="16"/>
  <c r="DS24" i="16" s="1"/>
  <c r="BI17" i="16"/>
  <c r="BK17" i="16" s="1"/>
  <c r="BV17" i="16" s="1"/>
  <c r="BI32" i="16"/>
  <c r="BK32" i="16" s="1"/>
  <c r="BV32" i="16" s="1"/>
  <c r="BI30" i="16"/>
  <c r="BK30" i="16" s="1"/>
  <c r="BV30" i="16" s="1"/>
  <c r="BI21" i="16"/>
  <c r="BI10" i="16"/>
  <c r="BW10" i="16" s="1"/>
  <c r="BI22" i="16"/>
  <c r="BI5" i="16"/>
  <c r="BW5" i="16" s="1"/>
  <c r="BI24" i="16"/>
  <c r="BK24" i="16" s="1"/>
  <c r="BV24" i="16" s="1"/>
  <c r="BI11" i="16"/>
  <c r="BW11" i="16" s="1"/>
  <c r="BI7" i="16"/>
  <c r="BW7" i="16" s="1"/>
  <c r="BI26" i="16"/>
  <c r="BK26" i="16" s="1"/>
  <c r="BV26" i="16" s="1"/>
  <c r="BI6" i="16"/>
  <c r="BW6" i="16" s="1"/>
  <c r="BI15" i="16"/>
  <c r="BW15" i="16" s="1"/>
  <c r="BI14" i="16"/>
  <c r="BK14" i="16" s="1"/>
  <c r="BV14" i="16" s="1"/>
  <c r="BI31" i="16"/>
  <c r="BW31" i="16" s="1"/>
  <c r="BI9" i="16"/>
  <c r="BW9" i="16" s="1"/>
  <c r="BI27" i="16"/>
  <c r="BK27" i="16" s="1"/>
  <c r="BV27" i="16" s="1"/>
  <c r="BI16" i="16"/>
  <c r="BW16" i="16" s="1"/>
  <c r="BI20" i="16"/>
  <c r="BW20" i="16" s="1"/>
  <c r="BI25" i="16"/>
  <c r="BK25" i="16" s="1"/>
  <c r="BV25" i="16" s="1"/>
  <c r="BI4" i="16"/>
  <c r="BW4" i="16" s="1"/>
  <c r="BI29" i="16"/>
  <c r="BW29" i="16" s="1"/>
  <c r="BI19" i="16"/>
  <c r="BK19" i="16" s="1"/>
  <c r="BV19" i="16" s="1"/>
  <c r="BI12" i="16"/>
  <c r="BW12" i="16" s="1"/>
  <c r="Z39" i="16"/>
  <c r="BE30" i="16" s="1"/>
  <c r="BF31" i="16"/>
  <c r="BF22" i="16"/>
  <c r="BF7" i="16"/>
  <c r="BF30" i="16"/>
  <c r="BF12" i="16"/>
  <c r="BF24" i="16"/>
  <c r="BF32" i="16"/>
  <c r="BF10" i="16"/>
  <c r="BF17" i="16"/>
  <c r="BF29" i="16"/>
  <c r="BF19" i="16"/>
  <c r="BF11" i="16"/>
  <c r="BF9" i="16"/>
  <c r="BF20" i="16"/>
  <c r="BF16" i="16"/>
  <c r="BF27" i="16"/>
  <c r="BF6" i="16"/>
  <c r="BF26" i="16"/>
  <c r="BF25" i="16"/>
  <c r="BF5" i="16"/>
  <c r="BF15" i="16"/>
  <c r="BF14" i="16"/>
  <c r="BF21" i="16"/>
  <c r="AZ9" i="6"/>
  <c r="AZ6" i="6"/>
  <c r="AZ31" i="6"/>
  <c r="AZ21" i="6"/>
  <c r="AZ19" i="6"/>
  <c r="AZ12" i="6"/>
  <c r="AZ7" i="6"/>
  <c r="AZ29" i="6"/>
  <c r="AZ25" i="6"/>
  <c r="AZ22" i="6"/>
  <c r="AZ17" i="6"/>
  <c r="AZ16" i="6"/>
  <c r="AZ30" i="6"/>
  <c r="AZ26" i="6"/>
  <c r="AZ10" i="6"/>
  <c r="AZ32" i="6"/>
  <c r="AZ27" i="6"/>
  <c r="AZ20" i="6"/>
  <c r="AZ15" i="6"/>
  <c r="AZ11" i="6"/>
  <c r="AZ4" i="6"/>
  <c r="AZ24" i="6"/>
  <c r="AZ14" i="6"/>
  <c r="AZ5" i="6"/>
  <c r="CL10" i="6"/>
  <c r="CL9" i="6"/>
  <c r="CL18" i="6"/>
  <c r="CL21" i="6"/>
  <c r="CL25" i="6"/>
  <c r="CL12" i="6"/>
  <c r="CL22" i="6"/>
  <c r="CL26" i="6"/>
  <c r="CL19" i="6"/>
  <c r="CW5" i="6"/>
  <c r="CL16" i="6"/>
  <c r="CL24" i="6"/>
  <c r="CL20" i="6"/>
  <c r="CL13" i="6"/>
  <c r="CL23" i="6"/>
  <c r="CL8" i="6"/>
  <c r="CL15" i="6"/>
  <c r="CL14" i="6"/>
  <c r="CL4" i="6"/>
  <c r="CL17" i="6"/>
  <c r="CL11" i="6"/>
  <c r="CL5" i="6"/>
  <c r="CL6" i="6"/>
  <c r="CL7" i="6"/>
  <c r="DA26" i="6"/>
  <c r="FR25" i="6"/>
  <c r="FN26" i="6"/>
  <c r="EL26" i="6"/>
  <c r="EH27" i="6"/>
  <c r="FL27" i="6"/>
  <c r="FW26" i="6"/>
  <c r="CP27" i="6"/>
  <c r="DU26" i="6"/>
  <c r="CN26" i="6"/>
  <c r="FN27" i="6"/>
  <c r="EJ26" i="6"/>
  <c r="EM23" i="6"/>
  <c r="FL24" i="6"/>
  <c r="FW23" i="6"/>
  <c r="FD24" i="6"/>
  <c r="CW24" i="6"/>
  <c r="FQ22" i="6"/>
  <c r="DT19" i="6"/>
  <c r="EM16" i="6"/>
  <c r="EE20" i="6"/>
  <c r="FX16" i="6"/>
  <c r="EO22" i="6"/>
  <c r="FP18" i="6"/>
  <c r="FI21" i="6"/>
  <c r="DC18" i="6"/>
  <c r="CS27" i="6"/>
  <c r="DU25" i="6"/>
  <c r="DH22" i="6"/>
  <c r="EL23" i="6"/>
  <c r="FQ23" i="6"/>
  <c r="FP23" i="6"/>
  <c r="CQ24" i="6"/>
  <c r="CY22" i="6"/>
  <c r="FL19" i="6"/>
  <c r="DE17" i="6"/>
  <c r="FC22" i="6"/>
  <c r="DE19" i="6"/>
  <c r="EF16" i="6"/>
  <c r="EP21" i="6"/>
  <c r="CQ17" i="6"/>
  <c r="FU20" i="6"/>
  <c r="FH17" i="6"/>
  <c r="FN24" i="6"/>
  <c r="FN19" i="6"/>
  <c r="FK26" i="6"/>
  <c r="FY24" i="6"/>
  <c r="DZ25" i="6"/>
  <c r="CW26" i="6"/>
  <c r="CM23" i="6"/>
  <c r="EI27" i="6"/>
  <c r="FJ22" i="6"/>
  <c r="EF20" i="6"/>
  <c r="EK17" i="6"/>
  <c r="EQ22" i="6"/>
  <c r="EK19" i="6"/>
  <c r="FL16" i="6"/>
  <c r="CX21" i="6"/>
  <c r="FU17" i="6"/>
  <c r="EE22" i="6"/>
  <c r="FO18" i="6"/>
  <c r="EB24" i="6"/>
  <c r="CV20" i="6"/>
  <c r="FV27" i="6"/>
  <c r="EG24" i="6"/>
  <c r="DT25" i="6"/>
  <c r="EE24" i="6"/>
  <c r="EJ24" i="6"/>
  <c r="DC25" i="6"/>
  <c r="EN23" i="6"/>
  <c r="CT19" i="6"/>
  <c r="DU16" i="6"/>
  <c r="CM21" i="6"/>
  <c r="ED17" i="6"/>
  <c r="ED21" i="6"/>
  <c r="DW17" i="6"/>
  <c r="EO21" i="6"/>
  <c r="FP27" i="6"/>
  <c r="DT23" i="6"/>
  <c r="FI24" i="6"/>
  <c r="DE20" i="6"/>
  <c r="DI17" i="6"/>
  <c r="DX16" i="6"/>
  <c r="EN18" i="6"/>
  <c r="FE15" i="6"/>
  <c r="FS19" i="6"/>
  <c r="EQ13" i="6"/>
  <c r="CO19" i="6"/>
  <c r="FG24" i="6"/>
  <c r="FJ24" i="6"/>
  <c r="CN21" i="6"/>
  <c r="EC27" i="6"/>
  <c r="CM16" i="6"/>
  <c r="FB23" i="6"/>
  <c r="FT18" i="6"/>
  <c r="FG21" i="6"/>
  <c r="EG19" i="6"/>
  <c r="CS13" i="6"/>
  <c r="ED27" i="6"/>
  <c r="FX22" i="6"/>
  <c r="CQ23" i="6"/>
  <c r="FK19" i="6"/>
  <c r="ED19" i="6"/>
  <c r="EI19" i="6"/>
  <c r="FB19" i="6"/>
  <c r="DW16" i="6"/>
  <c r="DX15" i="6"/>
  <c r="CZ17" i="6"/>
  <c r="CM13" i="6"/>
  <c r="DX27" i="6"/>
  <c r="CN24" i="6"/>
  <c r="FX21" i="6"/>
  <c r="FE19" i="6"/>
  <c r="DX19" i="6"/>
  <c r="EB17" i="6"/>
  <c r="FH20" i="6"/>
  <c r="FY17" i="6"/>
  <c r="CY15" i="6"/>
  <c r="FM20" i="6"/>
  <c r="CY14" i="6"/>
  <c r="DX11" i="6"/>
  <c r="DA25" i="6"/>
  <c r="FW24" i="6"/>
  <c r="DT20" i="6"/>
  <c r="DY19" i="6"/>
  <c r="FI17" i="6"/>
  <c r="FT17" i="6"/>
  <c r="FB20" i="6"/>
  <c r="EG17" i="6"/>
  <c r="CS15" i="6"/>
  <c r="FR24" i="6"/>
  <c r="DC16" i="6"/>
  <c r="DA21" i="6"/>
  <c r="FU12" i="6"/>
  <c r="CS10" i="6"/>
  <c r="DH16" i="6"/>
  <c r="CQ13" i="6"/>
  <c r="FR9" i="6"/>
  <c r="EL10" i="6"/>
  <c r="CT7" i="6"/>
  <c r="EC4" i="6"/>
  <c r="FU7" i="6"/>
  <c r="FF4" i="6"/>
  <c r="DV10" i="6"/>
  <c r="FU6" i="6"/>
  <c r="FN9" i="6"/>
  <c r="FX13" i="6"/>
  <c r="FI9" i="6"/>
  <c r="EA7" i="6"/>
  <c r="EN4" i="6"/>
  <c r="CV21" i="6"/>
  <c r="ED12" i="6"/>
  <c r="CX13" i="6"/>
  <c r="CM10" i="6"/>
  <c r="FU14" i="6"/>
  <c r="FN11" i="6"/>
  <c r="FX8" i="6"/>
  <c r="CO11" i="6"/>
  <c r="DZ7" i="6"/>
  <c r="FI4" i="6"/>
  <c r="FS11" i="6"/>
  <c r="CX8" i="6"/>
  <c r="DX5" i="6"/>
  <c r="FB27" i="6"/>
  <c r="FG25" i="6"/>
  <c r="FQ27" i="6"/>
  <c r="FY26" i="6"/>
  <c r="CZ26" i="6"/>
  <c r="CV27" i="6"/>
  <c r="DZ27" i="6"/>
  <c r="EK26" i="6"/>
  <c r="FB26" i="6"/>
  <c r="FY25" i="6"/>
  <c r="DE27" i="6"/>
  <c r="EG27" i="6"/>
  <c r="CR26" i="6"/>
  <c r="DA23" i="6"/>
  <c r="DZ24" i="6"/>
  <c r="EK23" i="6"/>
  <c r="FV23" i="6"/>
  <c r="FI23" i="6"/>
  <c r="DF22" i="6"/>
  <c r="FX18" i="6"/>
  <c r="CU16" i="6"/>
  <c r="CM20" i="6"/>
  <c r="EL16" i="6"/>
  <c r="CP22" i="6"/>
  <c r="DX18" i="6"/>
  <c r="DW21" i="6"/>
  <c r="FH27" i="6"/>
  <c r="FW25" i="6"/>
  <c r="DG24" i="6"/>
  <c r="DB26" i="6"/>
  <c r="CZ23" i="6"/>
  <c r="EE23" i="6"/>
  <c r="ED23" i="6"/>
  <c r="FC23" i="6"/>
  <c r="FL21" i="6"/>
  <c r="DF19" i="6"/>
  <c r="FS16" i="6"/>
  <c r="EK21" i="6"/>
  <c r="FQ18" i="6"/>
  <c r="CN16" i="6"/>
  <c r="DD21" i="6"/>
  <c r="CQ27" i="6"/>
  <c r="EC20" i="6"/>
  <c r="DV17" i="6"/>
  <c r="FI22" i="6"/>
  <c r="DV19" i="6"/>
  <c r="EP27" i="6"/>
  <c r="EM24" i="6"/>
  <c r="CN25" i="6"/>
  <c r="EE25" i="6"/>
  <c r="FV25" i="6"/>
  <c r="FJ25" i="6"/>
  <c r="DX22" i="6"/>
  <c r="CT20" i="6"/>
  <c r="CY17" i="6"/>
  <c r="FW21" i="6"/>
  <c r="CY19" i="6"/>
  <c r="DZ16" i="6"/>
  <c r="FD20" i="6"/>
  <c r="EC17" i="6"/>
  <c r="DC21" i="6"/>
  <c r="EC18" i="6"/>
  <c r="CT22" i="6"/>
  <c r="FH19" i="6"/>
  <c r="EJ27" i="6"/>
  <c r="CU24" i="6"/>
  <c r="CZ24" i="6"/>
  <c r="CS24" i="6"/>
  <c r="CX24" i="6"/>
  <c r="FO24" i="6"/>
  <c r="EI22" i="6"/>
  <c r="FF18" i="6"/>
  <c r="FT25" i="6"/>
  <c r="FQ19" i="6"/>
  <c r="CR17" i="6"/>
  <c r="CR21" i="6"/>
  <c r="FW16" i="6"/>
  <c r="CW21" i="6"/>
  <c r="DW26" i="6"/>
  <c r="FN25" i="6"/>
  <c r="EI23" i="6"/>
  <c r="CM19" i="6"/>
  <c r="CS16" i="6"/>
  <c r="FR15" i="6"/>
  <c r="DB18" i="6"/>
  <c r="EP15" i="6"/>
  <c r="FX17" i="6"/>
  <c r="CY13" i="6"/>
  <c r="CT17" i="6"/>
  <c r="EB22" i="6"/>
  <c r="EP23" i="6"/>
  <c r="FX19" i="6"/>
  <c r="CV22" i="6"/>
  <c r="DB22" i="6"/>
  <c r="DI22" i="6"/>
  <c r="EH18" i="6"/>
  <c r="FT16" i="6"/>
  <c r="EL17" i="6"/>
  <c r="FD12" i="6"/>
  <c r="DD26" i="6"/>
  <c r="FC25" i="6"/>
  <c r="EB25" i="6"/>
  <c r="DX17" i="6"/>
  <c r="CR18" i="6"/>
  <c r="FI18" i="6"/>
  <c r="DB19" i="6"/>
  <c r="EQ15" i="6"/>
  <c r="FY14" i="6"/>
  <c r="EM15" i="6"/>
  <c r="EP12" i="6"/>
  <c r="CX26" i="6"/>
  <c r="FR22" i="6"/>
  <c r="EL19" i="6"/>
  <c r="EQ18" i="6"/>
  <c r="FK16" i="6"/>
  <c r="FD16" i="6"/>
  <c r="DH20" i="6"/>
  <c r="EM17" i="6"/>
  <c r="FS20" i="6"/>
  <c r="CP16" i="6"/>
  <c r="FK13" i="6"/>
  <c r="DA18" i="6"/>
  <c r="CO24" i="6"/>
  <c r="DD25" i="6"/>
  <c r="CN19" i="6"/>
  <c r="DE18" i="6"/>
  <c r="EE16" i="6"/>
  <c r="DH17" i="6"/>
  <c r="CP20" i="6"/>
  <c r="CO17" i="6"/>
  <c r="EG20" i="6"/>
  <c r="CX25" i="6"/>
  <c r="FD15" i="6"/>
  <c r="FR17" i="6"/>
  <c r="EI12" i="6"/>
  <c r="FG9" i="6"/>
  <c r="DT15" i="6"/>
  <c r="FB12" i="6"/>
  <c r="DZ9" i="6"/>
  <c r="DY9" i="6"/>
  <c r="FG6" i="6"/>
  <c r="EO15" i="6"/>
  <c r="EC7" i="6"/>
  <c r="DI15" i="6"/>
  <c r="FE9" i="6"/>
  <c r="EI6" i="6"/>
  <c r="EL13" i="6"/>
  <c r="DA4" i="6"/>
  <c r="FM10" i="6"/>
  <c r="DT4" i="6"/>
  <c r="CP6" i="6"/>
  <c r="DH18" i="6"/>
  <c r="EF17" i="6"/>
  <c r="FO12" i="6"/>
  <c r="DG9" i="6"/>
  <c r="EI14" i="6"/>
  <c r="EB11" i="6"/>
  <c r="EL8" i="6"/>
  <c r="EB10" i="6"/>
  <c r="CN7" i="6"/>
  <c r="DW4" i="6"/>
  <c r="CU11" i="6"/>
  <c r="FO7" i="6"/>
  <c r="CN15" i="6"/>
  <c r="CQ9" i="6"/>
  <c r="FK4" i="6"/>
  <c r="FT26" i="6"/>
  <c r="EL27" i="6"/>
  <c r="CM27" i="6"/>
  <c r="CO26" i="6"/>
  <c r="EQ26" i="6"/>
  <c r="DG27" i="6"/>
  <c r="EF26" i="6"/>
  <c r="FE25" i="6"/>
  <c r="EM27" i="6"/>
  <c r="FF27" i="6"/>
  <c r="EE26" i="6"/>
  <c r="CY27" i="6"/>
  <c r="EA25" i="6"/>
  <c r="DV26" i="6"/>
  <c r="EI26" i="6"/>
  <c r="FL22" i="6"/>
  <c r="CR23" i="6"/>
  <c r="EJ22" i="6"/>
  <c r="EF21" i="6"/>
  <c r="CT18" i="6"/>
  <c r="CW22" i="6"/>
  <c r="EK18" i="6"/>
  <c r="FH15" i="6"/>
  <c r="ED20" i="6"/>
  <c r="FE16" i="6"/>
  <c r="CQ20" i="6"/>
  <c r="EA27" i="6"/>
  <c r="ED26" i="6"/>
  <c r="EG23" i="6"/>
  <c r="CT25" i="6"/>
  <c r="CS25" i="6"/>
  <c r="FF22" i="6"/>
  <c r="FU25" i="6"/>
  <c r="FP22" i="6"/>
  <c r="FX20" i="6"/>
  <c r="DZ18" i="6"/>
  <c r="CO16" i="6"/>
  <c r="FK20" i="6"/>
  <c r="CM18" i="6"/>
  <c r="FI25" i="6"/>
  <c r="DX20" i="6"/>
  <c r="EM22" i="6"/>
  <c r="FU18" i="6"/>
  <c r="EJ16" i="6"/>
  <c r="FH21" i="6"/>
  <c r="CU27" i="6"/>
  <c r="FJ26" i="6"/>
  <c r="FM23" i="6"/>
  <c r="FR23" i="6"/>
  <c r="CY24" i="6"/>
  <c r="DD24" i="6"/>
  <c r="FU24" i="6"/>
  <c r="CR22" i="6"/>
  <c r="CZ19" i="6"/>
  <c r="EA16" i="6"/>
  <c r="CS21" i="6"/>
  <c r="DY18" i="6"/>
  <c r="DW22" i="6"/>
  <c r="DD19" i="6"/>
  <c r="DE16" i="6"/>
  <c r="DW20" i="6"/>
  <c r="FB17" i="6"/>
  <c r="DH21" i="6"/>
  <c r="FM25" i="6"/>
  <c r="FD26" i="6"/>
  <c r="DU23" i="6"/>
  <c r="DZ23" i="6"/>
  <c r="EO27" i="6"/>
  <c r="FW22" i="6"/>
  <c r="EO23" i="6"/>
  <c r="FL20" i="6"/>
  <c r="EE17" i="6"/>
  <c r="EG22" i="6"/>
  <c r="CS19" i="6"/>
  <c r="DT16" i="6"/>
  <c r="EJ19" i="6"/>
  <c r="CY16" i="6"/>
  <c r="DI20" i="6"/>
  <c r="EH22" i="6"/>
  <c r="FO26" i="6"/>
  <c r="CT21" i="6"/>
  <c r="DC22" i="6"/>
  <c r="FO19" i="6"/>
  <c r="DT22" i="6"/>
  <c r="DU17" i="6"/>
  <c r="FY19" i="6"/>
  <c r="DF15" i="6"/>
  <c r="EP11" i="6"/>
  <c r="FJ27" i="6"/>
  <c r="FD25" i="6"/>
  <c r="FC24" i="6"/>
  <c r="DG16" i="6"/>
  <c r="FJ19" i="6"/>
  <c r="DI18" i="6"/>
  <c r="DV20" i="6"/>
  <c r="FU16" i="6"/>
  <c r="EM14" i="6"/>
  <c r="FE14" i="6"/>
  <c r="EJ11" i="6"/>
  <c r="EA24" i="6"/>
  <c r="DD23" i="6"/>
  <c r="DF18" i="6"/>
  <c r="EN24" i="6"/>
  <c r="DH25" i="6"/>
  <c r="FJ16" i="6"/>
  <c r="EB18" i="6"/>
  <c r="DU21" i="6"/>
  <c r="DA19" i="6"/>
  <c r="DE14" i="6"/>
  <c r="FP11" i="6"/>
  <c r="DU24" i="6"/>
  <c r="CX23" i="6"/>
  <c r="FO15" i="6"/>
  <c r="DB24" i="6"/>
  <c r="FO21" i="6"/>
  <c r="EL15" i="6"/>
  <c r="CV19" i="6"/>
  <c r="FI16" i="6"/>
  <c r="CV16" i="6"/>
  <c r="FH16" i="6"/>
  <c r="EJ12" i="6"/>
  <c r="CZ27" i="6"/>
  <c r="FX24" i="6"/>
  <c r="CW25" i="6"/>
  <c r="DV25" i="6"/>
  <c r="FM22" i="6"/>
  <c r="EI21" i="6"/>
  <c r="EL22" i="6"/>
  <c r="CP19" i="6"/>
  <c r="DI16" i="6"/>
  <c r="FS15" i="6"/>
  <c r="DY16" i="6"/>
  <c r="DU20" i="6"/>
  <c r="FP14" i="6"/>
  <c r="FC11" i="6"/>
  <c r="EG8" i="6"/>
  <c r="DC14" i="6"/>
  <c r="FT11" i="6"/>
  <c r="FK12" i="6"/>
  <c r="DU8" i="6"/>
  <c r="EM5" i="6"/>
  <c r="DG11" i="6"/>
  <c r="FP5" i="6"/>
  <c r="EM12" i="6"/>
  <c r="EK8" i="6"/>
  <c r="FC5" i="6"/>
  <c r="CS7" i="6"/>
  <c r="CZ6" i="6"/>
  <c r="CV14" i="6"/>
  <c r="EE7" i="6"/>
  <c r="FE21" i="6"/>
  <c r="DA15" i="6"/>
  <c r="FJ14" i="6"/>
  <c r="DI11" i="6"/>
  <c r="FH24" i="6"/>
  <c r="FI13" i="6"/>
  <c r="DD10" i="6"/>
  <c r="DU14" i="6"/>
  <c r="FK8" i="6"/>
  <c r="FS5" i="6"/>
  <c r="DA14" i="6"/>
  <c r="FP9" i="6"/>
  <c r="EP6" i="6"/>
  <c r="FG27" i="6"/>
  <c r="CN27" i="6"/>
  <c r="FQ25" i="6"/>
  <c r="FR27" i="6"/>
  <c r="CY26" i="6"/>
  <c r="FS26" i="6"/>
  <c r="CT26" i="6"/>
  <c r="FT27" i="6"/>
  <c r="DA27" i="6"/>
  <c r="FR26" i="6"/>
  <c r="CM26" i="6"/>
  <c r="FD27" i="6"/>
  <c r="CO25" i="6"/>
  <c r="EL25" i="6"/>
  <c r="DE25" i="6"/>
  <c r="ED25" i="6"/>
  <c r="CQ26" i="6"/>
  <c r="CX22" i="6"/>
  <c r="DF20" i="6"/>
  <c r="FE17" i="6"/>
  <c r="DE21" i="6"/>
  <c r="CS18" i="6"/>
  <c r="DH26" i="6"/>
  <c r="CR20" i="6"/>
  <c r="EH24" i="6"/>
  <c r="FC19" i="6"/>
  <c r="DG26" i="6"/>
  <c r="DW27" i="6"/>
  <c r="CO23" i="6"/>
  <c r="FF24" i="6"/>
  <c r="FE24" i="6"/>
  <c r="CV26" i="6"/>
  <c r="DW25" i="6"/>
  <c r="ED22" i="6"/>
  <c r="EL20" i="6"/>
  <c r="CN18" i="6"/>
  <c r="FO27" i="6"/>
  <c r="DY20" i="6"/>
  <c r="DD17" i="6"/>
  <c r="EB23" i="6"/>
  <c r="FJ18" i="6"/>
  <c r="CO22" i="6"/>
  <c r="EI18" i="6"/>
  <c r="CX16" i="6"/>
  <c r="EN20" i="6"/>
  <c r="FS25" i="6"/>
  <c r="DX26" i="6"/>
  <c r="EA23" i="6"/>
  <c r="EF23" i="6"/>
  <c r="FK23" i="6"/>
  <c r="FJ23" i="6"/>
  <c r="EI24" i="6"/>
  <c r="FF21" i="6"/>
  <c r="FL18" i="6"/>
  <c r="EB26" i="6"/>
  <c r="FE20" i="6"/>
  <c r="EP17" i="6"/>
  <c r="FV21" i="6"/>
  <c r="FD18" i="6"/>
  <c r="CP26" i="6"/>
  <c r="EO19" i="6"/>
  <c r="FP16" i="6"/>
  <c r="FT20" i="6"/>
  <c r="FW27" i="6"/>
  <c r="DG25" i="6"/>
  <c r="EN22" i="6"/>
  <c r="CN23" i="6"/>
  <c r="FL25" i="6"/>
  <c r="CW27" i="6"/>
  <c r="CW23" i="6"/>
  <c r="DZ20" i="6"/>
  <c r="CS17" i="6"/>
  <c r="FQ21" i="6"/>
  <c r="FE18" i="6"/>
  <c r="EN15" i="6"/>
  <c r="CX18" i="6"/>
  <c r="DV23" i="6"/>
  <c r="FU19" i="6"/>
  <c r="FF25" i="6"/>
  <c r="FP24" i="6"/>
  <c r="DY17" i="6"/>
  <c r="FP19" i="6"/>
  <c r="CQ19" i="6"/>
  <c r="CP21" i="6"/>
  <c r="EO16" i="6"/>
  <c r="DF17" i="6"/>
  <c r="FK14" i="6"/>
  <c r="CX11" i="6"/>
  <c r="EP26" i="6"/>
  <c r="DE23" i="6"/>
  <c r="DW23" i="6"/>
  <c r="CS20" i="6"/>
  <c r="EJ18" i="6"/>
  <c r="EN17" i="6"/>
  <c r="FT19" i="6"/>
  <c r="EC16" i="6"/>
  <c r="EM19" i="6"/>
  <c r="FW13" i="6"/>
  <c r="CR11" i="6"/>
  <c r="CT24" i="6"/>
  <c r="EP25" i="6"/>
  <c r="CM17" i="6"/>
  <c r="FJ21" i="6"/>
  <c r="FU21" i="6"/>
  <c r="EB21" i="6"/>
  <c r="DA17" i="6"/>
  <c r="DG19" i="6"/>
  <c r="EB16" i="6"/>
  <c r="FQ13" i="6"/>
  <c r="ED11" i="6"/>
  <c r="DG23" i="6"/>
  <c r="EI25" i="6"/>
  <c r="DE22" i="6"/>
  <c r="FD21" i="6"/>
  <c r="EC19" i="6"/>
  <c r="FU22" i="6"/>
  <c r="FH18" i="6"/>
  <c r="FW15" i="6"/>
  <c r="FS14" i="6"/>
  <c r="EC15" i="6"/>
  <c r="CX12" i="6"/>
  <c r="EQ27" i="6"/>
  <c r="FF23" i="6"/>
  <c r="FU23" i="6"/>
  <c r="FK21" i="6"/>
  <c r="DX21" i="6"/>
  <c r="DC20" i="6"/>
  <c r="FT21" i="6"/>
  <c r="FB18" i="6"/>
  <c r="FQ15" i="6"/>
  <c r="DH15" i="6"/>
  <c r="FN17" i="6"/>
  <c r="CM14" i="6"/>
  <c r="ED14" i="6"/>
  <c r="FQ10" i="6"/>
  <c r="CU21" i="6"/>
  <c r="FO13" i="6"/>
  <c r="EH11" i="6"/>
  <c r="FY11" i="6"/>
  <c r="FR7" i="6"/>
  <c r="DA5" i="6"/>
  <c r="EO10" i="6"/>
  <c r="ED5" i="6"/>
  <c r="FR11" i="6"/>
  <c r="CQ8" i="6"/>
  <c r="FQ4" i="6"/>
  <c r="DH8" i="6"/>
  <c r="FG7" i="6"/>
  <c r="CO21" i="6"/>
  <c r="CZ13" i="6"/>
  <c r="FK22" i="6"/>
  <c r="FW14" i="6"/>
  <c r="DX14" i="6"/>
  <c r="FK10" i="6"/>
  <c r="CU18" i="6"/>
  <c r="DW13" i="6"/>
  <c r="FL9" i="6"/>
  <c r="EA13" i="6"/>
  <c r="DG8" i="6"/>
  <c r="EG5" i="6"/>
  <c r="EG13" i="6"/>
  <c r="DB9" i="6"/>
  <c r="CX6" i="6"/>
  <c r="EA12" i="6"/>
  <c r="FO6" i="6"/>
  <c r="EN16" i="6"/>
  <c r="FH5" i="6"/>
  <c r="FT14" i="6"/>
  <c r="DY5" i="6"/>
  <c r="EP16" i="6"/>
  <c r="DU27" i="6"/>
  <c r="DF26" i="6"/>
  <c r="DB27" i="6"/>
  <c r="EF27" i="6"/>
  <c r="FK25" i="6"/>
  <c r="EA26" i="6"/>
  <c r="FE27" i="6"/>
  <c r="EB27" i="6"/>
  <c r="FM26" i="6"/>
  <c r="DZ26" i="6"/>
  <c r="EQ25" i="6"/>
  <c r="FV26" i="6"/>
  <c r="FY23" i="6"/>
  <c r="CZ25" i="6"/>
  <c r="FK24" i="6"/>
  <c r="CR25" i="6"/>
  <c r="EC25" i="6"/>
  <c r="FB24" i="6"/>
  <c r="FR19" i="6"/>
  <c r="FY16" i="6"/>
  <c r="FQ20" i="6"/>
  <c r="FD17" i="6"/>
  <c r="FN23" i="6"/>
  <c r="FD19" i="6"/>
  <c r="CU22" i="6"/>
  <c r="EO18" i="6"/>
  <c r="FF26" i="6"/>
  <c r="FP25" i="6"/>
  <c r="FB22" i="6"/>
  <c r="FX23" i="6"/>
  <c r="DE24" i="6"/>
  <c r="DX25" i="6"/>
  <c r="EO24" i="6"/>
  <c r="FE22" i="6"/>
  <c r="CZ20" i="6"/>
  <c r="EQ17" i="6"/>
  <c r="DH24" i="6"/>
  <c r="EQ19" i="6"/>
  <c r="FR16" i="6"/>
  <c r="EF22" i="6"/>
  <c r="EI17" i="6"/>
  <c r="FC21" i="6"/>
  <c r="CW18" i="6"/>
  <c r="FF15" i="6"/>
  <c r="DB20" i="6"/>
  <c r="DT26" i="6"/>
  <c r="FH25" i="6"/>
  <c r="FC27" i="6"/>
  <c r="CT23" i="6"/>
  <c r="DY23" i="6"/>
  <c r="DX23" i="6"/>
  <c r="DC23" i="6"/>
  <c r="FR20" i="6"/>
  <c r="DT18" i="6"/>
  <c r="FT23" i="6"/>
  <c r="FW19" i="6"/>
  <c r="CX17" i="6"/>
  <c r="EJ21" i="6"/>
  <c r="DD18" i="6"/>
  <c r="FH23" i="6"/>
  <c r="DC19" i="6"/>
  <c r="ED16" i="6"/>
  <c r="EH20" i="6"/>
  <c r="FE26" i="6"/>
  <c r="FS24" i="6"/>
  <c r="FO25" i="6"/>
  <c r="DY25" i="6"/>
  <c r="FV24" i="6"/>
  <c r="FB25" i="6"/>
  <c r="FD22" i="6"/>
  <c r="CN20" i="6"/>
  <c r="FG16" i="6"/>
  <c r="DY21" i="6"/>
  <c r="FV17" i="6"/>
  <c r="FP21" i="6"/>
  <c r="FO17" i="6"/>
  <c r="DU22" i="6"/>
  <c r="DY26" i="6"/>
  <c r="EL24" i="6"/>
  <c r="FI26" i="6"/>
  <c r="CV23" i="6"/>
  <c r="EP18" i="6"/>
  <c r="CP17" i="6"/>
  <c r="EB20" i="6"/>
  <c r="CW16" i="6"/>
  <c r="CZ22" i="6"/>
  <c r="DY14" i="6"/>
  <c r="EM21" i="6"/>
  <c r="DC26" i="6"/>
  <c r="EH26" i="6"/>
  <c r="DD22" i="6"/>
  <c r="FJ17" i="6"/>
  <c r="DC17" i="6"/>
  <c r="FL15" i="6"/>
  <c r="DH19" i="6"/>
  <c r="CQ16" i="6"/>
  <c r="FN16" i="6"/>
  <c r="EK13" i="6"/>
  <c r="FS27" i="6"/>
  <c r="CM24" i="6"/>
  <c r="DW24" i="6"/>
  <c r="FU15" i="6"/>
  <c r="EP20" i="6"/>
  <c r="FC20" i="6"/>
  <c r="FN20" i="6"/>
  <c r="FO16" i="6"/>
  <c r="EH16" i="6"/>
  <c r="CU19" i="6"/>
  <c r="EE13" i="6"/>
  <c r="FM27" i="6"/>
  <c r="DF25" i="6"/>
  <c r="CP25" i="6"/>
  <c r="FW20" i="6"/>
  <c r="EJ20" i="6"/>
  <c r="FC18" i="6"/>
  <c r="DV21" i="6"/>
  <c r="DV18" i="6"/>
  <c r="EK15" i="6"/>
  <c r="EA14" i="6"/>
  <c r="EQ14" i="6"/>
  <c r="FJ11" i="6"/>
  <c r="CR27" i="6"/>
  <c r="DI27" i="6"/>
  <c r="DB23" i="6"/>
  <c r="EQ20" i="6"/>
  <c r="DD20" i="6"/>
  <c r="DW19" i="6"/>
  <c r="DB21" i="6"/>
  <c r="FS17" i="6"/>
  <c r="EE15" i="6"/>
  <c r="FM14" i="6"/>
  <c r="FN21" i="6"/>
  <c r="FP12" i="6"/>
  <c r="DD13" i="6"/>
  <c r="EE10" i="6"/>
  <c r="EG18" i="6"/>
  <c r="EC13" i="6"/>
  <c r="CP11" i="6"/>
  <c r="DA11" i="6"/>
  <c r="EF7" i="6"/>
  <c r="FO4" i="6"/>
  <c r="DD8" i="6"/>
  <c r="CR5" i="6"/>
  <c r="CT11" i="6"/>
  <c r="FB7" i="6"/>
  <c r="FQ6" i="6"/>
  <c r="CN10" i="6"/>
  <c r="EO8" i="6"/>
  <c r="FB10" i="6"/>
  <c r="DA20" i="6"/>
  <c r="CV17" i="6"/>
  <c r="FE13" i="6"/>
  <c r="EP13" i="6"/>
  <c r="DY10" i="6"/>
  <c r="FY15" i="6"/>
  <c r="DB12" i="6"/>
  <c r="DT9" i="6"/>
  <c r="FM11" i="6"/>
  <c r="FL7" i="6"/>
  <c r="CU5" i="6"/>
  <c r="FE12" i="6"/>
  <c r="EN8" i="6"/>
  <c r="FJ5" i="6"/>
  <c r="FF11" i="6"/>
  <c r="EC6" i="6"/>
  <c r="CS8" i="6"/>
  <c r="FS7" i="6"/>
  <c r="FM7" i="6"/>
  <c r="DB6" i="6"/>
  <c r="FM17" i="6"/>
  <c r="DY27" i="6"/>
  <c r="FY27" i="6"/>
  <c r="DF23" i="6"/>
  <c r="FO22" i="6"/>
  <c r="EN26" i="6"/>
  <c r="FU27" i="6"/>
  <c r="EE18" i="6"/>
  <c r="DA22" i="6"/>
  <c r="EP24" i="6"/>
  <c r="FK18" i="6"/>
  <c r="FB21" i="6"/>
  <c r="FD23" i="6"/>
  <c r="FF16" i="6"/>
  <c r="DZ22" i="6"/>
  <c r="FM15" i="6"/>
  <c r="FV20" i="6"/>
  <c r="FV11" i="6"/>
  <c r="EH17" i="6"/>
  <c r="EG25" i="6"/>
  <c r="EN19" i="6"/>
  <c r="FT22" i="6"/>
  <c r="EH19" i="6"/>
  <c r="CQ12" i="6"/>
  <c r="FY5" i="6"/>
  <c r="DH4" i="6"/>
  <c r="DD15" i="6"/>
  <c r="FU9" i="6"/>
  <c r="DF13" i="6"/>
  <c r="CV10" i="6"/>
  <c r="DV14" i="6"/>
  <c r="CT4" i="6"/>
  <c r="FG14" i="6"/>
  <c r="CW15" i="6"/>
  <c r="DW12" i="6"/>
  <c r="EK22" i="6"/>
  <c r="CQ14" i="6"/>
  <c r="EJ10" i="6"/>
  <c r="DG14" i="6"/>
  <c r="DA8" i="6"/>
  <c r="CO5" i="6"/>
  <c r="DW10" i="6"/>
  <c r="FV6" i="6"/>
  <c r="FR10" i="6"/>
  <c r="DW6" i="6"/>
  <c r="EH4" i="6"/>
  <c r="DU4" i="6"/>
  <c r="DB13" i="6"/>
  <c r="CT6" i="6"/>
  <c r="FM4" i="6"/>
  <c r="CW20" i="6"/>
  <c r="EK14" i="6"/>
  <c r="ED13" i="6"/>
  <c r="EM9" i="6"/>
  <c r="CV15" i="6"/>
  <c r="CP12" i="6"/>
  <c r="FL8" i="6"/>
  <c r="EM11" i="6"/>
  <c r="CU8" i="6"/>
  <c r="CW4" i="6"/>
  <c r="DI7" i="6"/>
  <c r="FR13" i="6"/>
  <c r="FW8" i="6"/>
  <c r="FU5" i="6"/>
  <c r="FT10" i="6"/>
  <c r="DT17" i="6"/>
  <c r="DG10" i="6"/>
  <c r="FW11" i="6"/>
  <c r="DF10" i="6"/>
  <c r="FO23" i="6"/>
  <c r="EB19" i="6"/>
  <c r="EP14" i="6"/>
  <c r="EC11" i="6"/>
  <c r="FS21" i="6"/>
  <c r="EO13" i="6"/>
  <c r="DX10" i="6"/>
  <c r="CO13" i="6"/>
  <c r="EI8" i="6"/>
  <c r="FS18" i="6"/>
  <c r="FM6" i="6"/>
  <c r="EJ5" i="6"/>
  <c r="FW4" i="6"/>
  <c r="EO9" i="6"/>
  <c r="EN6" i="6"/>
  <c r="DD4" i="6"/>
  <c r="EN13" i="6"/>
  <c r="FY10" i="6"/>
  <c r="FS13" i="6"/>
  <c r="FV12" i="6"/>
  <c r="FX7" i="6"/>
  <c r="EO7" i="6"/>
  <c r="FO5" i="6"/>
  <c r="DU7" i="6"/>
  <c r="FB6" i="6"/>
  <c r="EG4" i="6"/>
  <c r="CU12" i="6"/>
  <c r="EH8" i="6"/>
  <c r="FV15" i="6"/>
  <c r="FY7" i="6"/>
  <c r="DU9" i="6"/>
  <c r="EL7" i="6"/>
  <c r="CX5" i="6"/>
  <c r="EB9" i="6"/>
  <c r="FN6" i="6"/>
  <c r="EQ6" i="6"/>
  <c r="FQ5" i="6"/>
  <c r="FX12" i="6"/>
  <c r="EK7" i="6"/>
  <c r="EA20" i="6"/>
  <c r="CP10" i="6"/>
  <c r="FR4" i="6"/>
  <c r="DT12" i="6"/>
  <c r="CN4" i="6"/>
  <c r="EP9" i="6"/>
  <c r="DB5" i="6"/>
  <c r="CO4" i="6"/>
  <c r="FE11" i="6"/>
  <c r="FV9" i="6"/>
  <c r="DF8" i="6"/>
  <c r="FW10" i="6"/>
  <c r="CZ7" i="6"/>
  <c r="FV5" i="6"/>
  <c r="EO6" i="6"/>
  <c r="FL6" i="6"/>
  <c r="DV8" i="6"/>
  <c r="FJ9" i="6"/>
  <c r="DH9" i="6"/>
  <c r="CP13" i="6"/>
  <c r="CT8" i="6"/>
  <c r="FO8" i="6"/>
  <c r="DH6" i="6"/>
  <c r="DY6" i="6"/>
  <c r="DY22" i="6"/>
  <c r="EM13" i="6"/>
  <c r="EJ25" i="6"/>
  <c r="EN21" i="6"/>
  <c r="EL11" i="6"/>
  <c r="EF10" i="6"/>
  <c r="EN27" i="6"/>
  <c r="CR16" i="6"/>
  <c r="CQ6" i="6"/>
  <c r="DE13" i="6"/>
  <c r="CW12" i="6"/>
  <c r="CR19" i="6"/>
  <c r="DI21" i="6"/>
  <c r="DC4" i="6"/>
  <c r="DZ21" i="6"/>
  <c r="DD27" i="6"/>
  <c r="EK16" i="6"/>
  <c r="CZ18" i="6"/>
  <c r="CQ7" i="6"/>
  <c r="EJ8" i="6"/>
  <c r="FI15" i="6"/>
  <c r="CO14" i="6"/>
  <c r="EQ7" i="6"/>
  <c r="EA17" i="6"/>
  <c r="DH11" i="6"/>
  <c r="ED6" i="6"/>
  <c r="DH5" i="6"/>
  <c r="FS22" i="6"/>
  <c r="FF8" i="6"/>
  <c r="EN10" i="6"/>
  <c r="DV6" i="6"/>
  <c r="CP9" i="6"/>
  <c r="DE11" i="6"/>
  <c r="FO9" i="6"/>
  <c r="DV15" i="6"/>
  <c r="CR4" i="6"/>
  <c r="DI14" i="6"/>
  <c r="EF13" i="6"/>
  <c r="EG26" i="6"/>
  <c r="EM25" i="6"/>
  <c r="CY23" i="6"/>
  <c r="FW18" i="6"/>
  <c r="FP26" i="6"/>
  <c r="DI23" i="6"/>
  <c r="FB15" i="6"/>
  <c r="DV27" i="6"/>
  <c r="DI25" i="6"/>
  <c r="CP23" i="6"/>
  <c r="CO27" i="6"/>
  <c r="EC24" i="6"/>
  <c r="FV19" i="6"/>
  <c r="FP17" i="6"/>
  <c r="FJ12" i="6"/>
  <c r="FI19" i="6"/>
  <c r="EN25" i="6"/>
  <c r="FN18" i="6"/>
  <c r="DX24" i="6"/>
  <c r="CU17" i="6"/>
  <c r="CR24" i="6"/>
  <c r="FC16" i="6"/>
  <c r="FY8" i="6"/>
  <c r="FQ12" i="6"/>
  <c r="FJ4" i="6"/>
  <c r="EC12" i="6"/>
  <c r="DG6" i="6"/>
  <c r="DB10" i="6"/>
  <c r="EB4" i="6"/>
  <c r="CU4" i="6"/>
  <c r="CU25" i="6"/>
  <c r="DG18" i="6"/>
  <c r="FD14" i="6"/>
  <c r="EO11" i="6"/>
  <c r="FL17" i="6"/>
  <c r="FC13" i="6"/>
  <c r="CR10" i="6"/>
  <c r="EK12" i="6"/>
  <c r="FF7" i="6"/>
  <c r="FC4" i="6"/>
  <c r="FH9" i="6"/>
  <c r="EJ6" i="6"/>
  <c r="CT10" i="6"/>
  <c r="EO5" i="6"/>
  <c r="CM6" i="6"/>
  <c r="CV5" i="6"/>
  <c r="FH14" i="6"/>
  <c r="DE8" i="6"/>
  <c r="EK5" i="6"/>
  <c r="FX15" i="6"/>
  <c r="CR12" i="6"/>
  <c r="FC12" i="6"/>
  <c r="CU9" i="6"/>
  <c r="FI14" i="6"/>
  <c r="FB11" i="6"/>
  <c r="DV24" i="6"/>
  <c r="FX10" i="6"/>
  <c r="FY6" i="6"/>
  <c r="FN14" i="6"/>
  <c r="FP6" i="6"/>
  <c r="FY12" i="6"/>
  <c r="DI8" i="6"/>
  <c r="EI5" i="6"/>
  <c r="FP4" i="6"/>
  <c r="ED4" i="6"/>
  <c r="FL11" i="6"/>
  <c r="CP5" i="6"/>
  <c r="FK11" i="6"/>
  <c r="FK17" i="6"/>
  <c r="CU20" i="6"/>
  <c r="CX14" i="6"/>
  <c r="EQ10" i="6"/>
  <c r="DU19" i="6"/>
  <c r="DC13" i="6"/>
  <c r="CZ9" i="6"/>
  <c r="EA11" i="6"/>
  <c r="EP22" i="6"/>
  <c r="FU13" i="6"/>
  <c r="EI4" i="6"/>
  <c r="EH15" i="6"/>
  <c r="EE6" i="6"/>
  <c r="FK7" i="6"/>
  <c r="CN8" i="6"/>
  <c r="FX5" i="6"/>
  <c r="EQ5" i="6"/>
  <c r="DZ12" i="6"/>
  <c r="EP5" i="6"/>
  <c r="EJ14" i="6"/>
  <c r="EG6" i="6"/>
  <c r="DX6" i="6"/>
  <c r="EE4" i="6"/>
  <c r="EA10" i="6"/>
  <c r="EJ7" i="6"/>
  <c r="DE6" i="6"/>
  <c r="FN13" i="6"/>
  <c r="FB9" i="6"/>
  <c r="DI6" i="6"/>
  <c r="ED15" i="6"/>
  <c r="EA15" i="6"/>
  <c r="DU6" i="6"/>
  <c r="DZ14" i="6"/>
  <c r="EG7" i="6"/>
  <c r="DX9" i="6"/>
  <c r="EB8" i="6"/>
  <c r="CR7" i="6"/>
  <c r="FT13" i="6"/>
  <c r="CW10" i="6"/>
  <c r="FY21" i="6"/>
  <c r="DF7" i="6"/>
  <c r="FF13" i="6"/>
  <c r="CP4" i="6"/>
  <c r="DE7" i="6"/>
  <c r="FQ11" i="6"/>
  <c r="DA7" i="6"/>
  <c r="CS5" i="6"/>
  <c r="FJ15" i="6"/>
  <c r="DY7" i="6"/>
  <c r="CP14" i="6"/>
  <c r="EM8" i="6"/>
  <c r="FU4" i="6"/>
  <c r="FL4" i="6"/>
  <c r="DW5" i="6"/>
  <c r="DY8" i="6"/>
  <c r="FB14" i="6"/>
  <c r="FO10" i="6"/>
  <c r="DF14" i="6"/>
  <c r="CX4" i="6"/>
  <c r="CV9" i="6"/>
  <c r="DT6" i="6"/>
  <c r="FG10" i="6"/>
  <c r="DV11" i="6"/>
  <c r="DU15" i="6"/>
  <c r="DT24" i="6"/>
  <c r="CZ14" i="6"/>
  <c r="DV22" i="6"/>
  <c r="DV9" i="6"/>
  <c r="DW8" i="6"/>
  <c r="EQ21" i="6"/>
  <c r="DC27" i="6"/>
  <c r="DD9" i="6"/>
  <c r="CN9" i="6"/>
  <c r="CQ22" i="6"/>
  <c r="DH23" i="6"/>
  <c r="DD11" i="6"/>
  <c r="CT16" i="6"/>
  <c r="FS23" i="6"/>
  <c r="FJ20" i="6"/>
  <c r="CX27" i="6"/>
  <c r="EH21" i="6"/>
  <c r="FQ17" i="6"/>
  <c r="FS8" i="6"/>
  <c r="FU26" i="6"/>
  <c r="EN12" i="6"/>
  <c r="CR9" i="6"/>
  <c r="FT5" i="6"/>
  <c r="EA19" i="6"/>
  <c r="DH10" i="6"/>
  <c r="FT7" i="6"/>
  <c r="EF6" i="6"/>
  <c r="DE10" i="6"/>
  <c r="CS14" i="6"/>
  <c r="CN13" i="6"/>
  <c r="EB7" i="6"/>
  <c r="FP15" i="6"/>
  <c r="DT5" i="6"/>
  <c r="EC10" i="6"/>
  <c r="FD13" i="6"/>
  <c r="FH13" i="6"/>
  <c r="EO26" i="6"/>
  <c r="FH26" i="6"/>
  <c r="FL26" i="6"/>
  <c r="FV22" i="6"/>
  <c r="FP20" i="6"/>
  <c r="EF25" i="6"/>
  <c r="FR18" i="6"/>
  <c r="CV24" i="6"/>
  <c r="DA24" i="6"/>
  <c r="FF19" i="6"/>
  <c r="EQ16" i="6"/>
  <c r="FG23" i="6"/>
  <c r="FW17" i="6"/>
  <c r="FI20" i="6"/>
  <c r="CP24" i="6"/>
  <c r="EF24" i="6"/>
  <c r="CP18" i="6"/>
  <c r="FF20" i="6"/>
  <c r="EG14" i="6"/>
  <c r="CZ16" i="6"/>
  <c r="DG21" i="6"/>
  <c r="FT15" i="6"/>
  <c r="FN15" i="6"/>
  <c r="DH12" i="6"/>
  <c r="DT13" i="6"/>
  <c r="FR5" i="6"/>
  <c r="CW14" i="6"/>
  <c r="EG10" i="6"/>
  <c r="DH7" i="6"/>
  <c r="DT14" i="6"/>
  <c r="EL4" i="6"/>
  <c r="EK20" i="6"/>
  <c r="DX12" i="6"/>
  <c r="EJ13" i="6"/>
  <c r="FE10" i="6"/>
  <c r="DC15" i="6"/>
  <c r="CV12" i="6"/>
  <c r="FR8" i="6"/>
  <c r="FK9" i="6"/>
  <c r="DA6" i="6"/>
  <c r="DU13" i="6"/>
  <c r="ED8" i="6"/>
  <c r="FD5" i="6"/>
  <c r="EN7" i="6"/>
  <c r="FE4" i="6"/>
  <c r="FV8" i="6"/>
  <c r="DZ6" i="6"/>
  <c r="FE6" i="6"/>
  <c r="CY6" i="6"/>
  <c r="FQ24" i="6"/>
  <c r="EH25" i="6"/>
  <c r="CP15" i="6"/>
  <c r="EI11" i="6"/>
  <c r="CM22" i="6"/>
  <c r="DI13" i="6"/>
  <c r="FP10" i="6"/>
  <c r="CU14" i="6"/>
  <c r="FC9" i="6"/>
  <c r="CU6" i="6"/>
  <c r="FS10" i="6"/>
  <c r="FX4" i="6"/>
  <c r="EF11" i="6"/>
  <c r="EH7" i="6"/>
  <c r="CY4" i="6"/>
  <c r="FQ7" i="6"/>
  <c r="DG7" i="6"/>
  <c r="DG15" i="6"/>
  <c r="FQ8" i="6"/>
  <c r="EE27" i="6"/>
  <c r="FV18" i="6"/>
  <c r="FG22" i="6"/>
  <c r="DX13" i="6"/>
  <c r="FS9" i="6"/>
  <c r="EI15" i="6"/>
  <c r="EB12" i="6"/>
  <c r="FM21" i="6"/>
  <c r="CZ10" i="6"/>
  <c r="FV14" i="6"/>
  <c r="CT9" i="6"/>
  <c r="DU11" i="6"/>
  <c r="FE8" i="6"/>
  <c r="EK6" i="6"/>
  <c r="FF5" i="6"/>
  <c r="CS11" i="6"/>
  <c r="CV4" i="6"/>
  <c r="EP7" i="6"/>
  <c r="EC22" i="6"/>
  <c r="FX6" i="6"/>
  <c r="FM9" i="6"/>
  <c r="CU13" i="6"/>
  <c r="CO12" i="6"/>
  <c r="FK6" i="6"/>
  <c r="FR6" i="6"/>
  <c r="DI10" i="6"/>
  <c r="DZ4" i="6"/>
  <c r="FE5" i="6"/>
  <c r="CU15" i="6"/>
  <c r="FB13" i="6"/>
  <c r="FD11" i="6"/>
  <c r="FD10" i="6"/>
  <c r="FY20" i="6"/>
  <c r="CW8" i="6"/>
  <c r="CO7" i="6"/>
  <c r="EQ11" i="6"/>
  <c r="FU10" i="6"/>
  <c r="FB8" i="6"/>
  <c r="FL5" i="6"/>
  <c r="ED7" i="6"/>
  <c r="DW11" i="6"/>
  <c r="DE12" i="6"/>
  <c r="FN7" i="6"/>
  <c r="CN6" i="6"/>
  <c r="FK5" i="6"/>
  <c r="DB16" i="6"/>
  <c r="CZ11" i="6"/>
  <c r="DD7" i="6"/>
  <c r="FS6" i="6"/>
  <c r="EB6" i="6"/>
  <c r="DW18" i="6"/>
  <c r="FX9" i="6"/>
  <c r="CS12" i="6"/>
  <c r="DF11" i="6"/>
  <c r="FR12" i="6"/>
  <c r="CZ5" i="6"/>
  <c r="FW5" i="6"/>
  <c r="EA18" i="6"/>
  <c r="EM7" i="6"/>
  <c r="DE5" i="6"/>
  <c r="EF9" i="6"/>
  <c r="EF5" i="6"/>
  <c r="ED18" i="6"/>
  <c r="EA9" i="6"/>
  <c r="DT21" i="6"/>
  <c r="EK24" i="6"/>
  <c r="EQ4" i="6"/>
  <c r="EC23" i="6"/>
  <c r="EL9" i="6"/>
  <c r="EI16" i="6"/>
  <c r="EM26" i="6"/>
  <c r="CS22" i="6"/>
  <c r="DI4" i="6"/>
  <c r="DH13" i="6"/>
  <c r="DB25" i="6"/>
  <c r="DG17" i="6"/>
  <c r="CN22" i="6"/>
  <c r="EJ23" i="6"/>
  <c r="CZ21" i="6"/>
  <c r="ED24" i="6"/>
  <c r="EO14" i="6"/>
  <c r="EC8" i="6"/>
  <c r="FV13" i="6"/>
  <c r="DT10" i="6"/>
  <c r="EK9" i="6"/>
  <c r="CT27" i="6"/>
  <c r="DW14" i="6"/>
  <c r="DG13" i="6"/>
  <c r="FT4" i="6"/>
  <c r="CY18" i="6"/>
  <c r="FN12" i="6"/>
  <c r="FG13" i="6"/>
  <c r="FW7" i="6"/>
  <c r="CQ4" i="6"/>
  <c r="EA4" i="6"/>
  <c r="DG5" i="6"/>
  <c r="FP7" i="6"/>
  <c r="DT11" i="6"/>
  <c r="FH6" i="6"/>
  <c r="EB14" i="6"/>
  <c r="DH27" i="6"/>
  <c r="FX26" i="6"/>
  <c r="FI27" i="6"/>
  <c r="FR21" i="6"/>
  <c r="CW17" i="6"/>
  <c r="EK25" i="6"/>
  <c r="EG16" i="6"/>
  <c r="DI19" i="6"/>
  <c r="DF24" i="6"/>
  <c r="FM16" i="6"/>
  <c r="FO20" i="6"/>
  <c r="FL23" i="6"/>
  <c r="EH23" i="6"/>
  <c r="FM24" i="6"/>
  <c r="FG17" i="6"/>
  <c r="DI26" i="6"/>
  <c r="EG15" i="6"/>
  <c r="DF16" i="6"/>
  <c r="CQ15" i="6"/>
  <c r="FT24" i="6"/>
  <c r="DY13" i="6"/>
  <c r="FY22" i="6"/>
  <c r="CO20" i="6"/>
  <c r="EL14" i="6"/>
  <c r="CY9" i="6"/>
  <c r="EL21" i="6"/>
  <c r="EP10" i="6"/>
  <c r="DW7" i="6"/>
  <c r="DI5" i="6"/>
  <c r="FV4" i="6"/>
  <c r="FE7" i="6"/>
  <c r="EC21" i="6"/>
  <c r="FM19" i="6"/>
  <c r="CR13" i="6"/>
  <c r="DA9" i="6"/>
  <c r="FO14" i="6"/>
  <c r="FH11" i="6"/>
  <c r="EF8" i="6"/>
  <c r="DE9" i="6"/>
  <c r="FM5" i="6"/>
  <c r="EQ12" i="6"/>
  <c r="CR8" i="6"/>
  <c r="EM20" i="6"/>
  <c r="DB7" i="6"/>
  <c r="DE4" i="6"/>
  <c r="CM11" i="6"/>
  <c r="CU7" i="6"/>
  <c r="DB8" i="6"/>
  <c r="EK11" i="6"/>
  <c r="CQ25" i="6"/>
  <c r="CV25" i="6"/>
  <c r="DD14" i="6"/>
  <c r="CW11" i="6"/>
  <c r="FG19" i="6"/>
  <c r="FT12" i="6"/>
  <c r="ED10" i="6"/>
  <c r="DA13" i="6"/>
  <c r="CW9" i="6"/>
  <c r="FG5" i="6"/>
  <c r="DX8" i="6"/>
  <c r="FM18" i="6"/>
  <c r="FH10" i="6"/>
  <c r="CV7" i="6"/>
  <c r="EL5" i="6"/>
  <c r="CX9" i="6"/>
  <c r="CM8" i="6"/>
  <c r="EP4" i="6"/>
  <c r="DF5" i="6"/>
  <c r="FN22" i="6"/>
  <c r="CW19" i="6"/>
  <c r="EE14" i="6"/>
  <c r="DI12" i="6"/>
  <c r="EG9" i="6"/>
  <c r="CO15" i="6"/>
  <c r="DB11" i="6"/>
  <c r="FX14" i="6"/>
  <c r="EQ9" i="6"/>
  <c r="EO12" i="6"/>
  <c r="CY12" i="6"/>
  <c r="ED9" i="6"/>
  <c r="DV7" i="6"/>
  <c r="FF12" i="6"/>
  <c r="DZ10" i="6"/>
  <c r="EL12" i="6"/>
  <c r="DF6" i="6"/>
  <c r="DT8" i="6"/>
  <c r="EK10" i="6"/>
  <c r="FB5" i="6"/>
  <c r="EI13" i="6"/>
  <c r="FI10" i="6"/>
  <c r="FW9" i="6"/>
  <c r="DZ13" i="6"/>
  <c r="FL10" i="6"/>
  <c r="FL12" i="6"/>
  <c r="EE8" i="6"/>
  <c r="EH6" i="6"/>
  <c r="EG21" i="6"/>
  <c r="FD8" i="6"/>
  <c r="CR14" i="6"/>
  <c r="CO18" i="6"/>
  <c r="FH8" i="6"/>
  <c r="FI5" i="6"/>
  <c r="FW6" i="6"/>
  <c r="EH13" i="6"/>
  <c r="DH14" i="6"/>
  <c r="FT9" i="6"/>
  <c r="CT12" i="6"/>
  <c r="CV13" i="6"/>
  <c r="FH12" i="6"/>
  <c r="DC10" i="6"/>
  <c r="EC5" i="6"/>
  <c r="CY8" i="6"/>
  <c r="FJ7" i="6"/>
  <c r="CN5" i="6"/>
  <c r="FS12" i="6"/>
  <c r="FT8" i="6"/>
  <c r="EN9" i="6"/>
  <c r="FN5" i="6"/>
  <c r="FG20" i="6"/>
  <c r="FM13" i="6"/>
  <c r="CU10" i="6"/>
  <c r="DI9" i="6"/>
  <c r="EJ9" i="6"/>
  <c r="EB5" i="6"/>
  <c r="FV7" i="6"/>
  <c r="DZ5" i="6"/>
  <c r="FQ9" i="6"/>
  <c r="CV6" i="6"/>
  <c r="EO4" i="6"/>
  <c r="FJ8" i="6"/>
  <c r="DU12" i="6"/>
  <c r="EB15" i="6"/>
  <c r="DT27" i="6"/>
  <c r="EA6" i="6"/>
  <c r="EH14" i="6"/>
  <c r="CT5" i="6"/>
  <c r="EQ24" i="6"/>
  <c r="EJ17" i="6"/>
  <c r="CX10" i="6"/>
  <c r="DF21" i="6"/>
  <c r="DD6" i="6"/>
  <c r="DB17" i="6"/>
  <c r="CT15" i="6"/>
  <c r="CL27" i="6"/>
  <c r="DA10" i="6"/>
  <c r="CY20" i="6"/>
  <c r="FK27" i="6"/>
  <c r="FC26" i="6"/>
  <c r="CQ21" i="6"/>
  <c r="DE15" i="6"/>
  <c r="DU18" i="6"/>
  <c r="CR15" i="6"/>
  <c r="FQ14" i="6"/>
  <c r="FF9" i="6"/>
  <c r="CR6" i="6"/>
  <c r="DX4" i="6"/>
  <c r="FU11" i="6"/>
  <c r="DB15" i="6"/>
  <c r="DA12" i="6"/>
  <c r="EB13" i="6"/>
  <c r="FJ13" i="6"/>
  <c r="FN10" i="6"/>
  <c r="FF6" i="6"/>
  <c r="DV13" i="6"/>
  <c r="DD5" i="6"/>
  <c r="CP8" i="6"/>
  <c r="CW13" i="6"/>
  <c r="FD4" i="6"/>
  <c r="CO6" i="6"/>
  <c r="EE9" i="6"/>
  <c r="DV12" i="6"/>
  <c r="FX27" i="6"/>
  <c r="CS26" i="6"/>
  <c r="FH22" i="6"/>
  <c r="EF18" i="6"/>
  <c r="EI20" i="6"/>
  <c r="CS23" i="6"/>
  <c r="CY21" i="6"/>
  <c r="FV16" i="6"/>
  <c r="CM25" i="6"/>
  <c r="EE21" i="6"/>
  <c r="CQ18" i="6"/>
  <c r="FE23" i="6"/>
  <c r="EE19" i="6"/>
  <c r="DY24" i="6"/>
  <c r="DG22" i="6"/>
  <c r="EL18" i="6"/>
  <c r="CX15" i="6"/>
  <c r="FQ16" i="6"/>
  <c r="DD12" i="6"/>
  <c r="DD16" i="6"/>
  <c r="FG26" i="6"/>
  <c r="EF15" i="6"/>
  <c r="EJ15" i="6"/>
  <c r="FU8" i="6"/>
  <c r="CW6" i="6"/>
  <c r="FK15" i="6"/>
  <c r="FG15" i="6"/>
  <c r="CN14" i="6"/>
  <c r="FB4" i="6"/>
  <c r="FI8" i="6"/>
  <c r="FD9" i="6"/>
  <c r="DY15" i="6"/>
  <c r="FB16" i="6"/>
  <c r="FI12" i="6"/>
  <c r="FM8" i="6"/>
  <c r="EC14" i="6"/>
  <c r="FV10" i="6"/>
  <c r="DZ15" i="6"/>
  <c r="FC8" i="6"/>
  <c r="EA5" i="6"/>
  <c r="FG11" i="6"/>
  <c r="FI7" i="6"/>
  <c r="CT13" i="6"/>
  <c r="FI6" i="6"/>
  <c r="EH10" i="6"/>
  <c r="CZ15" i="6"/>
  <c r="CO10" i="6"/>
  <c r="DW15" i="6"/>
  <c r="DB4" i="6"/>
  <c r="CX20" i="6"/>
  <c r="DV16" i="6"/>
  <c r="FP13" i="6"/>
  <c r="FY9" i="6"/>
  <c r="DZ17" i="6"/>
  <c r="EH12" i="6"/>
  <c r="DF9" i="6"/>
  <c r="DY12" i="6"/>
  <c r="EQ8" i="6"/>
  <c r="DU5" i="6"/>
  <c r="FC7" i="6"/>
  <c r="FL14" i="6"/>
  <c r="EC9" i="6"/>
  <c r="FC6" i="6"/>
  <c r="FN8" i="6"/>
  <c r="EF12" i="6"/>
  <c r="DC9" i="6"/>
  <c r="CM7" i="6"/>
  <c r="CV8" i="6"/>
  <c r="EQ23" i="6"/>
  <c r="EO25" i="6"/>
  <c r="FY18" i="6"/>
  <c r="FO11" i="6"/>
  <c r="CO9" i="6"/>
  <c r="FC14" i="6"/>
  <c r="FJ10" i="6"/>
  <c r="FY13" i="6"/>
  <c r="CM9" i="6"/>
  <c r="CY10" i="6"/>
  <c r="EA8" i="6"/>
  <c r="FD6" i="6"/>
  <c r="DC6" i="6"/>
  <c r="DV5" i="6"/>
  <c r="CM5" i="6"/>
  <c r="EF14" i="6"/>
  <c r="FX11" i="6"/>
  <c r="EH9" i="6"/>
  <c r="FW12" i="6"/>
  <c r="EA21" i="6"/>
  <c r="CV11" i="6"/>
  <c r="FP8" i="6"/>
  <c r="DC8" i="6"/>
  <c r="EH5" i="6"/>
  <c r="CY5" i="6"/>
  <c r="FR14" i="6"/>
  <c r="FC10" i="6"/>
  <c r="FD7" i="6"/>
  <c r="EG11" i="6"/>
  <c r="FY4" i="6"/>
  <c r="FI11" i="6"/>
  <c r="FF10" i="6"/>
  <c r="EI7" i="6"/>
  <c r="DY4" i="6"/>
  <c r="DF12" i="6"/>
  <c r="FN4" i="6"/>
  <c r="EJ4" i="6"/>
  <c r="EE11" i="6"/>
  <c r="CX7" i="6"/>
  <c r="FC17" i="6"/>
  <c r="FF14" i="6"/>
  <c r="DC7" i="6"/>
  <c r="CS4" i="6"/>
  <c r="DG12" i="6"/>
  <c r="DZ8" i="6"/>
  <c r="FL13" i="6"/>
  <c r="EN14" i="6"/>
  <c r="DU10" i="6"/>
  <c r="FM12" i="6"/>
  <c r="FS4" i="6"/>
  <c r="EM18" i="6"/>
  <c r="EI9" i="6"/>
  <c r="CW7" i="6"/>
  <c r="FH7" i="6"/>
  <c r="EM4" i="6"/>
  <c r="CZ4" i="6"/>
  <c r="EP8" i="6"/>
  <c r="CY7" i="6"/>
  <c r="DZ11" i="6"/>
  <c r="FT6" i="6"/>
  <c r="FJ6" i="6"/>
  <c r="DB14" i="6"/>
  <c r="DY11" i="6"/>
  <c r="EE12" i="6"/>
  <c r="DX7" i="6"/>
  <c r="EO20" i="6"/>
  <c r="EF19" i="6"/>
  <c r="CM15" i="6"/>
  <c r="EC26" i="6"/>
  <c r="EI10" i="6"/>
  <c r="CV18" i="6"/>
  <c r="CX19" i="6"/>
  <c r="DC24" i="6"/>
  <c r="CU23" i="6"/>
  <c r="CN11" i="6"/>
  <c r="CS9" i="6"/>
  <c r="CP7" i="6"/>
  <c r="CQ11" i="6"/>
  <c r="FQ26" i="6"/>
  <c r="EP19" i="6"/>
  <c r="FX25" i="6"/>
  <c r="FG18" i="6"/>
  <c r="FG12" i="6"/>
  <c r="CY11" i="6"/>
  <c r="DC11" i="6"/>
  <c r="DT7" i="6"/>
  <c r="DC5" i="6"/>
  <c r="FH4" i="6"/>
  <c r="FG8" i="6"/>
  <c r="EM6" i="6"/>
  <c r="CQ5" i="6"/>
  <c r="CT14" i="6"/>
  <c r="CN17" i="6"/>
  <c r="EN11" i="6"/>
  <c r="CQ10" i="6"/>
  <c r="DC12" i="6"/>
  <c r="CZ8" i="6"/>
  <c r="CZ12" i="6"/>
  <c r="FF17" i="6"/>
  <c r="DG4" i="6"/>
  <c r="DV4" i="6"/>
  <c r="FC15" i="6"/>
  <c r="CM4" i="6"/>
  <c r="EN5" i="6"/>
  <c r="EE5" i="6"/>
  <c r="CM12" i="6"/>
  <c r="CO8" i="6"/>
  <c r="EM10" i="6"/>
  <c r="FG4" i="6"/>
  <c r="EO17" i="6"/>
  <c r="DG20" i="6"/>
  <c r="EA22" i="6"/>
  <c r="EG12" i="6"/>
  <c r="DW9" i="6"/>
  <c r="EK4" i="6"/>
  <c r="CU26" i="6"/>
  <c r="EF4" i="6"/>
  <c r="EK27" i="6"/>
  <c r="EL6" i="6"/>
  <c r="DE26" i="6"/>
  <c r="CN12" i="6"/>
  <c r="DZ19" i="6"/>
  <c r="DA16" i="6"/>
  <c r="CY25" i="6"/>
  <c r="CS6" i="6"/>
  <c r="DF4" i="6"/>
  <c r="AY5" i="6"/>
  <c r="BM5" i="6" s="1"/>
  <c r="AY31" i="6"/>
  <c r="BM31" i="6" s="1"/>
  <c r="BA31" i="6"/>
  <c r="BL31" i="6" s="1"/>
  <c r="AY15" i="6"/>
  <c r="BA15" i="6" s="1"/>
  <c r="BL15" i="6" s="1"/>
  <c r="AY11" i="6"/>
  <c r="BM11" i="6" s="1"/>
  <c r="BA11" i="6"/>
  <c r="BL11" i="6" s="1"/>
  <c r="AY24" i="6"/>
  <c r="BM24" i="6" s="1"/>
  <c r="U39" i="6"/>
  <c r="DF27" i="6" s="1"/>
  <c r="V39" i="6"/>
  <c r="DI24" i="6" s="1"/>
  <c r="AY10" i="6"/>
  <c r="AY20" i="6"/>
  <c r="BA20" i="6" s="1"/>
  <c r="BL20" i="6" s="1"/>
  <c r="AY16" i="6"/>
  <c r="BA16" i="6" s="1"/>
  <c r="BL16" i="6" s="1"/>
  <c r="AY9" i="6"/>
  <c r="BM9" i="6" s="1"/>
  <c r="AY4" i="6"/>
  <c r="BM4" i="6" s="1"/>
  <c r="AY12" i="6"/>
  <c r="BA12" i="6" s="1"/>
  <c r="BL12" i="6" s="1"/>
  <c r="AY25" i="6"/>
  <c r="BA25" i="6" s="1"/>
  <c r="BL25" i="6" s="1"/>
  <c r="AY17" i="6"/>
  <c r="BM17" i="6" s="1"/>
  <c r="AY30" i="6"/>
  <c r="AY21" i="6"/>
  <c r="BM21" i="6" s="1"/>
  <c r="AY22" i="6"/>
  <c r="BM22" i="6" s="1"/>
  <c r="AY7" i="6"/>
  <c r="AY32" i="6"/>
  <c r="BA32" i="6" s="1"/>
  <c r="BL32" i="6" s="1"/>
  <c r="AY29" i="6"/>
  <c r="BM29" i="6" s="1"/>
  <c r="AY26" i="6"/>
  <c r="BA26" i="6" s="1"/>
  <c r="BL26" i="6" s="1"/>
  <c r="AY27" i="6"/>
  <c r="BM27" i="6" s="1"/>
  <c r="AY6" i="6"/>
  <c r="BA6" i="6" s="1"/>
  <c r="BL6" i="6" s="1"/>
  <c r="AY19" i="6"/>
  <c r="BM19" i="6" s="1"/>
  <c r="AY14" i="6"/>
  <c r="BA14" i="6" s="1"/>
  <c r="BL14" i="6" s="1"/>
  <c r="O39" i="6"/>
  <c r="AU21" i="6" s="1"/>
  <c r="AV14" i="6"/>
  <c r="AV7" i="6"/>
  <c r="AV10" i="6"/>
  <c r="AV19" i="6"/>
  <c r="AV9" i="6"/>
  <c r="AV12" i="6"/>
  <c r="AV31" i="6"/>
  <c r="AV20" i="6"/>
  <c r="AV27" i="6"/>
  <c r="AV17" i="6"/>
  <c r="AV30" i="6"/>
  <c r="AV25" i="6"/>
  <c r="AV15" i="6"/>
  <c r="AV22" i="6"/>
  <c r="AV26" i="6"/>
  <c r="AV24" i="6"/>
  <c r="AV6" i="6"/>
  <c r="AV11" i="6"/>
  <c r="AV16" i="6"/>
  <c r="AV5" i="6"/>
  <c r="AV21" i="6"/>
  <c r="AX21" i="6" s="1"/>
  <c r="AV32" i="6"/>
  <c r="AV29" i="6"/>
  <c r="BF4" i="16"/>
  <c r="AV4" i="6"/>
  <c r="BA30" i="6" l="1"/>
  <c r="BL30" i="6" s="1"/>
  <c r="AU11" i="6"/>
  <c r="AX11" i="6" s="1"/>
  <c r="BK21" i="16"/>
  <c r="BV21" i="16" s="1"/>
  <c r="AU16" i="6"/>
  <c r="AX16" i="6" s="1"/>
  <c r="P39" i="6"/>
  <c r="AW14" i="6" s="1"/>
  <c r="BA7" i="6"/>
  <c r="BL7" i="6" s="1"/>
  <c r="AU25" i="6"/>
  <c r="AX25" i="6" s="1"/>
  <c r="BA29" i="6"/>
  <c r="BL29" i="6" s="1"/>
  <c r="BA21" i="6"/>
  <c r="BL21" i="6" s="1"/>
  <c r="AU12" i="6"/>
  <c r="AX12" i="6" s="1"/>
  <c r="BE26" i="16"/>
  <c r="BA19" i="6"/>
  <c r="BL19" i="6" s="1"/>
  <c r="BA9" i="6"/>
  <c r="BL9" i="6" s="1"/>
  <c r="AU17" i="6"/>
  <c r="BE32" i="16"/>
  <c r="BM30" i="6"/>
  <c r="BM12" i="6"/>
  <c r="BM16" i="6"/>
  <c r="BM15" i="6"/>
  <c r="AU30" i="6"/>
  <c r="AU19" i="6"/>
  <c r="AX19" i="6" s="1"/>
  <c r="BM26" i="6"/>
  <c r="BM7" i="6"/>
  <c r="BA17" i="6"/>
  <c r="BL17" i="6" s="1"/>
  <c r="BA4" i="6"/>
  <c r="BL4" i="6" s="1"/>
  <c r="AU6" i="6"/>
  <c r="AX6" i="6" s="1"/>
  <c r="AU5" i="6"/>
  <c r="AX5" i="6" s="1"/>
  <c r="AU31" i="6"/>
  <c r="AX31" i="6" s="1"/>
  <c r="BA5" i="6"/>
  <c r="BL5" i="6" s="1"/>
  <c r="AX30" i="6"/>
  <c r="BM14" i="6"/>
  <c r="BM6" i="6"/>
  <c r="BM20" i="6"/>
  <c r="AU26" i="6"/>
  <c r="AX26" i="6" s="1"/>
  <c r="AU14" i="6"/>
  <c r="AX14" i="6" s="1"/>
  <c r="AU9" i="6"/>
  <c r="AX9" i="6" s="1"/>
  <c r="AX17" i="6"/>
  <c r="BA27" i="6"/>
  <c r="BL27" i="6" s="1"/>
  <c r="AU22" i="6"/>
  <c r="AX22" i="6" s="1"/>
  <c r="BE22" i="6" s="1"/>
  <c r="AU20" i="6"/>
  <c r="AX20" i="6" s="1"/>
  <c r="AU27" i="6"/>
  <c r="AX27" i="6" s="1"/>
  <c r="BE16" i="16"/>
  <c r="BH16" i="16" s="1"/>
  <c r="BE21" i="16"/>
  <c r="BH21" i="16" s="1"/>
  <c r="BH32" i="16"/>
  <c r="BH26" i="16"/>
  <c r="BW30" i="16"/>
  <c r="BK11" i="16"/>
  <c r="BV11" i="16" s="1"/>
  <c r="BW27" i="16"/>
  <c r="BK6" i="16"/>
  <c r="BV6" i="16" s="1"/>
  <c r="BW24" i="16"/>
  <c r="BW26" i="16"/>
  <c r="BW32" i="16"/>
  <c r="BW19" i="16"/>
  <c r="BH30" i="16"/>
  <c r="BK4" i="16"/>
  <c r="BV4" i="16" s="1"/>
  <c r="BK16" i="16"/>
  <c r="BV16" i="16" s="1"/>
  <c r="BK31" i="16"/>
  <c r="BV31" i="16" s="1"/>
  <c r="BW25" i="16"/>
  <c r="BW14" i="16"/>
  <c r="BK10" i="16"/>
  <c r="BV10" i="16" s="1"/>
  <c r="BK12" i="16"/>
  <c r="BV12" i="16" s="1"/>
  <c r="AW6" i="6"/>
  <c r="AW27" i="6"/>
  <c r="BM32" i="6"/>
  <c r="AW29" i="6"/>
  <c r="AW25" i="6"/>
  <c r="AW30" i="6"/>
  <c r="AW12" i="6"/>
  <c r="AW17" i="6"/>
  <c r="AW22" i="6"/>
  <c r="AW11" i="6"/>
  <c r="AW4" i="6"/>
  <c r="AW7" i="6"/>
  <c r="AW32" i="6"/>
  <c r="AW31" i="6"/>
  <c r="AW9" i="6"/>
  <c r="AW26" i="6"/>
  <c r="AW20" i="6"/>
  <c r="AW5" i="6"/>
  <c r="AW15" i="6"/>
  <c r="AW10" i="6"/>
  <c r="AW19" i="6"/>
  <c r="AW16" i="6"/>
  <c r="AW24" i="6"/>
  <c r="AW21" i="6"/>
  <c r="BA22" i="6"/>
  <c r="BL22" i="6" s="1"/>
  <c r="BM10" i="6"/>
  <c r="BA10" i="6"/>
  <c r="BL10" i="6" s="1"/>
  <c r="BM25" i="6"/>
  <c r="BA24" i="6"/>
  <c r="BL24" i="6" s="1"/>
  <c r="AU15" i="6"/>
  <c r="AX15" i="6" s="1"/>
  <c r="AU4" i="6"/>
  <c r="AX4" i="6" s="1"/>
  <c r="AU29" i="6"/>
  <c r="AX29" i="6" s="1"/>
  <c r="AU7" i="6"/>
  <c r="AX7" i="6" s="1"/>
  <c r="AU10" i="6"/>
  <c r="AX10" i="6" s="1"/>
  <c r="AU32" i="6"/>
  <c r="AX32" i="6" s="1"/>
  <c r="AU24" i="6"/>
  <c r="AX24" i="6" s="1"/>
  <c r="BK20" i="16"/>
  <c r="BV20" i="16" s="1"/>
  <c r="BW22" i="16"/>
  <c r="BK22" i="16"/>
  <c r="BV22" i="16" s="1"/>
  <c r="BW21" i="16"/>
  <c r="BW17" i="16"/>
  <c r="BE22" i="16"/>
  <c r="BH22" i="16" s="1"/>
  <c r="BE14" i="16"/>
  <c r="BH14" i="16" s="1"/>
  <c r="BE15" i="16"/>
  <c r="BH15" i="16" s="1"/>
  <c r="BE29" i="16"/>
  <c r="BH29" i="16" s="1"/>
  <c r="BK29" i="16"/>
  <c r="BV29" i="16" s="1"/>
  <c r="BK9" i="16"/>
  <c r="BV9" i="16" s="1"/>
  <c r="BK15" i="16"/>
  <c r="BV15" i="16" s="1"/>
  <c r="BK7" i="16"/>
  <c r="BV7" i="16" s="1"/>
  <c r="BK5" i="16"/>
  <c r="BV5" i="16" s="1"/>
  <c r="BE4" i="16"/>
  <c r="BH4" i="16" s="1"/>
  <c r="BE25" i="16"/>
  <c r="BH25" i="16" s="1"/>
  <c r="BE27" i="16"/>
  <c r="BH27" i="16" s="1"/>
  <c r="BE31" i="16"/>
  <c r="BH31" i="16" s="1"/>
  <c r="BE11" i="16"/>
  <c r="BH11" i="16" s="1"/>
  <c r="BE10" i="16"/>
  <c r="BH10" i="16" s="1"/>
  <c r="BE7" i="16"/>
  <c r="BH7" i="16" s="1"/>
  <c r="BE17" i="16"/>
  <c r="BH17" i="16" s="1"/>
  <c r="AA39" i="16"/>
  <c r="BE9" i="16"/>
  <c r="BH9" i="16" s="1"/>
  <c r="BE24" i="16"/>
  <c r="BH24" i="16" s="1"/>
  <c r="BE6" i="16"/>
  <c r="BH6" i="16" s="1"/>
  <c r="BE5" i="16"/>
  <c r="BH5" i="16" s="1"/>
  <c r="BE12" i="16"/>
  <c r="BH12" i="16" s="1"/>
  <c r="BE19" i="16"/>
  <c r="BH19" i="16" s="1"/>
  <c r="BE20" i="16"/>
  <c r="BH20" i="16" s="1"/>
  <c r="BO5" i="16" l="1"/>
  <c r="BE21" i="6"/>
  <c r="BE19" i="6"/>
  <c r="BG21" i="6" s="1" a="1"/>
  <c r="BG21" i="6" s="1"/>
  <c r="BE20" i="6"/>
  <c r="BK22" i="6" s="1" a="1"/>
  <c r="BK22" i="6" s="1"/>
  <c r="BE10" i="6"/>
  <c r="BE16" i="6"/>
  <c r="BE4" i="6"/>
  <c r="BO11" i="16"/>
  <c r="BO24" i="16"/>
  <c r="BO20" i="16"/>
  <c r="BE29" i="6"/>
  <c r="BE31" i="6"/>
  <c r="BE30" i="6"/>
  <c r="BO14" i="16"/>
  <c r="BO16" i="16"/>
  <c r="BO29" i="16"/>
  <c r="BO32" i="16"/>
  <c r="BO30" i="16"/>
  <c r="BO12" i="16"/>
  <c r="BO9" i="16"/>
  <c r="BE24" i="6"/>
  <c r="BE27" i="6"/>
  <c r="BE6" i="6"/>
  <c r="BO7" i="16"/>
  <c r="BK21" i="6" a="1"/>
  <c r="BK21" i="6" s="1"/>
  <c r="BH21" i="6" a="1"/>
  <c r="BH21" i="6" s="1"/>
  <c r="BH6" i="6" a="1"/>
  <c r="BH6" i="6" s="1"/>
  <c r="BO4" i="16"/>
  <c r="BO17" i="16"/>
  <c r="BO25" i="16"/>
  <c r="BO10" i="16"/>
  <c r="BO6" i="16"/>
  <c r="BO15" i="16"/>
  <c r="BE7" i="6"/>
  <c r="BO26" i="16"/>
  <c r="BE26" i="6"/>
  <c r="BE12" i="6"/>
  <c r="BE25" i="6"/>
  <c r="BO27" i="16"/>
  <c r="BE9" i="6"/>
  <c r="BE11" i="6"/>
  <c r="BO31" i="16"/>
  <c r="BE5" i="6"/>
  <c r="BO22" i="16"/>
  <c r="BO19" i="16"/>
  <c r="BO21" i="16"/>
  <c r="BG30" i="16"/>
  <c r="BG12" i="16"/>
  <c r="BG10" i="16"/>
  <c r="BG29" i="16"/>
  <c r="BG31" i="16"/>
  <c r="BG25" i="16"/>
  <c r="BG19" i="16"/>
  <c r="BG17" i="16"/>
  <c r="BG14" i="16"/>
  <c r="BG4" i="16"/>
  <c r="BG9" i="16"/>
  <c r="BG32" i="16"/>
  <c r="BG27" i="16"/>
  <c r="BG11" i="16"/>
  <c r="BG5" i="16"/>
  <c r="BG20" i="16"/>
  <c r="BG21" i="16"/>
  <c r="BG15" i="16"/>
  <c r="BG6" i="16"/>
  <c r="BG16" i="16"/>
  <c r="BG26" i="16"/>
  <c r="BG24" i="16"/>
  <c r="BG7" i="16"/>
  <c r="BG22" i="16"/>
  <c r="BE32" i="6"/>
  <c r="BE15" i="6"/>
  <c r="BE14" i="6"/>
  <c r="BE17" i="6"/>
  <c r="BK20" i="6" a="1"/>
  <c r="BK20" i="6" s="1"/>
  <c r="BH19" i="6" a="1"/>
  <c r="BH19" i="6" s="1"/>
  <c r="BI19" i="6" a="1"/>
  <c r="BI19" i="6" s="1"/>
  <c r="BH20" i="6" a="1"/>
  <c r="BH20" i="6" s="1"/>
  <c r="BG20" i="6" a="1"/>
  <c r="BG20" i="6" s="1"/>
  <c r="BG19" i="6" a="1"/>
  <c r="BG19" i="6" s="1"/>
  <c r="BF20" i="6" a="1"/>
  <c r="BF20" i="6" s="1"/>
  <c r="BF19" i="6" a="1"/>
  <c r="BF19" i="6" s="1"/>
  <c r="BG22" i="6" a="1"/>
  <c r="BG22" i="6" s="1"/>
  <c r="BF22" i="6" l="1" a="1"/>
  <c r="BF22" i="6" s="1"/>
  <c r="BJ21" i="6" a="1"/>
  <c r="BJ21" i="6" s="1"/>
  <c r="BJ20" i="6" a="1"/>
  <c r="BJ20" i="6" s="1"/>
  <c r="BN20" i="6" s="1"/>
  <c r="BO20" i="6" s="1"/>
  <c r="BJ6" i="6" a="1"/>
  <c r="BJ6" i="6" s="1"/>
  <c r="BS7" i="16" a="1"/>
  <c r="BS7" i="16" s="1"/>
  <c r="BF21" i="6" a="1"/>
  <c r="BF21" i="6" s="1"/>
  <c r="BJ19" i="6" a="1"/>
  <c r="BJ19" i="6" s="1"/>
  <c r="BH22" i="6" a="1"/>
  <c r="BH22" i="6" s="1"/>
  <c r="BI21" i="6" a="1"/>
  <c r="BI21" i="6" s="1"/>
  <c r="BK19" i="6" a="1"/>
  <c r="BK19" i="6" s="1"/>
  <c r="BI20" i="6" a="1"/>
  <c r="BI20" i="6" s="1"/>
  <c r="BG15" i="6" a="1"/>
  <c r="BG15" i="6" s="1"/>
  <c r="BI14" i="6" a="1"/>
  <c r="BI14" i="6" s="1"/>
  <c r="BK6" i="6" a="1"/>
  <c r="BK6" i="6" s="1"/>
  <c r="BJ15" i="6" a="1"/>
  <c r="BJ15" i="6" s="1"/>
  <c r="BF12" i="6" a="1"/>
  <c r="BF12" i="6" s="1"/>
  <c r="BJ22" i="6" a="1"/>
  <c r="BJ22" i="6" s="1"/>
  <c r="BN22" i="6" s="1"/>
  <c r="BO22" i="6" s="1"/>
  <c r="BI22" i="6" a="1"/>
  <c r="BI22" i="6" s="1"/>
  <c r="BJ12" i="6" a="1"/>
  <c r="BJ12" i="6" s="1"/>
  <c r="BK15" i="6" a="1"/>
  <c r="BK15" i="6" s="1"/>
  <c r="BQ26" i="16" a="1"/>
  <c r="BQ26" i="16" s="1"/>
  <c r="BR7" i="16" a="1"/>
  <c r="BR7" i="16" s="1"/>
  <c r="BQ7" i="16" a="1"/>
  <c r="BQ7" i="16" s="1"/>
  <c r="BT9" i="16" a="1"/>
  <c r="BT9" i="16" s="1"/>
  <c r="BU7" i="16" a="1"/>
  <c r="BU7" i="16" s="1"/>
  <c r="BP7" i="16" a="1"/>
  <c r="BP7" i="16" s="1"/>
  <c r="BT10" i="16" a="1"/>
  <c r="BT10" i="16" s="1"/>
  <c r="BQ9" i="16" a="1"/>
  <c r="BQ9" i="16" s="1"/>
  <c r="BR26" i="16" a="1"/>
  <c r="BR26" i="16" s="1"/>
  <c r="BR10" i="16" a="1"/>
  <c r="BR10" i="16" s="1"/>
  <c r="BF25" i="6" a="1"/>
  <c r="BF25" i="6" s="1"/>
  <c r="BH25" i="6" a="1"/>
  <c r="BH25" i="6" s="1"/>
  <c r="BK25" i="6" a="1"/>
  <c r="BK25" i="6" s="1"/>
  <c r="BK24" i="6" a="1"/>
  <c r="BK24" i="6" s="1"/>
  <c r="BH24" i="6" a="1"/>
  <c r="BH24" i="6" s="1"/>
  <c r="BJ25" i="6" a="1"/>
  <c r="BJ25" i="6" s="1"/>
  <c r="BG25" i="6" a="1"/>
  <c r="BG25" i="6" s="1"/>
  <c r="BJ24" i="6" a="1"/>
  <c r="BJ24" i="6" s="1"/>
  <c r="BG24" i="6" a="1"/>
  <c r="BG24" i="6" s="1"/>
  <c r="BI24" i="6" a="1"/>
  <c r="BI24" i="6" s="1"/>
  <c r="BI25" i="6" a="1"/>
  <c r="BI25" i="6" s="1"/>
  <c r="BF24" i="6" a="1"/>
  <c r="BF24" i="6" s="1"/>
  <c r="BP27" i="16" a="1"/>
  <c r="BP27" i="16" s="1"/>
  <c r="BQ27" i="16" a="1"/>
  <c r="BQ27" i="16" s="1"/>
  <c r="BS27" i="16" a="1"/>
  <c r="BS27" i="16" s="1"/>
  <c r="BT27" i="16" a="1"/>
  <c r="BT27" i="16" s="1"/>
  <c r="BR27" i="16" a="1"/>
  <c r="BR27" i="16" s="1"/>
  <c r="BU27" i="16" a="1"/>
  <c r="BU27" i="16" s="1"/>
  <c r="BI6" i="6" a="1"/>
  <c r="BI6" i="6" s="1"/>
  <c r="BI12" i="6" a="1"/>
  <c r="BI12" i="6" s="1"/>
  <c r="BH15" i="6" a="1"/>
  <c r="BH15" i="6" s="1"/>
  <c r="BU22" i="16" a="1"/>
  <c r="BU22" i="16" s="1"/>
  <c r="BP15" i="16" a="1"/>
  <c r="BP15" i="16" s="1"/>
  <c r="BQ15" i="16" a="1"/>
  <c r="BQ15" i="16" s="1"/>
  <c r="BU15" i="16" a="1"/>
  <c r="BU15" i="16" s="1"/>
  <c r="BS15" i="16" a="1"/>
  <c r="BS15" i="16" s="1"/>
  <c r="BP14" i="16" a="1"/>
  <c r="BP14" i="16" s="1"/>
  <c r="BQ14" i="16" a="1"/>
  <c r="BQ14" i="16" s="1"/>
  <c r="BS14" i="16" a="1"/>
  <c r="BS14" i="16" s="1"/>
  <c r="BU14" i="16" a="1"/>
  <c r="BU14" i="16" s="1"/>
  <c r="BT15" i="16" a="1"/>
  <c r="BT15" i="16" s="1"/>
  <c r="BR14" i="16" a="1"/>
  <c r="BR14" i="16" s="1"/>
  <c r="BR15" i="16" a="1"/>
  <c r="BR15" i="16" s="1"/>
  <c r="BT14" i="16" a="1"/>
  <c r="BT14" i="16" s="1"/>
  <c r="BS9" i="16" a="1"/>
  <c r="BS9" i="16" s="1"/>
  <c r="BR9" i="16" a="1"/>
  <c r="BR9" i="16" s="1"/>
  <c r="BG32" i="6" a="1"/>
  <c r="BG32" i="6" s="1"/>
  <c r="BK32" i="6" a="1"/>
  <c r="BK32" i="6" s="1"/>
  <c r="BI32" i="6" a="1"/>
  <c r="BI32" i="6" s="1"/>
  <c r="BJ32" i="6" a="1"/>
  <c r="BJ32" i="6" s="1"/>
  <c r="BF32" i="6" a="1"/>
  <c r="BF32" i="6" s="1"/>
  <c r="BH32" i="6" a="1"/>
  <c r="BH32" i="6" s="1"/>
  <c r="BJ16" i="6" a="1"/>
  <c r="BJ16" i="6" s="1"/>
  <c r="BI16" i="6" a="1"/>
  <c r="BI16" i="6" s="1"/>
  <c r="BK16" i="6" a="1"/>
  <c r="BK16" i="6" s="1"/>
  <c r="BF16" i="6" a="1"/>
  <c r="BF16" i="6" s="1"/>
  <c r="BH16" i="6" a="1"/>
  <c r="BH16" i="6" s="1"/>
  <c r="BG16" i="6" a="1"/>
  <c r="BG16" i="6" s="1"/>
  <c r="BU26" i="16" a="1"/>
  <c r="BU26" i="16" s="1"/>
  <c r="BP26" i="16" a="1"/>
  <c r="BP26" i="16" s="1"/>
  <c r="BK11" i="6" a="1"/>
  <c r="BK11" i="6" s="1"/>
  <c r="BJ11" i="6" a="1"/>
  <c r="BJ11" i="6" s="1"/>
  <c r="BG11" i="6" a="1"/>
  <c r="BG11" i="6" s="1"/>
  <c r="BF11" i="6" a="1"/>
  <c r="BF11" i="6" s="1"/>
  <c r="BH11" i="6" a="1"/>
  <c r="BH11" i="6" s="1"/>
  <c r="BI11" i="6" a="1"/>
  <c r="BI11" i="6" s="1"/>
  <c r="BP25" i="16" a="1"/>
  <c r="BP25" i="16" s="1"/>
  <c r="BQ25" i="16" a="1"/>
  <c r="BQ25" i="16" s="1"/>
  <c r="BU25" i="16" a="1"/>
  <c r="BU25" i="16" s="1"/>
  <c r="BS24" i="16" a="1"/>
  <c r="BS24" i="16" s="1"/>
  <c r="BR24" i="16" a="1"/>
  <c r="BR24" i="16" s="1"/>
  <c r="BQ24" i="16" a="1"/>
  <c r="BQ24" i="16" s="1"/>
  <c r="BU24" i="16" a="1"/>
  <c r="BU24" i="16" s="1"/>
  <c r="BS25" i="16" a="1"/>
  <c r="BS25" i="16" s="1"/>
  <c r="BR25" i="16" a="1"/>
  <c r="BR25" i="16" s="1"/>
  <c r="BT24" i="16" a="1"/>
  <c r="BT24" i="16" s="1"/>
  <c r="BP24" i="16" a="1"/>
  <c r="BP24" i="16" s="1"/>
  <c r="BT25" i="16" a="1"/>
  <c r="BT25" i="16" s="1"/>
  <c r="BK5" i="6" a="1"/>
  <c r="BK5" i="6" s="1"/>
  <c r="BI5" i="6" a="1"/>
  <c r="BI5" i="6" s="1"/>
  <c r="BK4" i="6" a="1"/>
  <c r="BK4" i="6" s="1"/>
  <c r="BF4" i="6" a="1"/>
  <c r="BF4" i="6" s="1"/>
  <c r="BG5" i="6" a="1"/>
  <c r="BG5" i="6" s="1"/>
  <c r="BH4" i="6" a="1"/>
  <c r="BH4" i="6" s="1"/>
  <c r="BF5" i="6" a="1"/>
  <c r="BF5" i="6" s="1"/>
  <c r="BJ5" i="6" a="1"/>
  <c r="BJ5" i="6" s="1"/>
  <c r="BJ4" i="6" a="1"/>
  <c r="BJ4" i="6" s="1"/>
  <c r="BG4" i="6" a="1"/>
  <c r="BG4" i="6" s="1"/>
  <c r="BI4" i="6" a="1"/>
  <c r="BI4" i="6" s="1"/>
  <c r="BH5" i="6" a="1"/>
  <c r="BH5" i="6" s="1"/>
  <c r="BH12" i="6" a="1"/>
  <c r="BH12" i="6" s="1"/>
  <c r="BK14" i="6" a="1"/>
  <c r="BK14" i="6" s="1"/>
  <c r="BS22" i="16" a="1"/>
  <c r="BS22" i="16" s="1"/>
  <c r="BP16" i="16" a="1"/>
  <c r="BP16" i="16" s="1"/>
  <c r="BU16" i="16" a="1"/>
  <c r="BU16" i="16" s="1"/>
  <c r="BQ16" i="16" a="1"/>
  <c r="BQ16" i="16" s="1"/>
  <c r="BT16" i="16" a="1"/>
  <c r="BT16" i="16" s="1"/>
  <c r="BS16" i="16" a="1"/>
  <c r="BS16" i="16" s="1"/>
  <c r="BR16" i="16" a="1"/>
  <c r="BR16" i="16" s="1"/>
  <c r="BQ10" i="16" a="1"/>
  <c r="BQ10" i="16" s="1"/>
  <c r="BS10" i="16" a="1"/>
  <c r="BS10" i="16" s="1"/>
  <c r="BF17" i="6" a="1"/>
  <c r="BF17" i="6" s="1"/>
  <c r="BH17" i="6" a="1"/>
  <c r="BH17" i="6" s="1"/>
  <c r="BI17" i="6" a="1"/>
  <c r="BI17" i="6" s="1"/>
  <c r="BJ17" i="6" a="1"/>
  <c r="BJ17" i="6" s="1"/>
  <c r="BK17" i="6" a="1"/>
  <c r="BK17" i="6" s="1"/>
  <c r="BG17" i="6" a="1"/>
  <c r="BG17" i="6" s="1"/>
  <c r="BS26" i="16" a="1"/>
  <c r="BS26" i="16" s="1"/>
  <c r="BF7" i="6" a="1"/>
  <c r="BF7" i="6" s="1"/>
  <c r="BK7" i="6" a="1"/>
  <c r="BK7" i="6" s="1"/>
  <c r="BI7" i="6" a="1"/>
  <c r="BI7" i="6" s="1"/>
  <c r="BJ7" i="6" a="1"/>
  <c r="BJ7" i="6" s="1"/>
  <c r="BH7" i="6" a="1"/>
  <c r="BH7" i="6" s="1"/>
  <c r="BG7" i="6" a="1"/>
  <c r="BG7" i="6" s="1"/>
  <c r="BT6" i="16" a="1"/>
  <c r="BT6" i="16" s="1"/>
  <c r="BR6" i="16" a="1"/>
  <c r="BR6" i="16" s="1"/>
  <c r="BP6" i="16" a="1"/>
  <c r="BP6" i="16" s="1"/>
  <c r="BQ6" i="16" a="1"/>
  <c r="BQ6" i="16" s="1"/>
  <c r="BS6" i="16" a="1"/>
  <c r="BS6" i="16" s="1"/>
  <c r="BU6" i="16" a="1"/>
  <c r="BU6" i="16" s="1"/>
  <c r="BG6" i="6" a="1"/>
  <c r="BG6" i="6" s="1"/>
  <c r="BK12" i="6" a="1"/>
  <c r="BK12" i="6" s="1"/>
  <c r="BH14" i="6" a="1"/>
  <c r="BH14" i="6" s="1"/>
  <c r="BI15" i="6" a="1"/>
  <c r="BI15" i="6" s="1"/>
  <c r="BT32" i="16" a="1"/>
  <c r="BT32" i="16" s="1"/>
  <c r="BS32" i="16" a="1"/>
  <c r="BS32" i="16" s="1"/>
  <c r="BP32" i="16" a="1"/>
  <c r="BP32" i="16" s="1"/>
  <c r="BU32" i="16" a="1"/>
  <c r="BU32" i="16" s="1"/>
  <c r="BR32" i="16" a="1"/>
  <c r="BR32" i="16" s="1"/>
  <c r="BQ32" i="16" a="1"/>
  <c r="BQ32" i="16" s="1"/>
  <c r="BQ22" i="16" a="1"/>
  <c r="BQ22" i="16" s="1"/>
  <c r="BP9" i="16" a="1"/>
  <c r="BP9" i="16" s="1"/>
  <c r="BU9" i="16" a="1"/>
  <c r="BU9" i="16" s="1"/>
  <c r="BQ17" i="16" a="1"/>
  <c r="BQ17" i="16" s="1"/>
  <c r="BU17" i="16" a="1"/>
  <c r="BU17" i="16" s="1"/>
  <c r="BS17" i="16" a="1"/>
  <c r="BS17" i="16" s="1"/>
  <c r="BR17" i="16" a="1"/>
  <c r="BR17" i="16" s="1"/>
  <c r="BT17" i="16" a="1"/>
  <c r="BT17" i="16" s="1"/>
  <c r="BP17" i="16" a="1"/>
  <c r="BP17" i="16" s="1"/>
  <c r="BP19" i="16" a="1"/>
  <c r="BP19" i="16" s="1"/>
  <c r="BS20" i="16" a="1"/>
  <c r="BS20" i="16" s="1"/>
  <c r="BR20" i="16" a="1"/>
  <c r="BR20" i="16" s="1"/>
  <c r="BQ19" i="16" a="1"/>
  <c r="BQ19" i="16" s="1"/>
  <c r="BQ20" i="16" a="1"/>
  <c r="BQ20" i="16" s="1"/>
  <c r="BU20" i="16" a="1"/>
  <c r="BU20" i="16" s="1"/>
  <c r="BT19" i="16" a="1"/>
  <c r="BT19" i="16" s="1"/>
  <c r="BS19" i="16" a="1"/>
  <c r="BS19" i="16" s="1"/>
  <c r="BP20" i="16" a="1"/>
  <c r="BP20" i="16" s="1"/>
  <c r="BR19" i="16" a="1"/>
  <c r="BR19" i="16" s="1"/>
  <c r="BU19" i="16" a="1"/>
  <c r="BU19" i="16" s="1"/>
  <c r="BT20" i="16" a="1"/>
  <c r="BT20" i="16" s="1"/>
  <c r="BT29" i="16" a="1"/>
  <c r="BT29" i="16" s="1"/>
  <c r="BP29" i="16" a="1"/>
  <c r="BP29" i="16" s="1"/>
  <c r="BU29" i="16" a="1"/>
  <c r="BU29" i="16" s="1"/>
  <c r="BU30" i="16" a="1"/>
  <c r="BU30" i="16" s="1"/>
  <c r="BQ30" i="16" a="1"/>
  <c r="BQ30" i="16" s="1"/>
  <c r="BS30" i="16" a="1"/>
  <c r="BS30" i="16" s="1"/>
  <c r="BR29" i="16" a="1"/>
  <c r="BR29" i="16" s="1"/>
  <c r="BQ29" i="16" a="1"/>
  <c r="BQ29" i="16" s="1"/>
  <c r="BS29" i="16" a="1"/>
  <c r="BS29" i="16" s="1"/>
  <c r="BR30" i="16" a="1"/>
  <c r="BR30" i="16" s="1"/>
  <c r="BT30" i="16" a="1"/>
  <c r="BT30" i="16" s="1"/>
  <c r="BP30" i="16" a="1"/>
  <c r="BP30" i="16" s="1"/>
  <c r="BF27" i="6" a="1"/>
  <c r="BF27" i="6" s="1"/>
  <c r="BG27" i="6" a="1"/>
  <c r="BG27" i="6" s="1"/>
  <c r="BH27" i="6" a="1"/>
  <c r="BH27" i="6" s="1"/>
  <c r="BI27" i="6" a="1"/>
  <c r="BI27" i="6" s="1"/>
  <c r="BJ27" i="6" a="1"/>
  <c r="BJ27" i="6" s="1"/>
  <c r="BK27" i="6" a="1"/>
  <c r="BK27" i="6" s="1"/>
  <c r="BP5" i="16" a="1"/>
  <c r="BP5" i="16" s="1"/>
  <c r="BQ5" i="16" a="1"/>
  <c r="BQ5" i="16" s="1"/>
  <c r="BU4" i="16" a="1"/>
  <c r="BU4" i="16" s="1"/>
  <c r="BU5" i="16" a="1"/>
  <c r="BU5" i="16" s="1"/>
  <c r="BT4" i="16" a="1"/>
  <c r="BT4" i="16" s="1"/>
  <c r="BS5" i="16" a="1"/>
  <c r="BS5" i="16" s="1"/>
  <c r="BR4" i="16" a="1"/>
  <c r="BR4" i="16" s="1"/>
  <c r="BP4" i="16" a="1"/>
  <c r="BP4" i="16" s="1"/>
  <c r="BS4" i="16" a="1"/>
  <c r="BS4" i="16" s="1"/>
  <c r="BT5" i="16" a="1"/>
  <c r="BT5" i="16" s="1"/>
  <c r="BQ4" i="16" a="1"/>
  <c r="BQ4" i="16" s="1"/>
  <c r="BR5" i="16" a="1"/>
  <c r="BR5" i="16" s="1"/>
  <c r="BF26" i="6" a="1"/>
  <c r="BF26" i="6" s="1"/>
  <c r="BK26" i="6" a="1"/>
  <c r="BK26" i="6" s="1"/>
  <c r="BH26" i="6" a="1"/>
  <c r="BH26" i="6" s="1"/>
  <c r="BI26" i="6" a="1"/>
  <c r="BI26" i="6" s="1"/>
  <c r="BJ26" i="6" a="1"/>
  <c r="BJ26" i="6" s="1"/>
  <c r="BG26" i="6" a="1"/>
  <c r="BG26" i="6" s="1"/>
  <c r="BG14" i="6" a="1"/>
  <c r="BG14" i="6" s="1"/>
  <c r="BF14" i="6" a="1"/>
  <c r="BF14" i="6" s="1"/>
  <c r="BR31" i="16" a="1"/>
  <c r="BR31" i="16" s="1"/>
  <c r="BT31" i="16" a="1"/>
  <c r="BT31" i="16" s="1"/>
  <c r="BU31" i="16" a="1"/>
  <c r="BU31" i="16" s="1"/>
  <c r="BS31" i="16" a="1"/>
  <c r="BS31" i="16" s="1"/>
  <c r="BQ31" i="16" a="1"/>
  <c r="BQ31" i="16" s="1"/>
  <c r="BP31" i="16" a="1"/>
  <c r="BP31" i="16" s="1"/>
  <c r="BT22" i="16" a="1"/>
  <c r="BT22" i="16" s="1"/>
  <c r="BU10" i="16" a="1"/>
  <c r="BU10" i="16" s="1"/>
  <c r="BF30" i="6" a="1"/>
  <c r="BF30" i="6" s="1"/>
  <c r="BJ29" i="6" a="1"/>
  <c r="BJ29" i="6" s="1"/>
  <c r="BF29" i="6" a="1"/>
  <c r="BF29" i="6" s="1"/>
  <c r="BI29" i="6" a="1"/>
  <c r="BI29" i="6" s="1"/>
  <c r="BI30" i="6" a="1"/>
  <c r="BI30" i="6" s="1"/>
  <c r="BK29" i="6" a="1"/>
  <c r="BK29" i="6" s="1"/>
  <c r="BH30" i="6" a="1"/>
  <c r="BH30" i="6" s="1"/>
  <c r="BG30" i="6" a="1"/>
  <c r="BG30" i="6" s="1"/>
  <c r="BJ30" i="6" a="1"/>
  <c r="BJ30" i="6" s="1"/>
  <c r="BK30" i="6" a="1"/>
  <c r="BK30" i="6" s="1"/>
  <c r="BG29" i="6" a="1"/>
  <c r="BG29" i="6" s="1"/>
  <c r="BH29" i="6" a="1"/>
  <c r="BH29" i="6" s="1"/>
  <c r="BN19" i="6"/>
  <c r="BO19" i="6" s="1"/>
  <c r="BP21" i="16" a="1"/>
  <c r="BP21" i="16" s="1"/>
  <c r="BR21" i="16" a="1"/>
  <c r="BR21" i="16" s="1"/>
  <c r="BT21" i="16" a="1"/>
  <c r="BT21" i="16" s="1"/>
  <c r="BS21" i="16" a="1"/>
  <c r="BS21" i="16" s="1"/>
  <c r="BQ21" i="16" a="1"/>
  <c r="BQ21" i="16" s="1"/>
  <c r="BU21" i="16" a="1"/>
  <c r="BU21" i="16" s="1"/>
  <c r="BT26" i="16" a="1"/>
  <c r="BT26" i="16" s="1"/>
  <c r="BT7" i="16" a="1"/>
  <c r="BT7" i="16" s="1"/>
  <c r="BF9" i="6" a="1"/>
  <c r="BF9" i="6" s="1"/>
  <c r="BJ10" i="6" a="1"/>
  <c r="BJ10" i="6" s="1"/>
  <c r="BI10" i="6" a="1"/>
  <c r="BI10" i="6" s="1"/>
  <c r="BH9" i="6" a="1"/>
  <c r="BH9" i="6" s="1"/>
  <c r="BI9" i="6" a="1"/>
  <c r="BI9" i="6" s="1"/>
  <c r="BG9" i="6" a="1"/>
  <c r="BG9" i="6" s="1"/>
  <c r="BH10" i="6" a="1"/>
  <c r="BH10" i="6" s="1"/>
  <c r="BJ9" i="6" a="1"/>
  <c r="BJ9" i="6" s="1"/>
  <c r="BF10" i="6" a="1"/>
  <c r="BF10" i="6" s="1"/>
  <c r="BG10" i="6" a="1"/>
  <c r="BG10" i="6" s="1"/>
  <c r="BK10" i="6" a="1"/>
  <c r="BK10" i="6" s="1"/>
  <c r="BK9" i="6" a="1"/>
  <c r="BK9" i="6" s="1"/>
  <c r="BQ12" i="16" a="1"/>
  <c r="BQ12" i="16" s="1"/>
  <c r="BS12" i="16" a="1"/>
  <c r="BS12" i="16" s="1"/>
  <c r="BU12" i="16" a="1"/>
  <c r="BU12" i="16" s="1"/>
  <c r="BR12" i="16" a="1"/>
  <c r="BR12" i="16" s="1"/>
  <c r="BP12" i="16" a="1"/>
  <c r="BP12" i="16" s="1"/>
  <c r="BT12" i="16" a="1"/>
  <c r="BT12" i="16" s="1"/>
  <c r="BF6" i="6" a="1"/>
  <c r="BF6" i="6" s="1"/>
  <c r="BG12" i="6" a="1"/>
  <c r="BG12" i="6" s="1"/>
  <c r="BP11" i="16" a="1"/>
  <c r="BP11" i="16" s="1"/>
  <c r="BT11" i="16" a="1"/>
  <c r="BT11" i="16" s="1"/>
  <c r="BQ11" i="16" a="1"/>
  <c r="BQ11" i="16" s="1"/>
  <c r="BS11" i="16" a="1"/>
  <c r="BS11" i="16" s="1"/>
  <c r="BU11" i="16" a="1"/>
  <c r="BU11" i="16" s="1"/>
  <c r="BR11" i="16" a="1"/>
  <c r="BR11" i="16" s="1"/>
  <c r="BJ14" i="6" a="1"/>
  <c r="BJ14" i="6" s="1"/>
  <c r="BF15" i="6" a="1"/>
  <c r="BF15" i="6" s="1"/>
  <c r="BR22" i="16" a="1"/>
  <c r="BR22" i="16" s="1"/>
  <c r="BP22" i="16" a="1"/>
  <c r="BP22" i="16" s="1"/>
  <c r="BP10" i="16" a="1"/>
  <c r="BP10" i="16" s="1"/>
  <c r="BF31" i="6" a="1"/>
  <c r="BF31" i="6" s="1"/>
  <c r="BG31" i="6" a="1"/>
  <c r="BG31" i="6" s="1"/>
  <c r="BI31" i="6" a="1"/>
  <c r="BI31" i="6" s="1"/>
  <c r="BK31" i="6" a="1"/>
  <c r="BK31" i="6" s="1"/>
  <c r="BH31" i="6" a="1"/>
  <c r="BH31" i="6" s="1"/>
  <c r="BJ31" i="6" a="1"/>
  <c r="BJ31" i="6" s="1"/>
  <c r="BN21" i="6" l="1"/>
  <c r="BO21" i="6" s="1"/>
  <c r="BB19" i="6" s="1"/>
  <c r="BD19" i="6" s="1"/>
  <c r="BN15" i="6"/>
  <c r="BO15" i="6" s="1"/>
  <c r="BX7" i="16"/>
  <c r="BY7" i="16" s="1"/>
  <c r="BX10" i="16"/>
  <c r="BY10" i="16" s="1"/>
  <c r="BX9" i="16"/>
  <c r="BY9" i="16" s="1"/>
  <c r="BX14" i="16"/>
  <c r="BY14" i="16" s="1"/>
  <c r="BN12" i="6"/>
  <c r="BO12" i="6" s="1"/>
  <c r="BX22" i="16"/>
  <c r="BY22" i="16" s="1"/>
  <c r="BN6" i="6"/>
  <c r="BO6" i="6" s="1"/>
  <c r="BN10" i="6"/>
  <c r="BO10" i="6" s="1"/>
  <c r="BX27" i="16"/>
  <c r="BY27" i="16" s="1"/>
  <c r="BN14" i="6"/>
  <c r="BO14" i="6" s="1"/>
  <c r="BN29" i="6"/>
  <c r="BO29" i="6" s="1"/>
  <c r="BX19" i="16"/>
  <c r="BY19" i="16" s="1"/>
  <c r="BN7" i="6"/>
  <c r="BO7" i="6" s="1"/>
  <c r="BN9" i="6"/>
  <c r="BO9" i="6" s="1"/>
  <c r="BX5" i="16"/>
  <c r="BY5" i="16" s="1"/>
  <c r="BX20" i="16"/>
  <c r="BY20" i="16" s="1"/>
  <c r="BX32" i="16"/>
  <c r="BY32" i="16" s="1"/>
  <c r="BN11" i="6"/>
  <c r="BO11" i="6" s="1"/>
  <c r="BX21" i="16"/>
  <c r="BY21" i="16" s="1"/>
  <c r="BN31" i="6"/>
  <c r="BO31" i="6" s="1"/>
  <c r="BX11" i="16"/>
  <c r="BY11" i="16" s="1"/>
  <c r="BN27" i="6"/>
  <c r="BO27" i="6" s="1"/>
  <c r="BX29" i="16"/>
  <c r="BY29" i="16" s="1"/>
  <c r="BN5" i="6"/>
  <c r="BO5" i="6" s="1"/>
  <c r="BX16" i="16"/>
  <c r="BY16" i="16" s="1"/>
  <c r="BX25" i="16"/>
  <c r="BY25" i="16" s="1"/>
  <c r="BX31" i="16"/>
  <c r="BY31" i="16" s="1"/>
  <c r="BX30" i="16"/>
  <c r="BY30" i="16" s="1"/>
  <c r="BB20" i="6"/>
  <c r="BD20" i="6" s="1"/>
  <c r="BX15" i="16"/>
  <c r="BY15" i="16" s="1"/>
  <c r="BX4" i="16"/>
  <c r="BY4" i="16" s="1"/>
  <c r="BX17" i="16"/>
  <c r="BY17" i="16" s="1"/>
  <c r="BN4" i="6"/>
  <c r="BO4" i="6" s="1"/>
  <c r="BX24" i="16"/>
  <c r="BY24" i="16" s="1"/>
  <c r="BN16" i="6"/>
  <c r="BO16" i="6" s="1"/>
  <c r="BN32" i="6"/>
  <c r="BO32" i="6" s="1"/>
  <c r="BN24" i="6"/>
  <c r="BO24" i="6" s="1"/>
  <c r="BN25" i="6"/>
  <c r="BO25" i="6" s="1"/>
  <c r="BX12" i="16"/>
  <c r="BY12" i="16" s="1"/>
  <c r="BN30" i="6"/>
  <c r="BO30" i="6" s="1"/>
  <c r="BN26" i="6"/>
  <c r="BO26" i="6" s="1"/>
  <c r="BX6" i="16"/>
  <c r="BY6" i="16" s="1"/>
  <c r="BN17" i="6"/>
  <c r="BO17" i="6" s="1"/>
  <c r="BX26" i="16"/>
  <c r="BY26" i="16" s="1"/>
  <c r="BB22" i="6"/>
  <c r="BD22" i="6" s="1"/>
  <c r="BB21" i="6"/>
  <c r="BD21" i="6" s="1"/>
  <c r="BB12" i="6" l="1"/>
  <c r="BD12" i="6" s="1"/>
  <c r="BL4" i="16"/>
  <c r="BN4" i="16" s="1"/>
  <c r="BL29" i="16"/>
  <c r="BN29" i="16" s="1"/>
  <c r="BB10" i="6"/>
  <c r="BD10" i="6" s="1"/>
  <c r="BB16" i="6"/>
  <c r="BD16" i="6" s="1"/>
  <c r="BB30" i="6"/>
  <c r="BD30" i="6" s="1"/>
  <c r="BL27" i="16"/>
  <c r="BN27" i="16" s="1"/>
  <c r="BB26" i="6"/>
  <c r="BD26" i="6" s="1"/>
  <c r="BL12" i="16"/>
  <c r="BN12" i="16" s="1"/>
  <c r="BB4" i="6"/>
  <c r="BD4" i="6" s="1"/>
  <c r="BL20" i="16"/>
  <c r="BN20" i="16" s="1"/>
  <c r="BL26" i="16"/>
  <c r="BN26" i="16" s="1"/>
  <c r="BL17" i="16"/>
  <c r="BN17" i="16" s="1"/>
  <c r="BL14" i="16"/>
  <c r="BN14" i="16" s="1"/>
  <c r="BB11" i="6"/>
  <c r="BD11" i="6" s="1"/>
  <c r="BL10" i="16"/>
  <c r="BN10" i="16" s="1"/>
  <c r="BL24" i="16"/>
  <c r="BN24" i="16" s="1"/>
  <c r="BL30" i="16"/>
  <c r="BN30" i="16" s="1"/>
  <c r="BB27" i="6"/>
  <c r="BD27" i="6" s="1"/>
  <c r="BL7" i="16"/>
  <c r="BN7" i="16" s="1"/>
  <c r="BB6" i="6"/>
  <c r="BD6" i="6" s="1"/>
  <c r="AL6" i="6"/>
  <c r="BL31" i="16"/>
  <c r="BN31" i="16" s="1"/>
  <c r="BL11" i="16"/>
  <c r="BN11" i="16" s="1"/>
  <c r="BL32" i="16"/>
  <c r="BN32" i="16" s="1"/>
  <c r="BL19" i="16"/>
  <c r="BN19" i="16" s="1"/>
  <c r="BL22" i="16"/>
  <c r="BN22" i="16" s="1"/>
  <c r="BB31" i="6"/>
  <c r="BD31" i="6" s="1"/>
  <c r="BB29" i="6"/>
  <c r="BD29" i="6" s="1"/>
  <c r="BL16" i="16"/>
  <c r="BN16" i="16" s="1"/>
  <c r="BL9" i="16"/>
  <c r="BN9" i="16" s="1"/>
  <c r="BL5" i="16"/>
  <c r="BN5" i="16" s="1"/>
  <c r="BB15" i="6"/>
  <c r="BD15" i="6" s="1"/>
  <c r="BB25" i="6"/>
  <c r="BD25" i="6" s="1"/>
  <c r="BL25" i="16"/>
  <c r="BN25" i="16" s="1"/>
  <c r="BB17" i="6"/>
  <c r="BD17" i="6" s="1"/>
  <c r="BB24" i="6"/>
  <c r="BD24" i="6" s="1"/>
  <c r="BL6" i="16"/>
  <c r="BN6" i="16" s="1"/>
  <c r="BB32" i="6"/>
  <c r="BD32" i="6" s="1"/>
  <c r="BL15" i="16"/>
  <c r="BN15" i="16" s="1"/>
  <c r="BB5" i="6"/>
  <c r="BD5" i="6" s="1"/>
  <c r="BL21" i="16"/>
  <c r="BN21" i="16" s="1"/>
  <c r="BB9" i="6"/>
  <c r="BD9" i="6" s="1"/>
  <c r="BB14" i="6"/>
  <c r="BD14" i="6" s="1"/>
  <c r="BB7" i="6"/>
  <c r="BD7" i="6" s="1"/>
  <c r="AV6" i="16" l="1"/>
  <c r="AY6" i="16" s="1"/>
  <c r="H40" i="16"/>
  <c r="AV30" i="16"/>
  <c r="AY30" i="16" s="1"/>
  <c r="AV31" i="16"/>
  <c r="AW31" i="16" s="1"/>
  <c r="AL39" i="6"/>
  <c r="AM39" i="6" s="1"/>
  <c r="AV18" i="16"/>
  <c r="AW18" i="16" s="1"/>
  <c r="AL31" i="6"/>
  <c r="AO31" i="6" s="1"/>
  <c r="H47" i="16"/>
  <c r="AV32" i="16"/>
  <c r="AW32" i="16" s="1"/>
  <c r="AV8" i="16"/>
  <c r="CB4" i="16" s="1"/>
  <c r="AL20" i="6"/>
  <c r="H40" i="6"/>
  <c r="AL26" i="6"/>
  <c r="AL21" i="6"/>
  <c r="AV33" i="16"/>
  <c r="AV37" i="16"/>
  <c r="AL36" i="6"/>
  <c r="AL32" i="6"/>
  <c r="AL19" i="6"/>
  <c r="H47" i="6"/>
  <c r="AV7" i="16"/>
  <c r="AM6" i="6"/>
  <c r="AO6" i="6"/>
  <c r="AN6" i="6"/>
  <c r="AL25" i="6"/>
  <c r="AL30" i="6"/>
  <c r="AL27" i="6"/>
  <c r="AL12" i="6"/>
  <c r="AV13" i="16"/>
  <c r="AL13" i="6"/>
  <c r="AV20" i="16"/>
  <c r="AV19" i="16"/>
  <c r="H41" i="6"/>
  <c r="AV25" i="16"/>
  <c r="AV24" i="16"/>
  <c r="H45" i="16"/>
  <c r="S45" i="16" s="1"/>
  <c r="AL24" i="6"/>
  <c r="AV21" i="16"/>
  <c r="AV26" i="16"/>
  <c r="AV15" i="16"/>
  <c r="AV36" i="16"/>
  <c r="AV39" i="16"/>
  <c r="AL18" i="6"/>
  <c r="AL15" i="6"/>
  <c r="AL8" i="6"/>
  <c r="AL7" i="6"/>
  <c r="AV38" i="16"/>
  <c r="AL14" i="6"/>
  <c r="AV12" i="16"/>
  <c r="AV9" i="16"/>
  <c r="AV14" i="16"/>
  <c r="H41" i="16"/>
  <c r="S41" i="16" s="1"/>
  <c r="AL9" i="6"/>
  <c r="AL38" i="6"/>
  <c r="AL37" i="6"/>
  <c r="AL33" i="6"/>
  <c r="AV27" i="16"/>
  <c r="H45" i="6"/>
  <c r="AW6" i="16" l="1"/>
  <c r="AX6" i="16"/>
  <c r="AY32" i="16"/>
  <c r="AX30" i="16"/>
  <c r="AW30" i="16"/>
  <c r="AX8" i="16"/>
  <c r="AW8" i="16"/>
  <c r="AY18" i="16"/>
  <c r="AX18" i="16"/>
  <c r="AY8" i="16"/>
  <c r="AX31" i="16"/>
  <c r="Y47" i="16"/>
  <c r="S47" i="16"/>
  <c r="CB8" i="16"/>
  <c r="CD8" i="16" s="1"/>
  <c r="AX32" i="16"/>
  <c r="AY31" i="16"/>
  <c r="AN39" i="6"/>
  <c r="AO39" i="6"/>
  <c r="X47" i="16"/>
  <c r="AN31" i="6"/>
  <c r="AM31" i="6"/>
  <c r="AM7" i="6"/>
  <c r="AO7" i="6"/>
  <c r="AN7" i="6"/>
  <c r="AX36" i="16"/>
  <c r="AW36" i="16"/>
  <c r="AY36" i="16"/>
  <c r="Y45" i="16"/>
  <c r="X45" i="16"/>
  <c r="AM13" i="6"/>
  <c r="AN13" i="6"/>
  <c r="AO13" i="6"/>
  <c r="AX7" i="16"/>
  <c r="AW7" i="16"/>
  <c r="AY7" i="16"/>
  <c r="AY37" i="16"/>
  <c r="AW37" i="16"/>
  <c r="AX37" i="16"/>
  <c r="AN20" i="6"/>
  <c r="AM20" i="6"/>
  <c r="BR6" i="6"/>
  <c r="AO20" i="6"/>
  <c r="AO9" i="6"/>
  <c r="AM9" i="6"/>
  <c r="AN9" i="6"/>
  <c r="AM8" i="6"/>
  <c r="AO8" i="6"/>
  <c r="BR4" i="6"/>
  <c r="AN8" i="6"/>
  <c r="AX15" i="16"/>
  <c r="AW15" i="16"/>
  <c r="AY15" i="16"/>
  <c r="AX24" i="16"/>
  <c r="AW24" i="16"/>
  <c r="AY24" i="16"/>
  <c r="AW13" i="16"/>
  <c r="AY13" i="16"/>
  <c r="AX13" i="16"/>
  <c r="AN30" i="6"/>
  <c r="AO30" i="6"/>
  <c r="AM30" i="6"/>
  <c r="N47" i="6"/>
  <c r="C72" i="6" s="1"/>
  <c r="M47" i="6"/>
  <c r="C18" i="11"/>
  <c r="AE18" i="11" s="1" a="1"/>
  <c r="AE18" i="11" s="1"/>
  <c r="AW33" i="16"/>
  <c r="AX33" i="16"/>
  <c r="AY33" i="16"/>
  <c r="AX27" i="16"/>
  <c r="AW27" i="16"/>
  <c r="AY27" i="16"/>
  <c r="AO15" i="6"/>
  <c r="AM15" i="6"/>
  <c r="AN15" i="6"/>
  <c r="AX26" i="16"/>
  <c r="AW26" i="16"/>
  <c r="CB7" i="16"/>
  <c r="AY26" i="16"/>
  <c r="AX25" i="16"/>
  <c r="AY25" i="16"/>
  <c r="AW25" i="16"/>
  <c r="AN12" i="6"/>
  <c r="AO12" i="6"/>
  <c r="AM12" i="6"/>
  <c r="AM25" i="6"/>
  <c r="AO25" i="6"/>
  <c r="AN25" i="6"/>
  <c r="AO19" i="6"/>
  <c r="AM19" i="6"/>
  <c r="AN19" i="6"/>
  <c r="X41" i="16"/>
  <c r="Y41" i="16"/>
  <c r="AN18" i="6"/>
  <c r="AM18" i="6"/>
  <c r="AO18" i="6"/>
  <c r="AX21" i="16"/>
  <c r="AW21" i="16"/>
  <c r="AY21" i="16"/>
  <c r="B15" i="11"/>
  <c r="AD15" i="11" s="1" a="1"/>
  <c r="AD15" i="11" s="1"/>
  <c r="N41" i="6"/>
  <c r="C66" i="6" s="1"/>
  <c r="M41" i="6"/>
  <c r="AN27" i="6"/>
  <c r="AO27" i="6"/>
  <c r="AM27" i="6"/>
  <c r="BR8" i="6"/>
  <c r="AN32" i="6"/>
  <c r="AM32" i="6"/>
  <c r="AO32" i="6"/>
  <c r="AN21" i="6"/>
  <c r="AM21" i="6"/>
  <c r="AO21" i="6"/>
  <c r="AM38" i="6"/>
  <c r="AO38" i="6"/>
  <c r="BR9" i="6"/>
  <c r="AN38" i="6"/>
  <c r="AY12" i="16"/>
  <c r="AW12" i="16"/>
  <c r="AX12" i="16"/>
  <c r="AM33" i="6"/>
  <c r="AO33" i="6"/>
  <c r="AN33" i="6"/>
  <c r="AW14" i="16"/>
  <c r="AX14" i="16"/>
  <c r="AY14" i="16"/>
  <c r="CB5" i="16"/>
  <c r="AN14" i="6"/>
  <c r="AM14" i="6"/>
  <c r="BR5" i="6"/>
  <c r="AO14" i="6"/>
  <c r="AM24" i="6"/>
  <c r="AO24" i="6"/>
  <c r="AN24" i="6"/>
  <c r="AW19" i="16"/>
  <c r="AY19" i="16"/>
  <c r="AX19" i="16"/>
  <c r="AN36" i="6"/>
  <c r="AM36" i="6"/>
  <c r="AO36" i="6"/>
  <c r="AM26" i="6"/>
  <c r="BR7" i="6"/>
  <c r="AN26" i="6"/>
  <c r="AO26" i="6"/>
  <c r="N45" i="6"/>
  <c r="C70" i="6" s="1"/>
  <c r="M45" i="6"/>
  <c r="B17" i="11"/>
  <c r="AD17" i="11" s="1" a="1"/>
  <c r="AD17" i="11" s="1"/>
  <c r="AM37" i="6"/>
  <c r="AO37" i="6"/>
  <c r="AN37" i="6"/>
  <c r="AW9" i="16"/>
  <c r="AY9" i="16"/>
  <c r="AX9" i="16"/>
  <c r="AX38" i="16"/>
  <c r="CB9" i="16"/>
  <c r="AY38" i="16"/>
  <c r="AW38" i="16"/>
  <c r="AY39" i="16"/>
  <c r="AX39" i="16"/>
  <c r="AW39" i="16"/>
  <c r="S40" i="16"/>
  <c r="Y40" i="16"/>
  <c r="X40" i="16"/>
  <c r="AW20" i="16"/>
  <c r="CB6" i="16"/>
  <c r="AX20" i="16"/>
  <c r="AY20" i="16"/>
  <c r="CC4" i="16"/>
  <c r="CE4" i="16"/>
  <c r="CD4" i="16"/>
  <c r="CF4" i="16"/>
  <c r="C15" i="11"/>
  <c r="AE15" i="11" s="1" a="1"/>
  <c r="AE15" i="11" s="1"/>
  <c r="N40" i="6"/>
  <c r="C65" i="6" s="1"/>
  <c r="M40" i="6"/>
  <c r="CC8" i="16" l="1"/>
  <c r="CF8" i="16"/>
  <c r="CE8" i="16"/>
  <c r="W47" i="16"/>
  <c r="CG4" i="16"/>
  <c r="BU7" i="6"/>
  <c r="BV7" i="6"/>
  <c r="BS7" i="6"/>
  <c r="BT7" i="6"/>
  <c r="C62" i="6"/>
  <c r="L45" i="6"/>
  <c r="L41" i="6"/>
  <c r="C58" i="6"/>
  <c r="L40" i="6"/>
  <c r="C57" i="6"/>
  <c r="BU8" i="6"/>
  <c r="BS8" i="6"/>
  <c r="BV8" i="6"/>
  <c r="BT8" i="6"/>
  <c r="BS4" i="6"/>
  <c r="BU4" i="6"/>
  <c r="BV4" i="6"/>
  <c r="BT4" i="6"/>
  <c r="W40" i="16"/>
  <c r="CC7" i="16"/>
  <c r="CE7" i="16"/>
  <c r="CD7" i="16"/>
  <c r="CF7" i="16"/>
  <c r="CF5" i="16"/>
  <c r="CD5" i="16"/>
  <c r="CE5" i="16"/>
  <c r="CC5" i="16"/>
  <c r="BT9" i="6"/>
  <c r="BS9" i="6"/>
  <c r="BV9" i="6"/>
  <c r="BU9" i="6"/>
  <c r="BU6" i="6"/>
  <c r="BV6" i="6"/>
  <c r="BS6" i="6"/>
  <c r="BT6" i="6"/>
  <c r="CD9" i="16"/>
  <c r="CC9" i="16"/>
  <c r="CF9" i="16"/>
  <c r="CE9" i="16"/>
  <c r="W41" i="16"/>
  <c r="C64" i="6"/>
  <c r="L47" i="6"/>
  <c r="W45" i="16"/>
  <c r="CF6" i="16"/>
  <c r="CE6" i="16"/>
  <c r="CD6" i="16"/>
  <c r="CC6" i="16"/>
  <c r="BS5" i="6"/>
  <c r="BT5" i="6"/>
  <c r="BU5" i="6"/>
  <c r="BV5" i="6"/>
  <c r="P41" i="21" l="1"/>
  <c r="P41" i="22"/>
  <c r="P45" i="21"/>
  <c r="P45" i="22"/>
  <c r="P47" i="21"/>
  <c r="P47" i="22"/>
  <c r="P40" i="21"/>
  <c r="P40" i="22"/>
  <c r="P41" i="19"/>
  <c r="P41" i="20"/>
  <c r="P45" i="19"/>
  <c r="P45" i="20"/>
  <c r="P47" i="19"/>
  <c r="P47" i="20"/>
  <c r="P40" i="19"/>
  <c r="P40" i="20"/>
  <c r="CG8" i="16"/>
  <c r="Z47" i="16"/>
  <c r="AA47" i="16" s="1"/>
  <c r="P45" i="16"/>
  <c r="P47" i="16"/>
  <c r="P41" i="16"/>
  <c r="P40" i="16"/>
  <c r="CG6" i="16"/>
  <c r="BW5" i="6"/>
  <c r="CG5" i="16"/>
  <c r="BW7" i="6"/>
  <c r="BW8" i="6"/>
  <c r="BW6" i="6"/>
  <c r="O47" i="6"/>
  <c r="P47" i="6" s="1"/>
  <c r="CG7" i="16"/>
  <c r="CG9" i="16"/>
  <c r="BW4" i="6"/>
  <c r="O40" i="6"/>
  <c r="P40" i="6" s="1"/>
  <c r="Z41" i="16"/>
  <c r="AA41" i="16" s="1"/>
  <c r="BW9" i="6"/>
  <c r="Z40" i="16"/>
  <c r="AA40" i="16" s="1"/>
  <c r="O41" i="6"/>
  <c r="P41" i="6" s="1"/>
  <c r="Z45" i="16"/>
  <c r="AA45" i="16" s="1"/>
  <c r="O45" i="6"/>
  <c r="P45" i="6" s="1"/>
  <c r="CH7" i="16" l="1"/>
  <c r="BX8" i="6"/>
  <c r="BX5" i="6"/>
  <c r="BX7" i="6"/>
  <c r="CH5" i="16"/>
  <c r="CH8" i="16"/>
  <c r="BX9" i="6"/>
  <c r="CH6" i="16"/>
  <c r="BX4" i="6"/>
  <c r="BX6" i="6"/>
  <c r="CH9" i="16"/>
  <c r="CH4" i="16"/>
  <c r="AV45" i="16" l="1"/>
  <c r="AV43" i="16"/>
  <c r="AV46" i="16"/>
  <c r="AV47" i="16"/>
  <c r="AV44" i="16"/>
  <c r="AV48" i="16"/>
  <c r="AL47" i="6"/>
  <c r="AL46" i="6"/>
  <c r="AL48" i="6"/>
  <c r="AL44" i="6"/>
  <c r="AL45" i="6"/>
  <c r="AL43" i="6"/>
  <c r="AY48" i="16" l="1"/>
  <c r="AX48" i="16"/>
  <c r="AW48" i="16"/>
  <c r="AM46" i="6"/>
  <c r="AO46" i="6"/>
  <c r="AN46" i="6"/>
  <c r="AO45" i="6"/>
  <c r="AN45" i="6"/>
  <c r="AM45" i="6"/>
  <c r="AY44" i="16"/>
  <c r="AX44" i="16"/>
  <c r="AW44" i="16"/>
  <c r="AM43" i="6"/>
  <c r="AN43" i="6"/>
  <c r="AO43" i="6"/>
  <c r="AP20" i="6"/>
  <c r="AP8" i="6"/>
  <c r="AP32" i="6"/>
  <c r="AP26" i="6"/>
  <c r="AP14" i="6"/>
  <c r="AP38" i="6"/>
  <c r="AO44" i="6"/>
  <c r="AN44" i="6"/>
  <c r="AM44" i="6"/>
  <c r="AX47" i="16"/>
  <c r="AW47" i="16"/>
  <c r="AY47" i="16"/>
  <c r="AN48" i="6"/>
  <c r="AM48" i="6"/>
  <c r="AO48" i="6"/>
  <c r="AW46" i="16"/>
  <c r="AX46" i="16"/>
  <c r="AY46" i="16"/>
  <c r="AW43" i="16"/>
  <c r="AX43" i="16"/>
  <c r="AY43" i="16"/>
  <c r="AZ32" i="16"/>
  <c r="AZ8" i="16"/>
  <c r="AZ26" i="16"/>
  <c r="AZ14" i="16"/>
  <c r="AZ20" i="16"/>
  <c r="AZ38" i="16"/>
  <c r="AO47" i="6"/>
  <c r="AN47" i="6"/>
  <c r="AM47" i="6"/>
  <c r="AY45" i="16"/>
  <c r="AX45" i="16"/>
  <c r="AW45" i="16"/>
  <c r="AP42" i="6" l="1"/>
  <c r="H46" i="6" s="1"/>
  <c r="AZ42" i="16"/>
  <c r="H42" i="16" s="1"/>
  <c r="H42" i="6" l="1"/>
  <c r="H44" i="6"/>
  <c r="C17" i="11" s="1"/>
  <c r="AE17" i="11" s="1" a="1"/>
  <c r="AE17" i="11" s="1"/>
  <c r="H43" i="6"/>
  <c r="M43" i="6" s="1"/>
  <c r="H44" i="16"/>
  <c r="S44" i="16" s="1"/>
  <c r="S42" i="16"/>
  <c r="H43" i="16"/>
  <c r="S43" i="16" s="1"/>
  <c r="H46" i="16"/>
  <c r="S46" i="16" s="1"/>
  <c r="M46" i="6"/>
  <c r="B18" i="11"/>
  <c r="AD18" i="11" s="1" a="1"/>
  <c r="AD18" i="11" s="1"/>
  <c r="N46" i="6"/>
  <c r="C71" i="6" s="1"/>
  <c r="M42" i="6" l="1"/>
  <c r="N44" i="6"/>
  <c r="C69" i="6" s="1"/>
  <c r="M44" i="6"/>
  <c r="C61" i="6" s="1"/>
  <c r="C16" i="11"/>
  <c r="AE16" i="11" s="1" a="1"/>
  <c r="AE16" i="11" s="1"/>
  <c r="N42" i="6"/>
  <c r="C67" i="6" s="1"/>
  <c r="B16" i="11"/>
  <c r="AD16" i="11" s="1" a="1"/>
  <c r="AD16" i="11" s="1"/>
  <c r="T40" i="16"/>
  <c r="U40" i="16" s="1"/>
  <c r="M40" i="16" s="1"/>
  <c r="N43" i="6"/>
  <c r="C68" i="6" s="1"/>
  <c r="T47" i="16"/>
  <c r="U47" i="16" s="1"/>
  <c r="M47" i="16" s="1"/>
  <c r="T45" i="16"/>
  <c r="U45" i="16" s="1"/>
  <c r="M45" i="16" s="1"/>
  <c r="T41" i="16"/>
  <c r="U41" i="16" s="1"/>
  <c r="M41" i="16" s="1"/>
  <c r="L46" i="6"/>
  <c r="C63" i="6"/>
  <c r="Y42" i="16"/>
  <c r="X42" i="16"/>
  <c r="Y46" i="16"/>
  <c r="X46" i="16"/>
  <c r="Y44" i="16"/>
  <c r="X44" i="16"/>
  <c r="X43" i="16"/>
  <c r="Y43" i="16"/>
  <c r="C59" i="6"/>
  <c r="L42" i="6"/>
  <c r="C60" i="6"/>
  <c r="L43" i="6"/>
  <c r="P42" i="21" l="1"/>
  <c r="P42" i="22"/>
  <c r="P46" i="21"/>
  <c r="P46" i="22"/>
  <c r="P43" i="21"/>
  <c r="P43" i="22"/>
  <c r="P42" i="19"/>
  <c r="P42" i="20"/>
  <c r="P46" i="19"/>
  <c r="P46" i="20"/>
  <c r="P43" i="19"/>
  <c r="P43" i="20"/>
  <c r="L44" i="6"/>
  <c r="O44" i="6" s="1"/>
  <c r="H49" i="6" s="1"/>
  <c r="V40" i="16"/>
  <c r="O40" i="16" s="1"/>
  <c r="O42" i="6"/>
  <c r="H48" i="6" s="1"/>
  <c r="W42" i="16"/>
  <c r="O46" i="6"/>
  <c r="H50" i="6" s="1"/>
  <c r="W46" i="16"/>
  <c r="F57" i="6"/>
  <c r="O43" i="6"/>
  <c r="H51" i="6" s="1"/>
  <c r="W43" i="16"/>
  <c r="W44" i="16"/>
  <c r="R43" i="22" l="1"/>
  <c r="L43" i="22" s="1"/>
  <c r="R47" i="22"/>
  <c r="L47" i="22" s="1"/>
  <c r="R46" i="22"/>
  <c r="L46" i="22" s="1"/>
  <c r="R41" i="22"/>
  <c r="L41" i="22" s="1"/>
  <c r="R45" i="22"/>
  <c r="L45" i="22" s="1"/>
  <c r="R42" i="22"/>
  <c r="L42" i="22" s="1"/>
  <c r="R44" i="22"/>
  <c r="L44" i="22" s="1"/>
  <c r="R40" i="22"/>
  <c r="L40" i="22" s="1"/>
  <c r="P44" i="21"/>
  <c r="P44" i="22"/>
  <c r="R43" i="21"/>
  <c r="L43" i="21" s="1"/>
  <c r="R44" i="21"/>
  <c r="L44" i="21" s="1"/>
  <c r="R47" i="21"/>
  <c r="L47" i="21" s="1"/>
  <c r="R45" i="21"/>
  <c r="L45" i="21" s="1"/>
  <c r="R41" i="21"/>
  <c r="L41" i="21" s="1"/>
  <c r="R42" i="21"/>
  <c r="L42" i="21" s="1"/>
  <c r="R40" i="21"/>
  <c r="L40" i="21" s="1"/>
  <c r="R46" i="21"/>
  <c r="L46" i="21" s="1"/>
  <c r="R43" i="20"/>
  <c r="L43" i="20" s="1"/>
  <c r="R41" i="20"/>
  <c r="L41" i="20" s="1"/>
  <c r="R44" i="20"/>
  <c r="L44" i="20" s="1"/>
  <c r="R40" i="20"/>
  <c r="L40" i="20" s="1"/>
  <c r="R42" i="20"/>
  <c r="L42" i="20" s="1"/>
  <c r="R47" i="20"/>
  <c r="L47" i="20" s="1"/>
  <c r="R46" i="20"/>
  <c r="L46" i="20" s="1"/>
  <c r="R45" i="20"/>
  <c r="L45" i="20" s="1"/>
  <c r="P44" i="19"/>
  <c r="P44" i="20"/>
  <c r="R41" i="19"/>
  <c r="L41" i="19" s="1"/>
  <c r="R46" i="19"/>
  <c r="L46" i="19" s="1"/>
  <c r="R47" i="19"/>
  <c r="L47" i="19" s="1"/>
  <c r="R45" i="19"/>
  <c r="L45" i="19" s="1"/>
  <c r="R43" i="19"/>
  <c r="L43" i="19" s="1"/>
  <c r="R42" i="19"/>
  <c r="L42" i="19" s="1"/>
  <c r="R44" i="19"/>
  <c r="L44" i="19" s="1"/>
  <c r="R40" i="19"/>
  <c r="L40" i="19" s="1"/>
  <c r="R40" i="16"/>
  <c r="L40" i="16" s="1"/>
  <c r="R47" i="16"/>
  <c r="L47" i="16" s="1"/>
  <c r="R41" i="16"/>
  <c r="L41" i="16" s="1"/>
  <c r="R45" i="16"/>
  <c r="L45" i="16" s="1"/>
  <c r="R43" i="16"/>
  <c r="L43" i="16" s="1"/>
  <c r="R42" i="16"/>
  <c r="L42" i="16" s="1"/>
  <c r="R46" i="16"/>
  <c r="L46" i="16" s="1"/>
  <c r="R44" i="16"/>
  <c r="L44" i="16" s="1"/>
  <c r="P46" i="16"/>
  <c r="P42" i="16"/>
  <c r="P44" i="16"/>
  <c r="T46" i="16"/>
  <c r="U46" i="16" s="1"/>
  <c r="M46" i="16" s="1"/>
  <c r="T44" i="16"/>
  <c r="U44" i="16" s="1"/>
  <c r="M44" i="16" s="1"/>
  <c r="T43" i="16"/>
  <c r="U43" i="16" s="1"/>
  <c r="M43" i="16" s="1"/>
  <c r="T42" i="16"/>
  <c r="U42" i="16" s="1"/>
  <c r="M42" i="16" s="1"/>
  <c r="P43" i="16"/>
  <c r="P43" i="6"/>
  <c r="P42" i="6"/>
  <c r="C20" i="11"/>
  <c r="AE20" i="11" s="1" a="1"/>
  <c r="AE20" i="11" s="1"/>
  <c r="N50" i="6"/>
  <c r="C79" i="6" s="1"/>
  <c r="M50" i="6"/>
  <c r="P46" i="6"/>
  <c r="M51" i="6"/>
  <c r="N51" i="6"/>
  <c r="C80" i="6" s="1"/>
  <c r="B20" i="11"/>
  <c r="AD20" i="11" s="1" a="1"/>
  <c r="AD20" i="11" s="1"/>
  <c r="Z42" i="16"/>
  <c r="H48" i="16" s="1"/>
  <c r="S48" i="16" s="1"/>
  <c r="Z43" i="16"/>
  <c r="H51" i="16" s="1"/>
  <c r="S51" i="16" s="1"/>
  <c r="Z44" i="16"/>
  <c r="H49" i="16" s="1"/>
  <c r="S49" i="16" s="1"/>
  <c r="N49" i="6"/>
  <c r="C78" i="6" s="1"/>
  <c r="C19" i="11"/>
  <c r="AE19" i="11" s="1" a="1"/>
  <c r="AE19" i="11" s="1"/>
  <c r="M49" i="6"/>
  <c r="P44" i="6"/>
  <c r="Z46" i="16"/>
  <c r="H50" i="16" s="1"/>
  <c r="S50" i="16" s="1"/>
  <c r="M48" i="6"/>
  <c r="B19" i="11"/>
  <c r="AD19" i="11" s="1" a="1"/>
  <c r="AD19" i="11" s="1"/>
  <c r="N48" i="6"/>
  <c r="C77" i="6" s="1"/>
  <c r="AA46" i="16" l="1"/>
  <c r="AA44" i="16"/>
  <c r="C73" i="6"/>
  <c r="L48" i="6"/>
  <c r="Y48" i="16"/>
  <c r="X48" i="16"/>
  <c r="L49" i="6"/>
  <c r="C74" i="6"/>
  <c r="Y51" i="16"/>
  <c r="X51" i="16"/>
  <c r="C76" i="6"/>
  <c r="L51" i="6"/>
  <c r="AA43" i="16"/>
  <c r="C75" i="6"/>
  <c r="L50" i="6"/>
  <c r="Y50" i="16"/>
  <c r="X50" i="16"/>
  <c r="AA42" i="16"/>
  <c r="Y49" i="16"/>
  <c r="X49" i="16"/>
  <c r="P48" i="21" l="1"/>
  <c r="P48" i="22"/>
  <c r="P50" i="21"/>
  <c r="P50" i="22"/>
  <c r="P49" i="21"/>
  <c r="P49" i="22"/>
  <c r="P51" i="21"/>
  <c r="P51" i="22"/>
  <c r="P48" i="19"/>
  <c r="P48" i="20"/>
  <c r="P50" i="19"/>
  <c r="P50" i="20"/>
  <c r="P49" i="19"/>
  <c r="P49" i="20"/>
  <c r="P51" i="19"/>
  <c r="P51" i="20"/>
  <c r="O51" i="6"/>
  <c r="P51" i="6" s="1"/>
  <c r="W48" i="16"/>
  <c r="T48" i="16" s="1"/>
  <c r="O49" i="6"/>
  <c r="P49" i="6" s="1"/>
  <c r="W50" i="16"/>
  <c r="T50" i="16" s="1"/>
  <c r="O48" i="6"/>
  <c r="F58" i="6"/>
  <c r="W51" i="16"/>
  <c r="T51" i="16" s="1"/>
  <c r="O50" i="6"/>
  <c r="P50" i="6" s="1"/>
  <c r="W49" i="16"/>
  <c r="T49" i="16" s="1"/>
  <c r="R51" i="22" l="1"/>
  <c r="L51" i="22" s="1"/>
  <c r="R49" i="22"/>
  <c r="L49" i="22" s="1"/>
  <c r="R50" i="22"/>
  <c r="L50" i="22" s="1"/>
  <c r="R48" i="22"/>
  <c r="L48" i="22" s="1"/>
  <c r="R49" i="21"/>
  <c r="L49" i="21" s="1"/>
  <c r="R51" i="21"/>
  <c r="L51" i="21" s="1"/>
  <c r="R48" i="21"/>
  <c r="L48" i="21" s="1"/>
  <c r="R50" i="21"/>
  <c r="L50" i="21" s="1"/>
  <c r="R51" i="20"/>
  <c r="L51" i="20" s="1"/>
  <c r="R49" i="20"/>
  <c r="L49" i="20" s="1"/>
  <c r="R48" i="20"/>
  <c r="L48" i="20" s="1"/>
  <c r="R50" i="20"/>
  <c r="L50" i="20" s="1"/>
  <c r="R48" i="19"/>
  <c r="L48" i="19" s="1"/>
  <c r="R50" i="19"/>
  <c r="L50" i="19" s="1"/>
  <c r="R49" i="19"/>
  <c r="L49" i="19" s="1"/>
  <c r="R51" i="19"/>
  <c r="L51" i="19" s="1"/>
  <c r="R48" i="16"/>
  <c r="L48" i="16" s="1"/>
  <c r="R51" i="16"/>
  <c r="L51" i="16" s="1"/>
  <c r="R49" i="16"/>
  <c r="L49" i="16" s="1"/>
  <c r="R50" i="16"/>
  <c r="L50" i="16" s="1"/>
  <c r="P51" i="16"/>
  <c r="P49" i="16"/>
  <c r="U50" i="16"/>
  <c r="M50" i="16" s="1"/>
  <c r="P50" i="16"/>
  <c r="U49" i="16"/>
  <c r="M49" i="16" s="1"/>
  <c r="U51" i="16"/>
  <c r="M51" i="16" s="1"/>
  <c r="U48" i="16"/>
  <c r="M48" i="16" s="1"/>
  <c r="P48" i="16"/>
  <c r="H52" i="6"/>
  <c r="P48" i="6"/>
  <c r="Z48" i="16"/>
  <c r="Z49" i="16"/>
  <c r="AA49" i="16" s="1"/>
  <c r="H53" i="6"/>
  <c r="Z50" i="16"/>
  <c r="Z51" i="16"/>
  <c r="AA51" i="16" s="1"/>
  <c r="B21" i="11" l="1"/>
  <c r="AD21" i="11" s="1" a="1"/>
  <c r="AD21" i="11" s="1"/>
  <c r="H53" i="16"/>
  <c r="N52" i="6"/>
  <c r="C83" i="6" s="1"/>
  <c r="M52" i="6"/>
  <c r="C81" i="6" s="1"/>
  <c r="AA50" i="16"/>
  <c r="B22" i="11"/>
  <c r="AD22" i="11" s="1" a="1"/>
  <c r="AD22" i="11" s="1"/>
  <c r="M53" i="6"/>
  <c r="N53" i="6"/>
  <c r="C84" i="6" s="1"/>
  <c r="H52" i="16"/>
  <c r="S52" i="16" s="1"/>
  <c r="AA48" i="16"/>
  <c r="X53" i="16" l="1"/>
  <c r="S53" i="16"/>
  <c r="L52" i="6"/>
  <c r="Y53" i="16"/>
  <c r="Y52" i="16"/>
  <c r="X52" i="16"/>
  <c r="L53" i="6"/>
  <c r="C82" i="6"/>
  <c r="F59" i="6" s="1"/>
  <c r="P52" i="21" l="1"/>
  <c r="P52" i="22"/>
  <c r="R52" i="22"/>
  <c r="L52" i="22" s="1"/>
  <c r="R53" i="22"/>
  <c r="L53" i="22" s="1"/>
  <c r="P53" i="21"/>
  <c r="P53" i="22"/>
  <c r="R53" i="21"/>
  <c r="L53" i="21" s="1"/>
  <c r="R52" i="21"/>
  <c r="L52" i="21" s="1"/>
  <c r="P52" i="19"/>
  <c r="P52" i="20"/>
  <c r="R53" i="20"/>
  <c r="L53" i="20" s="1"/>
  <c r="R52" i="20"/>
  <c r="L52" i="20" s="1"/>
  <c r="P53" i="19"/>
  <c r="P53" i="20"/>
  <c r="R53" i="19"/>
  <c r="L53" i="19" s="1"/>
  <c r="R52" i="19"/>
  <c r="L52" i="19" s="1"/>
  <c r="R52" i="16"/>
  <c r="L52" i="16" s="1"/>
  <c r="W53" i="16"/>
  <c r="Z53" i="16" s="1"/>
  <c r="AA53" i="16" s="1"/>
  <c r="R53" i="16"/>
  <c r="L53" i="16" s="1"/>
  <c r="O52" i="6"/>
  <c r="P52" i="6" s="1"/>
  <c r="O53" i="6"/>
  <c r="W52" i="16"/>
  <c r="T52" i="16" s="1"/>
  <c r="P53" i="16" l="1"/>
  <c r="T53" i="16"/>
  <c r="U52" i="16"/>
  <c r="M52" i="16" s="1"/>
  <c r="P52" i="16"/>
  <c r="H54" i="6"/>
  <c r="P53" i="6"/>
  <c r="Z52" i="16"/>
  <c r="H54" i="16" s="1"/>
  <c r="S54" i="16" s="1"/>
  <c r="N54" i="6" l="1"/>
  <c r="C86" i="6" s="1"/>
  <c r="U53" i="16"/>
  <c r="M53" i="16" s="1"/>
  <c r="V53" i="16"/>
  <c r="O53" i="16" s="1"/>
  <c r="B23" i="11"/>
  <c r="AD23" i="11" s="1" a="1"/>
  <c r="AD23" i="11" s="1"/>
  <c r="M54" i="6"/>
  <c r="C85" i="6" s="1"/>
  <c r="Y54" i="16"/>
  <c r="X54" i="16"/>
  <c r="T54" i="16" s="1"/>
  <c r="AA52" i="16"/>
  <c r="F60" i="6" l="1"/>
  <c r="L54" i="6"/>
  <c r="W54" i="16"/>
  <c r="P54" i="21" l="1"/>
  <c r="P54" i="22"/>
  <c r="R54" i="21"/>
  <c r="L54" i="21" s="1"/>
  <c r="D58" i="21" s="1"/>
  <c r="R54" i="22"/>
  <c r="L54" i="22" s="1"/>
  <c r="D58" i="22" s="1"/>
  <c r="P54" i="19"/>
  <c r="P54" i="20"/>
  <c r="R54" i="19"/>
  <c r="L54" i="19" s="1"/>
  <c r="D58" i="19" s="1"/>
  <c r="R54" i="20"/>
  <c r="L54" i="20" s="1"/>
  <c r="D58" i="20" s="1"/>
  <c r="R54" i="16"/>
  <c r="L54" i="16" s="1"/>
  <c r="O54" i="6"/>
  <c r="P54" i="6" s="1"/>
  <c r="U54" i="16"/>
  <c r="M54" i="16" s="1"/>
  <c r="P54" i="16"/>
  <c r="Z54" i="16"/>
  <c r="AA54" i="16" s="1"/>
  <c r="B3" i="17" a="1"/>
  <c r="B3" i="17" l="1"/>
  <c r="D58" i="16"/>
  <c r="B2" i="17" a="1"/>
  <c r="B2" i="17" l="1"/>
  <c r="C5" i="17" l="1"/>
  <c r="C6" i="17"/>
  <c r="C2" i="17"/>
  <c r="C4" i="17"/>
  <c r="C3" i="17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<sst xmlns="http://schemas.openxmlformats.org/spreadsheetml/2006/main" count="3793" uniqueCount="211">
  <si>
    <t>Group</t>
  </si>
  <si>
    <t>A</t>
  </si>
  <si>
    <t>Team 1</t>
  </si>
  <si>
    <t>Team 2</t>
  </si>
  <si>
    <t>Stadiums</t>
  </si>
  <si>
    <t>B</t>
  </si>
  <si>
    <t>C</t>
  </si>
  <si>
    <t>D</t>
  </si>
  <si>
    <t>Netherlands</t>
  </si>
  <si>
    <t>W</t>
  </si>
  <si>
    <t>L</t>
  </si>
  <si>
    <t>Points</t>
  </si>
  <si>
    <t>E</t>
  </si>
  <si>
    <t>Team</t>
  </si>
  <si>
    <t>Winner</t>
  </si>
  <si>
    <t>Loser</t>
  </si>
  <si>
    <t>Goal Difference</t>
  </si>
  <si>
    <t>Team 1 Goals</t>
  </si>
  <si>
    <t>Team 2 Goals</t>
  </si>
  <si>
    <t>Goals Scored</t>
  </si>
  <si>
    <t>Goals Allowed</t>
  </si>
  <si>
    <t>Rank</t>
  </si>
  <si>
    <t>Team 1 Points</t>
  </si>
  <si>
    <t>Team 2 Points</t>
  </si>
  <si>
    <t>England</t>
  </si>
  <si>
    <t>Denmark</t>
  </si>
  <si>
    <t>France</t>
  </si>
  <si>
    <t>Germany</t>
  </si>
  <si>
    <t>Spain</t>
  </si>
  <si>
    <t>Belgium</t>
  </si>
  <si>
    <t>Portugal</t>
  </si>
  <si>
    <t>Switzerland</t>
  </si>
  <si>
    <t>Poland</t>
  </si>
  <si>
    <t>Croatia</t>
  </si>
  <si>
    <t>Serbia</t>
  </si>
  <si>
    <t/>
  </si>
  <si>
    <t>Tied Points</t>
  </si>
  <si>
    <t>Tied Goals</t>
  </si>
  <si>
    <t>Tied GD</t>
  </si>
  <si>
    <t>Team 1 GD</t>
  </si>
  <si>
    <t>Team 2 GD</t>
  </si>
  <si>
    <t>Tiedbreaker</t>
  </si>
  <si>
    <t>Final Rank</t>
  </si>
  <si>
    <t>Position</t>
  </si>
  <si>
    <t>Rank Override</t>
  </si>
  <si>
    <t>F</t>
  </si>
  <si>
    <t>Record</t>
  </si>
  <si>
    <t>Override</t>
  </si>
  <si>
    <t>Round of 16</t>
  </si>
  <si>
    <t>Watchlist</t>
  </si>
  <si>
    <t>Tables</t>
  </si>
  <si>
    <t>Group A</t>
  </si>
  <si>
    <t>Group B</t>
  </si>
  <si>
    <t>Group C</t>
  </si>
  <si>
    <t>Group D</t>
  </si>
  <si>
    <t>Group E</t>
  </si>
  <si>
    <t>Group F</t>
  </si>
  <si>
    <t>GD</t>
  </si>
  <si>
    <t>GAME #</t>
  </si>
  <si>
    <t>GROUP</t>
  </si>
  <si>
    <t>DATE</t>
  </si>
  <si>
    <t>TIME</t>
  </si>
  <si>
    <t>YOUR LOCAL TIME</t>
  </si>
  <si>
    <t>TEAMS</t>
  </si>
  <si>
    <t>SCORE</t>
  </si>
  <si>
    <t>WINNER / RESULT</t>
  </si>
  <si>
    <t>MATCH SCHEDULE</t>
  </si>
  <si>
    <t>Rule</t>
  </si>
  <si>
    <t># of Points</t>
  </si>
  <si>
    <t>Correct Teams Required? (knockout round)</t>
  </si>
  <si>
    <t>Yes</t>
  </si>
  <si>
    <t>Correct Result</t>
  </si>
  <si>
    <t>Your Time Zone
(GMT Adjustment)</t>
  </si>
  <si>
    <t>RO16</t>
  </si>
  <si>
    <t>QF</t>
  </si>
  <si>
    <t>SF</t>
  </si>
  <si>
    <t>Stage</t>
  </si>
  <si>
    <t>Correct Team in Correct Elimination Stage</t>
  </si>
  <si>
    <t>Munich</t>
  </si>
  <si>
    <t>Cologne</t>
  </si>
  <si>
    <t>Berlin</t>
  </si>
  <si>
    <t>Dortmund</t>
  </si>
  <si>
    <t>Gelsenkirchen</t>
  </si>
  <si>
    <t>Stuttgart</t>
  </si>
  <si>
    <t>Hamburg</t>
  </si>
  <si>
    <t>Dusseldorf</t>
  </si>
  <si>
    <t>Frankfurt</t>
  </si>
  <si>
    <t>Leipzig</t>
  </si>
  <si>
    <t>LOCATION</t>
  </si>
  <si>
    <t>Germany - Scotland</t>
  </si>
  <si>
    <t>Hungary - Switzerland</t>
  </si>
  <si>
    <t>Spain - Croatia</t>
  </si>
  <si>
    <t>Italy - Albania</t>
  </si>
  <si>
    <t>Serbia - England</t>
  </si>
  <si>
    <t>Slovenia - Denmark</t>
  </si>
  <si>
    <t>Poland - Netherlands</t>
  </si>
  <si>
    <t>Austria - France</t>
  </si>
  <si>
    <t>Belgium - Slovakia</t>
  </si>
  <si>
    <t>Romania - Ukraine</t>
  </si>
  <si>
    <t>Turkey - Georgia</t>
  </si>
  <si>
    <t>Portugal - Czechia</t>
  </si>
  <si>
    <t>Scotland - Switzerland</t>
  </si>
  <si>
    <t>Germany - Hungary</t>
  </si>
  <si>
    <t>Croatia - Albania</t>
  </si>
  <si>
    <t>Spain - Italy</t>
  </si>
  <si>
    <t>Denmark - England</t>
  </si>
  <si>
    <t>Slovenia - Serbia</t>
  </si>
  <si>
    <t>Poland - Austria</t>
  </si>
  <si>
    <t>Netherlands - France</t>
  </si>
  <si>
    <t>Slovakia - Ukraine</t>
  </si>
  <si>
    <t>Belgium - Romania</t>
  </si>
  <si>
    <t>Turkey - Portugal</t>
  </si>
  <si>
    <t>Georgia - Czechia</t>
  </si>
  <si>
    <t>Switzerland - Germany</t>
  </si>
  <si>
    <t>Scotland - Hungary</t>
  </si>
  <si>
    <t>Albania - Spain</t>
  </si>
  <si>
    <t>Croatia - Italy</t>
  </si>
  <si>
    <t>England - Slovenia</t>
  </si>
  <si>
    <t>Denmark - Serbia</t>
  </si>
  <si>
    <t>France - Poland</t>
  </si>
  <si>
    <t>Slovakia - Romania</t>
  </si>
  <si>
    <t>Ukraine - Belgium</t>
  </si>
  <si>
    <t>Georgia - Portugal</t>
  </si>
  <si>
    <t>Czechia - Turkey</t>
  </si>
  <si>
    <t>Scotland</t>
  </si>
  <si>
    <t>Hungary</t>
  </si>
  <si>
    <t>Italy</t>
  </si>
  <si>
    <t>Albania</t>
  </si>
  <si>
    <t>Slovenia</t>
  </si>
  <si>
    <t>Austria</t>
  </si>
  <si>
    <t>Slovakia</t>
  </si>
  <si>
    <t>Romania</t>
  </si>
  <si>
    <t>Ukraine</t>
  </si>
  <si>
    <t>Turkey</t>
  </si>
  <si>
    <t>Georgia</t>
  </si>
  <si>
    <t>Czechia</t>
  </si>
  <si>
    <t>Third-Place Team</t>
  </si>
  <si>
    <t>Wins</t>
  </si>
  <si>
    <t>3rd-Place Teams</t>
  </si>
  <si>
    <t>Tiebreaker</t>
  </si>
  <si>
    <t>#</t>
  </si>
  <si>
    <t>Netherlands - Austria</t>
  </si>
  <si>
    <t>Third-placed teams</t>
  </si>
  <si>
    <t>qualify from groups</t>
  </si>
  <si>
    <t>1B</t>
  </si>
  <si>
    <t>vs</t>
  </si>
  <si>
    <t>1C</t>
  </si>
  <si>
    <t>1E</t>
  </si>
  <si>
    <t>1F</t>
  </si>
  <si>
    <t>3A</t>
  </si>
  <si>
    <t>3D</t>
  </si>
  <si>
    <t>3B</t>
  </si>
  <si>
    <t>3C</t>
  </si>
  <si>
    <t>3E</t>
  </si>
  <si>
    <t>3F</t>
  </si>
  <si>
    <t>3rd Place Override</t>
  </si>
  <si>
    <t>Rankings</t>
  </si>
  <si>
    <t>Tiebreaker 1</t>
  </si>
  <si>
    <t>Tiebreaker 2</t>
  </si>
  <si>
    <t>Tiebreaker 3</t>
  </si>
  <si>
    <t>Tiebreaker 4</t>
  </si>
  <si>
    <t>Non-Tied Points</t>
  </si>
  <si>
    <t>Non-Tied GD</t>
  </si>
  <si>
    <t>Non-Tied Goals</t>
  </si>
  <si>
    <t>Tiebreaker 5</t>
  </si>
  <si>
    <t>Tiebreaker 6</t>
  </si>
  <si>
    <t>Tiebreaker 7</t>
  </si>
  <si>
    <t>Goal Difference (All)</t>
  </si>
  <si>
    <t>Tiebreaker 8</t>
  </si>
  <si>
    <t>Goals Scored (All)</t>
  </si>
  <si>
    <t>EXTRA TIME</t>
  </si>
  <si>
    <t>PENALTIES</t>
  </si>
  <si>
    <t>Team 1 ET Goals</t>
  </si>
  <si>
    <t>Team 2 ET Goals</t>
  </si>
  <si>
    <t>Team 1 Penalties</t>
  </si>
  <si>
    <t>Team 2 Penalties</t>
  </si>
  <si>
    <t>Correct Total Number of Goals (excluding penalties)</t>
  </si>
  <si>
    <t>Correct Score (excluding penalties)</t>
  </si>
  <si>
    <t>Correct Penalties Score</t>
  </si>
  <si>
    <t>Total Goals</t>
  </si>
  <si>
    <t>Score (Before Penalties)</t>
  </si>
  <si>
    <t>SCORE (BEFORE PENALTIES)</t>
  </si>
  <si>
    <t>CORRECT ROUND</t>
  </si>
  <si>
    <t>Total # of Shootouts Predicted</t>
  </si>
  <si>
    <t># of Shootouts</t>
  </si>
  <si>
    <t>INVERTED MATCH</t>
  </si>
  <si>
    <t>WRONG ORDER?</t>
  </si>
  <si>
    <t>LOOKUP PENALTY SCORE</t>
  </si>
  <si>
    <t>Time Format</t>
  </si>
  <si>
    <t>AM/PM</t>
  </si>
  <si>
    <t xml:space="preserve">          EURO 2024 SCHEDULE</t>
  </si>
  <si>
    <t>www.howtoexcel.net</t>
  </si>
  <si>
    <t>USER DAY</t>
  </si>
  <si>
    <t>MATCH ORDER</t>
  </si>
  <si>
    <t>Shootout Predicted (Regardless of result)</t>
  </si>
  <si>
    <t>CORRECT SCORE</t>
  </si>
  <si>
    <t>CORRECT # OF TOTAL GOALS</t>
  </si>
  <si>
    <t>CORRECT SCORE (PENALTIES)</t>
  </si>
  <si>
    <t>CORRECT RESULT</t>
  </si>
  <si>
    <t>SHOOTOUT PREDICTION?</t>
  </si>
  <si>
    <t>Score (Before Penalties)2</t>
  </si>
  <si>
    <t># of Shootouts Predicted</t>
  </si>
  <si>
    <t>Total Points</t>
  </si>
  <si>
    <t>List of Players</t>
  </si>
  <si>
    <t>Score</t>
  </si>
  <si>
    <t>Player1</t>
  </si>
  <si>
    <t>Player2</t>
  </si>
  <si>
    <t>PREDICTION POINTS EARNED</t>
  </si>
  <si>
    <t>Player3</t>
  </si>
  <si>
    <t>Player4</t>
  </si>
  <si>
    <t>Player5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</si>
</sst>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d\ \ h:mm\ AM/PM"/>
    <numFmt numFmtId="165" formatCode=";;;"/>
    <numFmt numFmtId="166" formatCode="d\ mmm"/>
  </numFmts>
  <fonts count="35" x14ac:knownFonts="1"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sz val="11"/>
      <name val="Century Gothic"/>
      <family val="2"/>
    </font>
    <font>
      <sz val="11"/>
      <color theme="0"/>
      <name val="Calibri"/>
      <family val="2"/>
      <scheme val="minor"/>
    </font>
    <font>
      <sz val="11"/>
      <color theme="0"/>
      <name val="Century Gothic"/>
      <family val="2"/>
    </font>
    <font>
      <b/>
      <sz val="11"/>
      <color theme="0"/>
      <name val="Century Gothic"/>
      <family val="2"/>
    </font>
    <font>
      <b/>
      <sz val="48"/>
      <color theme="0"/>
      <name val="Century Gothic"/>
      <family val="2"/>
    </font>
    <font>
      <b/>
      <sz val="36"/>
      <color theme="0"/>
      <name val="Century Gothic"/>
      <family val="2"/>
    </font>
    <font>
      <sz val="10"/>
      <color theme="0"/>
      <name val="Century Gothic"/>
      <family val="2"/>
    </font>
    <font>
      <sz val="11"/>
      <color theme="1"/>
      <name val="Century Gothic"/>
      <family val="2"/>
    </font>
    <font>
      <b/>
      <sz val="72"/>
      <color theme="1"/>
      <name val="Century Gothic"/>
      <family val="2"/>
    </font>
    <font>
      <b/>
      <sz val="72"/>
      <color theme="0"/>
      <name val="Century Gothic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entury Gothic"/>
      <family val="2"/>
    </font>
    <font>
      <b/>
      <sz val="16"/>
      <color theme="0"/>
      <name val="Century Gothic"/>
      <family val="2"/>
    </font>
    <font>
      <b/>
      <sz val="18"/>
      <color theme="1"/>
      <name val="Century Gothic"/>
      <family val="2"/>
    </font>
    <font>
      <sz val="10"/>
      <color theme="1"/>
      <name val="Arial"/>
      <family val="2"/>
      <charset val="238"/>
    </font>
    <font>
      <b/>
      <sz val="24"/>
      <color theme="0"/>
      <name val="Century Gothic"/>
      <family val="2"/>
    </font>
    <font>
      <sz val="10"/>
      <name val="Arial"/>
      <family val="2"/>
      <charset val="238"/>
    </font>
    <font>
      <b/>
      <sz val="11"/>
      <color rgb="FF202122"/>
      <name val="Arial"/>
      <family val="2"/>
      <charset val="238"/>
    </font>
    <font>
      <sz val="11"/>
      <color rgb="FF202122"/>
      <name val="Arial"/>
      <family val="2"/>
      <charset val="238"/>
    </font>
    <font>
      <b/>
      <sz val="11"/>
      <name val="Century Gothic"/>
      <family val="2"/>
      <charset val="238"/>
    </font>
    <font>
      <sz val="10"/>
      <name val="Century Gothic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FFFF"/>
      <name val="Century Gothic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F9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EAECF0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4" tint="0.3999755851924192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1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textRotation="90"/>
    </xf>
    <xf numFmtId="0" fontId="4" fillId="0" borderId="0" xfId="0" applyFont="1" applyAlignment="1">
      <alignment horizontal="center" vertical="center" textRotation="90"/>
    </xf>
    <xf numFmtId="16" fontId="4" fillId="0" borderId="0" xfId="0" applyNumberFormat="1" applyFont="1" applyAlignment="1">
      <alignment horizontal="center"/>
    </xf>
    <xf numFmtId="20" fontId="4" fillId="0" borderId="0" xfId="0" applyNumberFormat="1" applyFont="1" applyAlignment="1">
      <alignment horizontal="center"/>
    </xf>
    <xf numFmtId="20" fontId="4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13" fillId="0" borderId="0" xfId="0" applyFont="1"/>
    <xf numFmtId="0" fontId="0" fillId="0" borderId="13" xfId="0" applyBorder="1" applyAlignment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5" borderId="4" xfId="0" applyFont="1" applyFill="1" applyBorder="1"/>
    <xf numFmtId="0" fontId="10" fillId="5" borderId="5" xfId="0" applyFont="1" applyFill="1" applyBorder="1"/>
    <xf numFmtId="0" fontId="5" fillId="5" borderId="5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5" fillId="5" borderId="0" xfId="0" applyFont="1" applyFill="1" applyAlignment="1">
      <alignment horizontal="center" vertical="center" wrapText="1"/>
    </xf>
    <xf numFmtId="0" fontId="16" fillId="6" borderId="0" xfId="0" applyFont="1" applyFill="1" applyAlignment="1" applyProtection="1">
      <alignment horizontal="center" vertical="center"/>
      <protection locked="0"/>
    </xf>
    <xf numFmtId="0" fontId="15" fillId="5" borderId="0" xfId="0" applyFont="1" applyFill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wrapText="1"/>
    </xf>
    <xf numFmtId="0" fontId="20" fillId="10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0" fontId="21" fillId="9" borderId="0" xfId="0" applyFont="1" applyFill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49" fontId="5" fillId="5" borderId="19" xfId="0" applyNumberFormat="1" applyFont="1" applyFill="1" applyBorder="1" applyAlignment="1">
      <alignment horizontal="center" vertical="center" wrapText="1"/>
    </xf>
    <xf numFmtId="49" fontId="1" fillId="7" borderId="13" xfId="0" applyNumberFormat="1" applyFont="1" applyFill="1" applyBorder="1" applyAlignment="1" applyProtection="1">
      <alignment horizontal="center" vertical="center"/>
      <protection locked="0"/>
    </xf>
    <xf numFmtId="49" fontId="1" fillId="7" borderId="21" xfId="0" applyNumberFormat="1" applyFont="1" applyFill="1" applyBorder="1" applyAlignment="1" applyProtection="1">
      <alignment horizontal="center" vertical="center"/>
      <protection locked="0"/>
    </xf>
    <xf numFmtId="49" fontId="1" fillId="7" borderId="20" xfId="0" applyNumberFormat="1" applyFont="1" applyFill="1" applyBorder="1" applyAlignment="1" applyProtection="1">
      <alignment horizontal="center" vertical="center"/>
      <protection locked="0"/>
    </xf>
    <xf numFmtId="0" fontId="5" fillId="5" borderId="22" xfId="0" applyFont="1" applyFill="1" applyBorder="1" applyAlignment="1">
      <alignment horizontal="center" vertical="center"/>
    </xf>
    <xf numFmtId="0" fontId="22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textRotation="90"/>
    </xf>
    <xf numFmtId="0" fontId="1" fillId="0" borderId="0" xfId="0" applyFont="1" applyAlignment="1">
      <alignment vertical="center" textRotation="90"/>
    </xf>
    <xf numFmtId="0" fontId="23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textRotation="90"/>
    </xf>
    <xf numFmtId="0" fontId="12" fillId="0" borderId="0" xfId="0" applyFont="1"/>
    <xf numFmtId="0" fontId="22" fillId="0" borderId="0" xfId="0" applyFont="1"/>
    <xf numFmtId="49" fontId="1" fillId="2" borderId="0" xfId="0" applyNumberFormat="1" applyFont="1" applyFill="1" applyAlignment="1" applyProtection="1">
      <alignment horizontal="center" vertical="center"/>
      <protection locked="0"/>
    </xf>
    <xf numFmtId="0" fontId="1" fillId="7" borderId="25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22" fillId="2" borderId="0" xfId="0" applyNumberFormat="1" applyFont="1" applyFill="1" applyAlignment="1" applyProtection="1">
      <alignment horizontal="center" vertical="center"/>
      <protection locked="0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textRotation="90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49" fontId="5" fillId="5" borderId="5" xfId="0" applyNumberFormat="1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/>
    </xf>
    <xf numFmtId="49" fontId="5" fillId="5" borderId="5" xfId="0" applyNumberFormat="1" applyFont="1" applyFill="1" applyBorder="1" applyAlignment="1">
      <alignment horizontal="center" vertical="center" wrapText="1"/>
    </xf>
    <xf numFmtId="0" fontId="14" fillId="7" borderId="27" xfId="0" applyFont="1" applyFill="1" applyBorder="1" applyAlignment="1">
      <alignment horizontal="center" vertical="center"/>
    </xf>
    <xf numFmtId="0" fontId="14" fillId="7" borderId="19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49" fontId="9" fillId="0" borderId="0" xfId="0" applyNumberFormat="1" applyFont="1" applyAlignment="1">
      <alignment horizontal="center"/>
    </xf>
    <xf numFmtId="0" fontId="9" fillId="0" borderId="0" xfId="0" applyFont="1"/>
    <xf numFmtId="166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/>
    <xf numFmtId="165" fontId="9" fillId="0" borderId="0" xfId="0" applyNumberFormat="1" applyFont="1" applyAlignment="1">
      <alignment horizontal="center" vertical="center"/>
    </xf>
    <xf numFmtId="166" fontId="30" fillId="0" borderId="0" xfId="0" applyNumberFormat="1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166" fontId="30" fillId="0" borderId="0" xfId="0" applyNumberFormat="1" applyFont="1" applyAlignment="1">
      <alignment vertical="center"/>
    </xf>
    <xf numFmtId="166" fontId="3" fillId="5" borderId="28" xfId="0" applyNumberFormat="1" applyFont="1" applyFill="1" applyBorder="1" applyAlignment="1">
      <alignment horizontal="center" vertical="center"/>
    </xf>
    <xf numFmtId="166" fontId="3" fillId="5" borderId="26" xfId="0" applyNumberFormat="1" applyFont="1" applyFill="1" applyBorder="1" applyAlignment="1">
      <alignment horizontal="center" vertical="center"/>
    </xf>
    <xf numFmtId="166" fontId="3" fillId="5" borderId="21" xfId="0" applyNumberFormat="1" applyFont="1" applyFill="1" applyBorder="1" applyAlignment="1">
      <alignment horizontal="center" vertical="center"/>
    </xf>
    <xf numFmtId="166" fontId="30" fillId="0" borderId="0" xfId="0" applyNumberFormat="1" applyFont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8" fillId="4" borderId="21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/>
      <protection locked="0"/>
    </xf>
    <xf numFmtId="0" fontId="28" fillId="0" borderId="0" xfId="0" applyFont="1" applyProtection="1">
      <protection locked="0"/>
    </xf>
    <xf numFmtId="0" fontId="25" fillId="3" borderId="0" xfId="0" applyFont="1" applyFill="1" applyAlignment="1">
      <alignment horizontal="center"/>
    </xf>
    <xf numFmtId="0" fontId="1" fillId="7" borderId="21" xfId="0" applyFont="1" applyFill="1" applyBorder="1" applyAlignment="1" applyProtection="1">
      <alignment horizontal="center" vertical="center"/>
      <protection hidden="1"/>
    </xf>
    <xf numFmtId="16" fontId="1" fillId="7" borderId="21" xfId="0" applyNumberFormat="1" applyFont="1" applyFill="1" applyBorder="1" applyAlignment="1" applyProtection="1">
      <alignment horizontal="center" vertical="center"/>
      <protection hidden="1"/>
    </xf>
    <xf numFmtId="20" fontId="1" fillId="7" borderId="21" xfId="0" applyNumberFormat="1" applyFont="1" applyFill="1" applyBorder="1" applyAlignment="1" applyProtection="1">
      <alignment horizontal="center" vertical="center"/>
      <protection hidden="1"/>
    </xf>
    <xf numFmtId="164" fontId="1" fillId="7" borderId="21" xfId="0" applyNumberFormat="1" applyFont="1" applyFill="1" applyBorder="1" applyAlignment="1" applyProtection="1">
      <alignment horizontal="center" vertical="center"/>
      <protection hidden="1"/>
    </xf>
    <xf numFmtId="49" fontId="1" fillId="7" borderId="21" xfId="0" applyNumberFormat="1" applyFont="1" applyFill="1" applyBorder="1" applyAlignment="1" applyProtection="1">
      <alignment horizontal="center" vertical="center"/>
      <protection locked="0" hidden="1"/>
    </xf>
    <xf numFmtId="49" fontId="1" fillId="2" borderId="0" xfId="0" applyNumberFormat="1" applyFont="1" applyFill="1" applyAlignment="1" applyProtection="1">
      <alignment horizontal="center" vertical="center"/>
      <protection locked="0" hidden="1"/>
    </xf>
    <xf numFmtId="0" fontId="1" fillId="7" borderId="23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1" fillId="7" borderId="13" xfId="0" applyFont="1" applyFill="1" applyBorder="1" applyAlignment="1" applyProtection="1">
      <alignment horizontal="center" vertical="center"/>
      <protection hidden="1"/>
    </xf>
    <xf numFmtId="16" fontId="1" fillId="7" borderId="13" xfId="0" applyNumberFormat="1" applyFont="1" applyFill="1" applyBorder="1" applyAlignment="1" applyProtection="1">
      <alignment horizontal="center" vertical="center"/>
      <protection hidden="1"/>
    </xf>
    <xf numFmtId="20" fontId="1" fillId="7" borderId="13" xfId="0" applyNumberFormat="1" applyFont="1" applyFill="1" applyBorder="1" applyAlignment="1" applyProtection="1">
      <alignment horizontal="center" vertical="center"/>
      <protection hidden="1"/>
    </xf>
    <xf numFmtId="164" fontId="1" fillId="7" borderId="13" xfId="0" applyNumberFormat="1" applyFont="1" applyFill="1" applyBorder="1" applyAlignment="1" applyProtection="1">
      <alignment horizontal="center" vertical="center"/>
      <protection hidden="1"/>
    </xf>
    <xf numFmtId="49" fontId="1" fillId="7" borderId="13" xfId="0" applyNumberFormat="1" applyFont="1" applyFill="1" applyBorder="1" applyAlignment="1" applyProtection="1">
      <alignment horizontal="center" vertical="center"/>
      <protection locked="0" hidden="1"/>
    </xf>
    <xf numFmtId="0" fontId="1" fillId="7" borderId="20" xfId="0" applyFont="1" applyFill="1" applyBorder="1" applyAlignment="1" applyProtection="1">
      <alignment horizontal="center" vertical="center"/>
      <protection hidden="1"/>
    </xf>
    <xf numFmtId="16" fontId="1" fillId="7" borderId="20" xfId="0" applyNumberFormat="1" applyFont="1" applyFill="1" applyBorder="1" applyAlignment="1" applyProtection="1">
      <alignment horizontal="center" vertical="center"/>
      <protection hidden="1"/>
    </xf>
    <xf numFmtId="20" fontId="1" fillId="7" borderId="20" xfId="0" applyNumberFormat="1" applyFont="1" applyFill="1" applyBorder="1" applyAlignment="1" applyProtection="1">
      <alignment horizontal="center" vertical="center"/>
      <protection hidden="1"/>
    </xf>
    <xf numFmtId="164" fontId="1" fillId="7" borderId="20" xfId="0" applyNumberFormat="1" applyFont="1" applyFill="1" applyBorder="1" applyAlignment="1" applyProtection="1">
      <alignment horizontal="center" vertical="center"/>
      <protection hidden="1"/>
    </xf>
    <xf numFmtId="49" fontId="1" fillId="7" borderId="20" xfId="0" applyNumberFormat="1" applyFont="1" applyFill="1" applyBorder="1" applyAlignment="1" applyProtection="1">
      <alignment horizontal="center" vertical="center"/>
      <protection locked="0" hidden="1"/>
    </xf>
    <xf numFmtId="0" fontId="1" fillId="7" borderId="24" xfId="0" applyFont="1" applyFill="1" applyBorder="1" applyAlignment="1" applyProtection="1">
      <alignment horizontal="center" vertical="center"/>
      <protection hidden="1"/>
    </xf>
    <xf numFmtId="0" fontId="5" fillId="5" borderId="5" xfId="0" applyFont="1" applyFill="1" applyBorder="1" applyAlignment="1" applyProtection="1">
      <alignment horizontal="center" vertical="center"/>
      <protection hidden="1"/>
    </xf>
    <xf numFmtId="0" fontId="5" fillId="5" borderId="5" xfId="0" applyFont="1" applyFill="1" applyBorder="1" applyAlignment="1" applyProtection="1">
      <alignment horizontal="center" vertical="center" wrapText="1"/>
      <protection hidden="1"/>
    </xf>
    <xf numFmtId="0" fontId="5" fillId="5" borderId="6" xfId="0" applyFont="1" applyFill="1" applyBorder="1" applyAlignment="1" applyProtection="1">
      <alignment horizontal="center" vertical="center"/>
      <protection hidden="1"/>
    </xf>
    <xf numFmtId="0" fontId="9" fillId="7" borderId="7" xfId="0" applyFont="1" applyFill="1" applyBorder="1" applyAlignment="1" applyProtection="1">
      <alignment horizontal="center" vertical="center"/>
      <protection hidden="1"/>
    </xf>
    <xf numFmtId="0" fontId="9" fillId="7" borderId="0" xfId="0" applyFont="1" applyFill="1" applyAlignment="1" applyProtection="1">
      <alignment horizontal="center" vertical="center"/>
      <protection hidden="1"/>
    </xf>
    <xf numFmtId="0" fontId="9" fillId="7" borderId="8" xfId="0" applyFont="1" applyFill="1" applyBorder="1" applyAlignment="1" applyProtection="1">
      <alignment horizontal="center" vertical="center"/>
      <protection hidden="1"/>
    </xf>
    <xf numFmtId="0" fontId="9" fillId="7" borderId="9" xfId="0" applyFont="1" applyFill="1" applyBorder="1" applyAlignment="1" applyProtection="1">
      <alignment horizontal="center" vertical="center"/>
      <protection hidden="1"/>
    </xf>
    <xf numFmtId="0" fontId="9" fillId="7" borderId="3" xfId="0" applyFont="1" applyFill="1" applyBorder="1" applyAlignment="1" applyProtection="1">
      <alignment horizontal="center" vertical="center"/>
      <protection hidden="1"/>
    </xf>
    <xf numFmtId="0" fontId="9" fillId="7" borderId="10" xfId="0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9" fillId="2" borderId="8" xfId="0" applyFont="1" applyFill="1" applyBorder="1" applyAlignment="1" applyProtection="1">
      <alignment horizontal="center" vertical="center"/>
      <protection hidden="1"/>
    </xf>
    <xf numFmtId="0" fontId="9" fillId="2" borderId="11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9" fillId="2" borderId="12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5" borderId="11" xfId="0" applyFont="1" applyFill="1" applyBorder="1" applyAlignment="1" applyProtection="1">
      <alignment horizontal="center" vertical="center"/>
      <protection hidden="1"/>
    </xf>
    <xf numFmtId="0" fontId="5" fillId="5" borderId="2" xfId="0" applyFont="1" applyFill="1" applyBorder="1" applyAlignment="1" applyProtection="1">
      <alignment horizontal="center" vertical="center"/>
      <protection hidden="1"/>
    </xf>
    <xf numFmtId="0" fontId="5" fillId="5" borderId="12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1" fillId="2" borderId="0" xfId="0" applyFont="1" applyFill="1" applyProtection="1">
      <protection hidden="1"/>
    </xf>
    <xf numFmtId="0" fontId="4" fillId="5" borderId="4" xfId="0" applyFont="1" applyFill="1" applyBorder="1" applyAlignment="1" applyProtection="1">
      <alignment horizontal="center" vertical="center"/>
      <protection hidden="1"/>
    </xf>
    <xf numFmtId="0" fontId="4" fillId="5" borderId="6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 hidden="1"/>
    </xf>
    <xf numFmtId="0" fontId="1" fillId="2" borderId="0" xfId="0" applyFont="1" applyFill="1" applyAlignment="1" applyProtection="1">
      <alignment horizontal="center" vertical="center"/>
      <protection locked="0" hidden="1"/>
    </xf>
    <xf numFmtId="0" fontId="1" fillId="2" borderId="0" xfId="0" applyFont="1" applyFill="1" applyAlignment="1" applyProtection="1">
      <alignment vertical="center"/>
      <protection locked="0" hidden="1"/>
    </xf>
    <xf numFmtId="0" fontId="1" fillId="0" borderId="0" xfId="0" applyFont="1" applyProtection="1">
      <protection locked="0" hidden="1"/>
    </xf>
    <xf numFmtId="0" fontId="1" fillId="0" borderId="0" xfId="0" applyFont="1" applyProtection="1">
      <protection hidden="1"/>
    </xf>
    <xf numFmtId="14" fontId="26" fillId="0" borderId="0" xfId="0" applyNumberFormat="1" applyFont="1" applyAlignment="1" applyProtection="1">
      <alignment horizontal="center" vertical="center"/>
      <protection hidden="1"/>
    </xf>
    <xf numFmtId="166" fontId="30" fillId="0" borderId="0" xfId="0" applyNumberFormat="1" applyFont="1" applyAlignment="1" applyProtection="1">
      <alignment vertical="center"/>
      <protection hidden="1"/>
    </xf>
    <xf numFmtId="0" fontId="28" fillId="0" borderId="0" xfId="0" applyFont="1" applyAlignment="1" applyProtection="1">
      <alignment horizontal="center" vertical="center" wrapText="1"/>
      <protection hidden="1"/>
    </xf>
    <xf numFmtId="0" fontId="28" fillId="0" borderId="0" xfId="0" applyFont="1" applyProtection="1">
      <protection hidden="1"/>
    </xf>
    <xf numFmtId="14" fontId="9" fillId="0" borderId="0" xfId="0" applyNumberFormat="1" applyFont="1" applyAlignment="1" applyProtection="1">
      <alignment horizontal="center" vertical="center"/>
      <protection hidden="1"/>
    </xf>
    <xf numFmtId="2" fontId="9" fillId="0" borderId="0" xfId="0" applyNumberFormat="1" applyFont="1" applyAlignment="1" applyProtection="1">
      <alignment horizontal="center" vertical="center"/>
      <protection hidden="1"/>
    </xf>
    <xf numFmtId="49" fontId="5" fillId="5" borderId="19" xfId="0" applyNumberFormat="1" applyFont="1" applyFill="1" applyBorder="1" applyAlignment="1">
      <alignment horizontal="center" vertical="center"/>
    </xf>
    <xf numFmtId="0" fontId="31" fillId="2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wrapText="1"/>
    </xf>
    <xf numFmtId="1" fontId="1" fillId="0" borderId="0" xfId="0" applyNumberFormat="1" applyFont="1" applyAlignment="1">
      <alignment horizontal="center"/>
    </xf>
    <xf numFmtId="0" fontId="33" fillId="0" borderId="0" xfId="0" applyFont="1" applyAlignment="1">
      <alignment horizontal="center" wrapText="1"/>
    </xf>
    <xf numFmtId="0" fontId="1" fillId="11" borderId="13" xfId="0" applyFont="1" applyFill="1" applyBorder="1" applyAlignment="1" applyProtection="1">
      <alignment horizontal="center" vertical="center"/>
      <protection hidden="1"/>
    </xf>
    <xf numFmtId="0" fontId="31" fillId="11" borderId="13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20" fillId="10" borderId="0" xfId="0" applyFont="1" applyFill="1" applyAlignment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/>
      <protection hidden="1"/>
    </xf>
    <xf numFmtId="0" fontId="5" fillId="5" borderId="5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18" fillId="8" borderId="17" xfId="0" applyFont="1" applyFill="1" applyBorder="1" applyAlignment="1" applyProtection="1">
      <alignment horizontal="center" vertical="center"/>
      <protection hidden="1"/>
    </xf>
    <xf numFmtId="0" fontId="18" fillId="8" borderId="18" xfId="0" applyFont="1" applyFill="1" applyBorder="1" applyAlignment="1" applyProtection="1">
      <alignment horizontal="center" vertical="center"/>
      <protection hidden="1"/>
    </xf>
    <xf numFmtId="0" fontId="18" fillId="8" borderId="19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27" fillId="2" borderId="18" xfId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409"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rgb="FFFFFF00"/>
        </patternFill>
      </fill>
    </dxf>
    <dxf>
      <font>
        <color theme="1"/>
      </font>
      <fill>
        <patternFill>
          <bgColor rgb="FF00B0F0"/>
        </patternFill>
      </fill>
      <border>
        <bottom style="dashed">
          <color auto="1"/>
        </bottom>
        <vertical/>
        <horizontal/>
      </border>
    </dxf>
    <dxf>
      <font>
        <color theme="1"/>
      </font>
      <fill>
        <patternFill>
          <bgColor rgb="FF00B0F0"/>
        </patternFill>
      </fill>
      <border>
        <bottom style="dashed">
          <color auto="1"/>
        </bottom>
        <vertical/>
        <horizontal/>
      </border>
    </dxf>
    <dxf>
      <font>
        <color theme="1"/>
      </font>
      <fill>
        <patternFill>
          <bgColor rgb="FF00B0F0"/>
        </patternFill>
      </fill>
      <border>
        <bottom style="dashed">
          <color auto="1"/>
        </bottom>
        <vertical/>
        <horizontal/>
      </border>
    </dxf>
    <dxf>
      <font>
        <color theme="1"/>
      </font>
      <fill>
        <patternFill>
          <bgColor rgb="FF00B0F0"/>
        </patternFill>
      </fill>
      <border>
        <bottom style="dashed">
          <color auto="1"/>
        </bottom>
        <vertical/>
        <horizontal/>
      </border>
    </dxf>
    <dxf>
      <font>
        <color theme="1"/>
      </font>
      <fill>
        <patternFill>
          <bgColor rgb="FF00B0F0"/>
        </patternFill>
      </fill>
      <border>
        <bottom style="dashed">
          <color auto="1"/>
        </bottom>
        <vertical/>
        <horizontal/>
      </border>
    </dxf>
    <dxf>
      <font>
        <color theme="1"/>
      </font>
      <fill>
        <patternFill>
          <bgColor rgb="FF00B0F0"/>
        </patternFill>
      </fill>
      <border>
        <bottom style="dashed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rgb="FFFFFF00"/>
        </patternFill>
      </fill>
    </dxf>
    <dxf>
      <font>
        <color theme="1"/>
      </font>
      <fill>
        <patternFill>
          <bgColor rgb="FF00B0F0"/>
        </patternFill>
      </fill>
      <border>
        <bottom style="dashed">
          <color auto="1"/>
        </bottom>
        <vertical/>
        <horizontal/>
      </border>
    </dxf>
    <dxf>
      <font>
        <color theme="1"/>
      </font>
      <fill>
        <patternFill>
          <bgColor rgb="FF00B0F0"/>
        </patternFill>
      </fill>
      <border>
        <bottom style="dashed">
          <color auto="1"/>
        </bottom>
        <vertical/>
        <horizontal/>
      </border>
    </dxf>
    <dxf>
      <font>
        <color theme="1"/>
      </font>
      <fill>
        <patternFill>
          <bgColor rgb="FF00B0F0"/>
        </patternFill>
      </fill>
      <border>
        <bottom style="dashed">
          <color auto="1"/>
        </bottom>
        <vertical/>
        <horizontal/>
      </border>
    </dxf>
    <dxf>
      <font>
        <color theme="1"/>
      </font>
      <fill>
        <patternFill>
          <bgColor rgb="FF00B0F0"/>
        </patternFill>
      </fill>
      <border>
        <bottom style="dashed">
          <color auto="1"/>
        </bottom>
        <vertical/>
        <horizontal/>
      </border>
    </dxf>
    <dxf>
      <font>
        <color theme="1"/>
      </font>
      <fill>
        <patternFill>
          <bgColor rgb="FF00B0F0"/>
        </patternFill>
      </fill>
      <border>
        <bottom style="dashed">
          <color auto="1"/>
        </bottom>
        <vertical/>
        <horizontal/>
      </border>
    </dxf>
    <dxf>
      <font>
        <color theme="1"/>
      </font>
      <fill>
        <patternFill>
          <bgColor rgb="FF00B0F0"/>
        </patternFill>
      </fill>
      <border>
        <bottom style="dashed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rgb="FFFFFF00"/>
        </patternFill>
      </fill>
    </dxf>
    <dxf>
      <font>
        <color theme="1"/>
      </font>
      <fill>
        <patternFill>
          <bgColor rgb="FF00B0F0"/>
        </patternFill>
      </fill>
      <border>
        <bottom style="dashed">
          <color auto="1"/>
        </bottom>
        <vertical/>
        <horizontal/>
      </border>
    </dxf>
    <dxf>
      <font>
        <color theme="1"/>
      </font>
      <fill>
        <patternFill>
          <bgColor rgb="FF00B0F0"/>
        </patternFill>
      </fill>
      <border>
        <bottom style="dashed">
          <color auto="1"/>
        </bottom>
        <vertical/>
        <horizontal/>
      </border>
    </dxf>
    <dxf>
      <font>
        <color theme="1"/>
      </font>
      <fill>
        <patternFill>
          <bgColor rgb="FF00B0F0"/>
        </patternFill>
      </fill>
      <border>
        <bottom style="dashed">
          <color auto="1"/>
        </bottom>
        <vertical/>
        <horizontal/>
      </border>
    </dxf>
    <dxf>
      <font>
        <color theme="1"/>
      </font>
      <fill>
        <patternFill>
          <bgColor rgb="FF00B0F0"/>
        </patternFill>
      </fill>
      <border>
        <bottom style="dashed">
          <color auto="1"/>
        </bottom>
        <vertical/>
        <horizontal/>
      </border>
    </dxf>
    <dxf>
      <font>
        <color theme="1"/>
      </font>
      <fill>
        <patternFill>
          <bgColor rgb="FF00B0F0"/>
        </patternFill>
      </fill>
      <border>
        <bottom style="dashed">
          <color auto="1"/>
        </bottom>
        <vertical/>
        <horizontal/>
      </border>
    </dxf>
    <dxf>
      <font>
        <color theme="1"/>
      </font>
      <fill>
        <patternFill>
          <bgColor rgb="FF00B0F0"/>
        </patternFill>
      </fill>
      <border>
        <bottom style="dashed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rgb="FFFFFF00"/>
        </patternFill>
      </fill>
    </dxf>
    <dxf>
      <font>
        <color theme="1"/>
      </font>
      <fill>
        <patternFill>
          <bgColor rgb="FF00B0F0"/>
        </patternFill>
      </fill>
      <border>
        <bottom style="dashed">
          <color auto="1"/>
        </bottom>
        <vertical/>
        <horizontal/>
      </border>
    </dxf>
    <dxf>
      <font>
        <color theme="1"/>
      </font>
      <fill>
        <patternFill>
          <bgColor rgb="FF00B0F0"/>
        </patternFill>
      </fill>
      <border>
        <bottom style="dashed">
          <color auto="1"/>
        </bottom>
        <vertical/>
        <horizontal/>
      </border>
    </dxf>
    <dxf>
      <font>
        <color theme="1"/>
      </font>
      <fill>
        <patternFill>
          <bgColor rgb="FF00B0F0"/>
        </patternFill>
      </fill>
      <border>
        <bottom style="dashed">
          <color auto="1"/>
        </bottom>
        <vertical/>
        <horizontal/>
      </border>
    </dxf>
    <dxf>
      <font>
        <color theme="1"/>
      </font>
      <fill>
        <patternFill>
          <bgColor rgb="FF00B0F0"/>
        </patternFill>
      </fill>
      <border>
        <bottom style="dashed">
          <color auto="1"/>
        </bottom>
        <vertical/>
        <horizontal/>
      </border>
    </dxf>
    <dxf>
      <font>
        <color theme="1"/>
      </font>
      <fill>
        <patternFill>
          <bgColor rgb="FF00B0F0"/>
        </patternFill>
      </fill>
      <border>
        <bottom style="dashed">
          <color auto="1"/>
        </bottom>
        <vertical/>
        <horizontal/>
      </border>
    </dxf>
    <dxf>
      <font>
        <color theme="1"/>
      </font>
      <fill>
        <patternFill>
          <bgColor rgb="FF00B0F0"/>
        </patternFill>
      </fill>
      <border>
        <bottom style="dashed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rgb="FFFFFF00"/>
        </patternFill>
      </fill>
    </dxf>
    <dxf>
      <font>
        <color theme="1"/>
      </font>
      <fill>
        <patternFill>
          <bgColor rgb="FF00B0F0"/>
        </patternFill>
      </fill>
      <border>
        <bottom style="dashed">
          <color auto="1"/>
        </bottom>
        <vertical/>
        <horizontal/>
      </border>
    </dxf>
    <dxf>
      <font>
        <color theme="1"/>
      </font>
      <fill>
        <patternFill>
          <bgColor rgb="FF00B0F0"/>
        </patternFill>
      </fill>
      <border>
        <bottom style="dashed">
          <color auto="1"/>
        </bottom>
        <vertical/>
        <horizontal/>
      </border>
    </dxf>
    <dxf>
      <font>
        <color theme="1"/>
      </font>
      <fill>
        <patternFill>
          <bgColor rgb="FF00B0F0"/>
        </patternFill>
      </fill>
      <border>
        <bottom style="dashed">
          <color auto="1"/>
        </bottom>
        <vertical/>
        <horizontal/>
      </border>
    </dxf>
    <dxf>
      <font>
        <color theme="1"/>
      </font>
      <fill>
        <patternFill>
          <bgColor rgb="FF00B0F0"/>
        </patternFill>
      </fill>
      <border>
        <bottom style="dashed">
          <color auto="1"/>
        </bottom>
        <vertical/>
        <horizontal/>
      </border>
    </dxf>
    <dxf>
      <font>
        <color theme="1"/>
      </font>
      <fill>
        <patternFill>
          <bgColor rgb="FF00B0F0"/>
        </patternFill>
      </fill>
      <border>
        <bottom style="dashed">
          <color auto="1"/>
        </bottom>
        <vertical/>
        <horizontal/>
      </border>
    </dxf>
    <dxf>
      <font>
        <color theme="1"/>
      </font>
      <fill>
        <patternFill>
          <bgColor rgb="FF00B0F0"/>
        </patternFill>
      </fill>
      <border>
        <bottom style="dashed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rgb="FFFFFF00"/>
        </patternFill>
      </fill>
    </dxf>
    <dxf>
      <font>
        <color theme="1"/>
      </font>
      <fill>
        <patternFill>
          <bgColor rgb="FF00B0F0"/>
        </patternFill>
      </fill>
      <border>
        <bottom style="dashed">
          <color auto="1"/>
        </bottom>
        <vertical/>
        <horizontal/>
      </border>
    </dxf>
    <dxf>
      <font>
        <color theme="1"/>
      </font>
      <fill>
        <patternFill>
          <bgColor rgb="FF00B0F0"/>
        </patternFill>
      </fill>
      <border>
        <bottom style="dashed">
          <color auto="1"/>
        </bottom>
        <vertical/>
        <horizontal/>
      </border>
    </dxf>
    <dxf>
      <font>
        <color theme="1"/>
      </font>
      <fill>
        <patternFill>
          <bgColor rgb="FF00B0F0"/>
        </patternFill>
      </fill>
      <border>
        <bottom style="dashed">
          <color auto="1"/>
        </bottom>
        <vertical/>
        <horizontal/>
      </border>
    </dxf>
    <dxf>
      <font>
        <color theme="1"/>
      </font>
      <fill>
        <patternFill>
          <bgColor rgb="FF00B0F0"/>
        </patternFill>
      </fill>
      <border>
        <bottom style="dashed">
          <color auto="1"/>
        </bottom>
        <vertical/>
        <horizontal/>
      </border>
    </dxf>
    <dxf>
      <font>
        <color theme="1"/>
      </font>
      <fill>
        <patternFill>
          <bgColor rgb="FF00B0F0"/>
        </patternFill>
      </fill>
      <border>
        <bottom style="dashed">
          <color auto="1"/>
        </bottom>
        <vertical/>
        <horizontal/>
      </border>
    </dxf>
    <dxf>
      <font>
        <color theme="1"/>
      </font>
      <fill>
        <patternFill>
          <bgColor rgb="FF00B0F0"/>
        </patternFill>
      </fill>
      <border>
        <bottom style="dashed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none"/>
      </font>
      <fill>
        <patternFill patternType="solid">
          <fgColor indexed="64"/>
          <bgColor rgb="FF004F9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protection locked="0" hidden="1"/>
    </dxf>
    <dxf>
      <font>
        <strike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protection locked="0" hidden="1"/>
    </dxf>
    <dxf>
      <font>
        <strike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protection locked="0" hidden="1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entury Gothic"/>
        <family val="2"/>
        <scheme val="none"/>
      </font>
      <fill>
        <patternFill patternType="solid">
          <fgColor indexed="64"/>
          <bgColor rgb="FF004F9F"/>
        </patternFill>
      </fill>
      <border diagonalUp="0" diagonalDown="0">
        <left/>
        <right/>
        <top/>
        <bottom/>
      </border>
      <protection hidden="1"/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entury Gothic"/>
        <family val="2"/>
        <scheme val="none"/>
      </font>
      <fill>
        <patternFill patternType="solid">
          <fgColor indexed="64"/>
          <bgColor rgb="FF004F9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entury Gothic"/>
        <family val="2"/>
        <scheme val="none"/>
      </font>
      <numFmt numFmtId="19" formatCode="m/d/yyyy"/>
      <fill>
        <patternFill patternType="none">
          <fgColor rgb="FF000000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entury Gothic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entury Gothic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entury Gothic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entury Gothic"/>
        <family val="2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indexed="64"/>
        </left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right style="thin">
          <color indexed="64"/>
        </right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164" formatCode="mmm\ d\ \ h:mm\ AM/PM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25" formatCode="h:mm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21" formatCode="d\-mmm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center" vertical="center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entury Gothic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indent="0" justifyLastLine="0" shrinkToFit="0" readingOrder="0"/>
      <protection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none"/>
      </font>
      <fill>
        <patternFill patternType="none">
          <fgColor indexed="64"/>
          <bgColor rgb="FF004F9F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none"/>
      </font>
      <fill>
        <patternFill patternType="solid">
          <fgColor indexed="64"/>
          <bgColor rgb="FF004F9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protection locked="0" hidden="1"/>
    </dxf>
    <dxf>
      <font>
        <strike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protection locked="0" hidden="1"/>
    </dxf>
    <dxf>
      <font>
        <strike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protection locked="0" hidden="1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entury Gothic"/>
        <family val="2"/>
        <scheme val="none"/>
      </font>
      <fill>
        <patternFill patternType="solid">
          <fgColor indexed="64"/>
          <bgColor rgb="FF004F9F"/>
        </patternFill>
      </fill>
      <border diagonalUp="0" diagonalDown="0">
        <left/>
        <right/>
        <top/>
        <bottom/>
      </border>
      <protection hidden="1"/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entury Gothic"/>
        <family val="2"/>
        <scheme val="none"/>
      </font>
      <fill>
        <patternFill patternType="solid">
          <fgColor indexed="64"/>
          <bgColor rgb="FF004F9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entury Gothic"/>
        <family val="2"/>
        <scheme val="none"/>
      </font>
      <numFmt numFmtId="19" formatCode="m/d/yyyy"/>
      <fill>
        <patternFill patternType="none">
          <fgColor rgb="FF000000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entury Gothic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entury Gothic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entury Gothic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entury Gothic"/>
        <family val="2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indexed="64"/>
        </left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right style="thin">
          <color indexed="64"/>
        </right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164" formatCode="mmm\ d\ \ h:mm\ AM/PM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25" formatCode="h:mm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21" formatCode="d\-mmm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center" vertical="center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entury Gothic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indent="0" justifyLastLine="0" shrinkToFit="0" readingOrder="0"/>
      <protection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none"/>
      </font>
      <fill>
        <patternFill patternType="none">
          <fgColor indexed="64"/>
          <bgColor rgb="FF004F9F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none"/>
      </font>
      <fill>
        <patternFill patternType="solid">
          <fgColor indexed="64"/>
          <bgColor rgb="FF004F9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protection locked="0" hidden="1"/>
    </dxf>
    <dxf>
      <font>
        <strike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protection locked="0" hidden="1"/>
    </dxf>
    <dxf>
      <font>
        <strike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protection locked="0" hidden="1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entury Gothic"/>
        <family val="2"/>
        <scheme val="none"/>
      </font>
      <fill>
        <patternFill patternType="solid">
          <fgColor indexed="64"/>
          <bgColor rgb="FF004F9F"/>
        </patternFill>
      </fill>
      <border diagonalUp="0" diagonalDown="0">
        <left/>
        <right/>
        <top/>
        <bottom/>
      </border>
      <protection hidden="1"/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entury Gothic"/>
        <family val="2"/>
        <scheme val="none"/>
      </font>
      <fill>
        <patternFill patternType="solid">
          <fgColor indexed="64"/>
          <bgColor rgb="FF004F9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entury Gothic"/>
        <family val="2"/>
        <scheme val="none"/>
      </font>
      <numFmt numFmtId="19" formatCode="m/d/yyyy"/>
      <fill>
        <patternFill patternType="none">
          <fgColor rgb="FF000000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entury Gothic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entury Gothic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entury Gothic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entury Gothic"/>
        <family val="2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indexed="64"/>
        </left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right style="thin">
          <color indexed="64"/>
        </right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164" formatCode="mmm\ d\ \ h:mm\ AM/PM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25" formatCode="h:mm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21" formatCode="d\-mmm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center" vertical="center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entury Gothic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indent="0" justifyLastLine="0" shrinkToFit="0" readingOrder="0"/>
      <protection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none"/>
      </font>
      <fill>
        <patternFill patternType="none">
          <fgColor indexed="64"/>
          <bgColor rgb="FF004F9F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none"/>
      </font>
      <fill>
        <patternFill patternType="solid">
          <fgColor indexed="64"/>
          <bgColor rgb="FF004F9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protection locked="0" hidden="1"/>
    </dxf>
    <dxf>
      <font>
        <strike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protection locked="0" hidden="1"/>
    </dxf>
    <dxf>
      <font>
        <strike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protection locked="0" hidden="1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entury Gothic"/>
        <family val="2"/>
        <scheme val="none"/>
      </font>
      <fill>
        <patternFill patternType="solid">
          <fgColor indexed="64"/>
          <bgColor rgb="FF004F9F"/>
        </patternFill>
      </fill>
      <border diagonalUp="0" diagonalDown="0">
        <left/>
        <right/>
        <top/>
        <bottom/>
      </border>
      <protection hidden="1"/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entury Gothic"/>
        <family val="2"/>
        <scheme val="none"/>
      </font>
      <fill>
        <patternFill patternType="solid">
          <fgColor indexed="64"/>
          <bgColor rgb="FF004F9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entury Gothic"/>
        <family val="2"/>
        <scheme val="none"/>
      </font>
      <numFmt numFmtId="19" formatCode="m/d/yyyy"/>
      <fill>
        <patternFill patternType="none">
          <fgColor rgb="FF000000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entury Gothic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entury Gothic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entury Gothic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entury Gothic"/>
        <family val="2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indexed="64"/>
        </left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right style="thin">
          <color indexed="64"/>
        </right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164" formatCode="mmm\ d\ \ h:mm\ AM/PM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25" formatCode="h:mm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21" formatCode="d\-mmm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center" vertical="center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entury Gothic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indent="0" justifyLastLine="0" shrinkToFit="0" readingOrder="0"/>
      <protection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none"/>
      </font>
      <fill>
        <patternFill patternType="none">
          <fgColor indexed="64"/>
          <bgColor rgb="FF004F9F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none"/>
      </font>
      <fill>
        <patternFill patternType="solid">
          <fgColor indexed="64"/>
          <bgColor rgb="FF004F9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protection locked="0" hidden="1"/>
    </dxf>
    <dxf>
      <font>
        <strike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protection locked="0" hidden="1"/>
    </dxf>
    <dxf>
      <font>
        <strike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protection locked="0" hidden="1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entury Gothic"/>
        <family val="2"/>
        <scheme val="none"/>
      </font>
      <fill>
        <patternFill patternType="solid">
          <fgColor indexed="64"/>
          <bgColor rgb="FF004F9F"/>
        </patternFill>
      </fill>
      <border diagonalUp="0" diagonalDown="0">
        <left/>
        <right/>
        <top/>
        <bottom/>
      </border>
      <protection hidden="1"/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entury Gothic"/>
        <family val="2"/>
        <scheme val="none"/>
      </font>
      <fill>
        <patternFill patternType="solid">
          <fgColor indexed="64"/>
          <bgColor rgb="FF004F9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entury Gothic"/>
        <family val="2"/>
        <scheme val="none"/>
      </font>
      <numFmt numFmtId="19" formatCode="m/d/yyyy"/>
      <fill>
        <patternFill patternType="none">
          <fgColor rgb="FF000000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entury Gothic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entury Gothic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entury Gothic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entury Gothic"/>
        <family val="2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indexed="64"/>
        </left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right style="thin">
          <color indexed="64"/>
        </right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164" formatCode="mmm\ d\ \ h:mm\ AM/PM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25" formatCode="h:mm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21" formatCode="d\-mmm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center" vertical="center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entury Gothic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indent="0" justifyLastLine="0" shrinkToFit="0" readingOrder="0"/>
      <protection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none"/>
      </font>
      <fill>
        <patternFill patternType="none">
          <fgColor indexed="64"/>
          <bgColor rgb="FF004F9F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none"/>
      </font>
      <fill>
        <patternFill patternType="solid">
          <fgColor indexed="64"/>
          <bgColor rgb="FF004F9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protection locked="0" hidden="1"/>
    </dxf>
    <dxf>
      <font>
        <strike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protection locked="0" hidden="1"/>
    </dxf>
    <dxf>
      <font>
        <strike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protection locked="0" hidden="1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entury Gothic"/>
        <family val="2"/>
        <scheme val="none"/>
      </font>
      <fill>
        <patternFill patternType="solid">
          <fgColor indexed="64"/>
          <bgColor rgb="FF004F9F"/>
        </patternFill>
      </fill>
      <border diagonalUp="0" diagonalDown="0">
        <left/>
        <right/>
        <top/>
        <bottom/>
      </border>
      <protection hidden="1"/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entury Gothic"/>
        <family val="2"/>
        <scheme val="none"/>
      </font>
      <fill>
        <patternFill patternType="solid">
          <fgColor indexed="64"/>
          <bgColor rgb="FF004F9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19" formatCode="m/d/yyyy"/>
      <fill>
        <patternFill patternType="none">
          <fgColor rgb="FF000000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entury Gothic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entury Gothic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entury Gothic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entury Gothic"/>
        <family val="2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164" formatCode="mmm\ d\ \ h:mm\ AM/PM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25" formatCode="h:mm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21" formatCode="d\-mmm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center" vertical="center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entury Gothic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indent="0" justifyLastLine="0" shrinkToFit="0" readingOrder="0"/>
      <protection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none"/>
      </font>
      <fill>
        <patternFill patternType="none">
          <fgColor indexed="64"/>
          <bgColor rgb="FF004F9F"/>
        </patternFill>
      </fill>
      <alignment vertical="center" textRotation="0" indent="0" justifyLastLine="0" shrinkToFit="0" readingOrder="0"/>
    </dxf>
  </dxfs>
  <tableStyles count="0" defaultTableStyle="TableStyleMedium2" defaultPivotStyle="PivotStyleLight16"/>
  <colors>
    <mruColors>
      <color rgb="FF004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06/relationships/rdRichValue" Target="richData/rdrichvalue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47626</xdr:rowOff>
    </xdr:from>
    <xdr:to>
      <xdr:col>0</xdr:col>
      <xdr:colOff>1571625</xdr:colOff>
      <xdr:row>0</xdr:row>
      <xdr:rowOff>1501339</xdr:rowOff>
    </xdr:to>
    <xdr:pic>
      <xdr:nvPicPr>
        <xdr:cNvPr id="4" name="Picture 3" descr="A blue background with a white vase and text&#10;&#10;Description automatically generated">
          <a:extLst>
            <a:ext uri="{FF2B5EF4-FFF2-40B4-BE49-F238E27FC236}">
              <a16:creationId xmlns:a16="http://schemas.microsoft.com/office/drawing/2014/main" id="{D347E9EC-ECCF-476D-FD6C-DCC1B61C1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47626"/>
          <a:ext cx="1362075" cy="1453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47626</xdr:rowOff>
    </xdr:from>
    <xdr:to>
      <xdr:col>0</xdr:col>
      <xdr:colOff>1571625</xdr:colOff>
      <xdr:row>0</xdr:row>
      <xdr:rowOff>1501339</xdr:rowOff>
    </xdr:to>
    <xdr:pic>
      <xdr:nvPicPr>
        <xdr:cNvPr id="2" name="Picture 1" descr="A blue background with a white vase and text&#10;&#10;Description automatically generated">
          <a:extLst>
            <a:ext uri="{FF2B5EF4-FFF2-40B4-BE49-F238E27FC236}">
              <a16:creationId xmlns:a16="http://schemas.microsoft.com/office/drawing/2014/main" id="{0AF296B2-B3D6-4CEF-B736-BB69267BF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47626"/>
          <a:ext cx="1362075" cy="1453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47626</xdr:rowOff>
    </xdr:from>
    <xdr:to>
      <xdr:col>0</xdr:col>
      <xdr:colOff>1571625</xdr:colOff>
      <xdr:row>0</xdr:row>
      <xdr:rowOff>1501339</xdr:rowOff>
    </xdr:to>
    <xdr:pic>
      <xdr:nvPicPr>
        <xdr:cNvPr id="2" name="Picture 1" descr="A blue background with a white vase and text&#10;&#10;Description automatically generated">
          <a:extLst>
            <a:ext uri="{FF2B5EF4-FFF2-40B4-BE49-F238E27FC236}">
              <a16:creationId xmlns:a16="http://schemas.microsoft.com/office/drawing/2014/main" id="{4164DE03-86F5-4FA1-B8B8-1E1FF8098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47626"/>
          <a:ext cx="1362075" cy="1453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47626</xdr:rowOff>
    </xdr:from>
    <xdr:to>
      <xdr:col>0</xdr:col>
      <xdr:colOff>1571625</xdr:colOff>
      <xdr:row>0</xdr:row>
      <xdr:rowOff>1501339</xdr:rowOff>
    </xdr:to>
    <xdr:pic>
      <xdr:nvPicPr>
        <xdr:cNvPr id="2" name="Picture 1" descr="A blue background with a white vase and text&#10;&#10;Description automatically generated">
          <a:extLst>
            <a:ext uri="{FF2B5EF4-FFF2-40B4-BE49-F238E27FC236}">
              <a16:creationId xmlns:a16="http://schemas.microsoft.com/office/drawing/2014/main" id="{1A58E7BE-C162-4940-9D2F-47DE9FE0F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47626"/>
          <a:ext cx="1362075" cy="1453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47626</xdr:rowOff>
    </xdr:from>
    <xdr:to>
      <xdr:col>0</xdr:col>
      <xdr:colOff>1571625</xdr:colOff>
      <xdr:row>0</xdr:row>
      <xdr:rowOff>1501339</xdr:rowOff>
    </xdr:to>
    <xdr:pic>
      <xdr:nvPicPr>
        <xdr:cNvPr id="2" name="Picture 1" descr="A blue background with a white vase and text&#10;&#10;Description automatically generated">
          <a:extLst>
            <a:ext uri="{FF2B5EF4-FFF2-40B4-BE49-F238E27FC236}">
              <a16:creationId xmlns:a16="http://schemas.microsoft.com/office/drawing/2014/main" id="{9D0D0D08-7BED-4321-B4E5-25A342388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47626"/>
          <a:ext cx="1362075" cy="1453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47626</xdr:rowOff>
    </xdr:from>
    <xdr:to>
      <xdr:col>0</xdr:col>
      <xdr:colOff>1571625</xdr:colOff>
      <xdr:row>0</xdr:row>
      <xdr:rowOff>1501339</xdr:rowOff>
    </xdr:to>
    <xdr:pic>
      <xdr:nvPicPr>
        <xdr:cNvPr id="2" name="Picture 1" descr="A blue background with a white vase and text&#10;&#10;Description automatically generated">
          <a:extLst>
            <a:ext uri="{FF2B5EF4-FFF2-40B4-BE49-F238E27FC236}">
              <a16:creationId xmlns:a16="http://schemas.microsoft.com/office/drawing/2014/main" id="{AE16D602-2A34-4551-8A6E-DE1568953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47626"/>
          <a:ext cx="1362075" cy="1453713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6587EB8-D042-44AA-A12E-AB1253C0CD28}" name="tblActuals" displayName="tblActuals" ref="B3:AC39" totalsRowShown="0" headerRowDxfId="408" dataDxfId="407">
  <sortState xmlns:xlrd2="http://schemas.microsoft.com/office/spreadsheetml/2017/richdata2" ref="B4:W51">
    <sortCondition ref="B3:B51"/>
  </sortState>
  <tableColumns count="28">
    <tableColumn id="20" xr3:uid="{51ACAC18-1E41-4DD8-9254-B1C725723032}" name="GAME #" dataDxfId="406"/>
    <tableColumn id="1" xr3:uid="{7768B9F1-B61E-4827-B34F-C48196B0E4B3}" name="GROUP" dataDxfId="405"/>
    <tableColumn id="2" xr3:uid="{7AF81D13-65B6-4B91-A5BD-2AB906A7D5D0}" name="DATE" dataDxfId="404"/>
    <tableColumn id="3" xr3:uid="{249ED004-B241-4E6B-B9BE-EF716AA3635B}" name="LOCATION" dataDxfId="403"/>
    <tableColumn id="4" xr3:uid="{942E226B-3664-427F-A7FB-3CDA321DE401}" name="TIME" dataDxfId="402"/>
    <tableColumn id="14" xr3:uid="{6AF9267A-7FA3-4147-8A0A-17D9825C00E6}" name="YOUR LOCAL TIME" dataDxfId="401">
      <calculatedColumnFormula>(D4+F4)+IF($A$7&gt;=0,TIMEVALUE($A$7&amp;":00"),-TIMEVALUE(ABS($A$7)&amp;":00"))</calculatedColumnFormula>
    </tableColumn>
    <tableColumn id="5" xr3:uid="{D37B0F9C-90B2-4183-8749-E6811BE7C390}" name="TEAMS" dataDxfId="400"/>
    <tableColumn id="6" xr3:uid="{D2141861-6741-4657-B253-ADB19EC88389}" name="SCORE" dataDxfId="399"/>
    <tableColumn id="15" xr3:uid="{DC63BFB3-3239-421F-A4F8-BA42864E7CFB}" name="EXTRA TIME" dataDxfId="398"/>
    <tableColumn id="21" xr3:uid="{26858D73-118D-4982-90DC-88BB83E836CF}" name="PENALTIES" dataDxfId="397"/>
    <tableColumn id="7" xr3:uid="{7154BBE6-DF0A-491E-9CB5-337310BF5AFD}" name="WINNER / RESULT" dataDxfId="396">
      <calculatedColumnFormula>IF(tblActuals[[#This Row],[SCORE]]="","",IF(Q4=R4,"Draw",IF(Q4&gt;R4,M4,N4)))</calculatedColumnFormula>
    </tableColumn>
    <tableColumn id="8" xr3:uid="{086C1FD5-AFFF-4408-B04C-50A405DE24A2}" name="Team 1" dataDxfId="395">
      <calculatedColumnFormula>IF(tblActuals[[#This Row],[TEAMS]]="","",LEFT(H4,FIND(" -",H4,1)-1))</calculatedColumnFormula>
    </tableColumn>
    <tableColumn id="9" xr3:uid="{CD7D089A-DFA6-46C4-8D35-5388D2954822}" name="Team 2" dataDxfId="394">
      <calculatedColumnFormula>IF(tblActuals[[#This Row],[TEAMS]]="","",MID(H4,FIND("-",H4,1)+2,LEN(H4)-FIND("-",H4,1)+2))</calculatedColumnFormula>
    </tableColumn>
    <tableColumn id="12" xr3:uid="{BD21CDDA-A896-4046-8803-7D3C066C4419}" name="Winner" dataDxfId="393">
      <calculatedColumnFormula>IF(tblActuals[[#This Row],[Team 1 Goals]]&gt;tblActuals[[#This Row],[Team 2 Goals]],tblActuals[[#This Row],[Team 1]],IF(tblActuals[[#This Row],[Team 2 Goals]]&gt;tblActuals[[#This Row],[Team 1 Goals]],tblActuals[[#This Row],[Team 2]],""))</calculatedColumnFormula>
    </tableColumn>
    <tableColumn id="13" xr3:uid="{C31512AD-9C64-45EB-BB27-974E5C46C71F}" name="Loser" dataDxfId="392">
      <calculatedColumnFormula>IF(tblActuals[[#This Row],[Winner]]=tblActuals[[#This Row],[Team 1]],tblActuals[[#This Row],[Team 2]],IF(tblActuals[[#This Row],[Winner]]=tblActuals[[#This Row],[Team 2]],tblActuals[[#This Row],[Team 1]],""))</calculatedColumnFormula>
    </tableColumn>
    <tableColumn id="10" xr3:uid="{19449255-038C-4972-8824-29B9395813C1}" name="Team 1 Goals" dataDxfId="391">
      <calculatedColumnFormula>IF(tblActuals[[#This Row],[SCORE]]="","",LEFT(I4,FIND(":",I4,1)-1)*1)</calculatedColumnFormula>
    </tableColumn>
    <tableColumn id="11" xr3:uid="{D0A0AFAD-A4A4-45C4-907A-FC7686A4A5E3}" name="Team 2 Goals" dataDxfId="390">
      <calculatedColumnFormula>IF(tblActuals[[#This Row],[SCORE]]="","",MID(I4,FIND(":",I4,1)+1,LEN(I4)-FIND(":",I4,1)+1)*1)</calculatedColumnFormula>
    </tableColumn>
    <tableColumn id="18" xr3:uid="{462CABB4-41B7-490D-8730-2B75A5FF9EC5}" name="Team 1 GD" dataDxfId="389">
      <calculatedColumnFormula>IF(OR(tblActuals[[#This Row],[Team 1 Goals]]="",tblActuals[[#This Row],[Team 2 Goals]]=""),"",tblActuals[[#This Row],[Team 1 Goals]]-tblActuals[[#This Row],[Team 2 Goals]])</calculatedColumnFormula>
    </tableColumn>
    <tableColumn id="19" xr3:uid="{CDCFFB00-D7DB-4897-A997-C0B8058FC005}" name="Team 2 GD" dataDxfId="388">
      <calculatedColumnFormula>IF(OR(tblActuals[[#This Row],[Team 1 Goals]]="",tblActuals[[#This Row],[Team 2 Goals]]=""),"",tblActuals[[#This Row],[Team 2 Goals]]-tblActuals[[#This Row],[Team 1 Goals]])</calculatedColumnFormula>
    </tableColumn>
    <tableColumn id="16" xr3:uid="{912A0E0C-1C3F-48A0-A0CD-66029BE19A7F}" name="Team 1 Points" dataDxfId="387">
      <calculatedColumnFormula>IF(tblActuals[[#This Row],[SCORE]]="","",IF(tblActuals[[#This Row],[WINNER / RESULT]]="Draw",1,IF(tblActuals[[#This Row],[WINNER / RESULT]]=tblActuals[[#This Row],[Team 1]],3,0)))</calculatedColumnFormula>
    </tableColumn>
    <tableColumn id="17" xr3:uid="{2C509A51-F753-4252-91B6-8C9B8A39ADB9}" name="Team 2 Points" dataDxfId="386">
      <calculatedColumnFormula>IF(tblActuals[[#This Row],[SCORE]]="","",IF(tblActuals[[#This Row],[WINNER / RESULT]]="Draw",1,IF(tblActuals[[#This Row],[WINNER / RESULT]]=tblActuals[[#This Row],[Team 2]],3,0)))</calculatedColumnFormula>
    </tableColumn>
    <tableColumn id="22" xr3:uid="{6CD03299-22C9-4E2D-88D5-082799C94AF5}" name="Team 1 ET Goals" dataDxfId="385"/>
    <tableColumn id="23" xr3:uid="{59C7DE8B-2C0B-493F-8233-C663FD9C31C9}" name="Team 2 ET Goals" dataDxfId="384"/>
    <tableColumn id="24" xr3:uid="{58F2ACBE-A358-4D31-89FE-C27D92B74984}" name="Team 1 Penalties" dataDxfId="383"/>
    <tableColumn id="25" xr3:uid="{43494713-1503-44FC-A868-434CADA8DFF6}" name="Team 2 Penalties" dataDxfId="382"/>
    <tableColumn id="27" xr3:uid="{29023B9A-FE0C-4423-B374-163766EA5ECC}" name="Score (Before Penalties)" dataDxfId="381">
      <calculatedColumnFormula>tblActuals[[#This Row],[Team 1 Goals]]+tblActuals[[#This Row],[Team 1 ET Goals]]&amp;":"&amp;tblActuals[[#This Row],[Team 2 Goals]]+tblActuals[[#This Row],[Team 2 ET Goals]]</calculatedColumnFormula>
    </tableColumn>
    <tableColumn id="26" xr3:uid="{01FAFEEE-892D-43D9-8C23-91DDF56BFBB6}" name="Total Goals" dataDxfId="380">
      <calculatedColumnFormula>+tblActuals[[#This Row],[Team 1 Goals]]+tblActuals[[#This Row],[Team 2 Goals]]</calculatedColumnFormula>
    </tableColumn>
    <tableColumn id="28" xr3:uid="{278ABC5C-3753-4A26-845A-26E7045A57A4}" name="USER DAY" dataDxfId="379">
      <calculatedColumnFormula>DATE(YEAR(G4),MONTH(G4),DAY(G4))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CF022A5-463E-4916-8EAE-CA0D8BB283A6}" name="Table3710" displayName="Table3710" ref="A8:A16" totalsRowShown="0" headerRowDxfId="378" dataDxfId="377">
  <tableColumns count="1">
    <tableColumn id="1" xr3:uid="{7B1762CA-0C92-4620-94B7-7A9371B272C6}" name="Watchlist" dataDxfId="376"/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DB0625D-507D-43D9-A19C-2EB7BE5DA7D7}" name="Table4811" displayName="Table4811" ref="GI3:GJ21" insertRowShift="1" totalsRowShown="0" headerRowDxfId="375" dataDxfId="373" headerRowBorderDxfId="374">
  <sortState xmlns:xlrd2="http://schemas.microsoft.com/office/spreadsheetml/2017/richdata2" ref="GI4:GJ21">
    <sortCondition ref="GJ3:GJ21"/>
  </sortState>
  <tableColumns count="2">
    <tableColumn id="1" xr3:uid="{91E46BA3-B22C-49AB-B5CE-9675BBBDEA33}" name="Team" dataDxfId="372"/>
    <tableColumn id="2" xr3:uid="{875FC17F-42B9-405E-91E7-9D0683680A80}" name="Override" dataDxfId="371"/>
  </tableColumns>
  <tableStyleInfo name="TableStyleMedium2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6AFB75-EE1A-4BD5-BFD2-4A2DA08AACE8}" name="Table1" displayName="Table1" ref="GL3:GL9" totalsRowShown="0" headerRowDxfId="370" dataDxfId="368" headerRowBorderDxfId="369" tableBorderDxfId="367">
  <tableColumns count="1">
    <tableColumn id="1" xr3:uid="{B6F6E01E-F15C-41DF-B219-7CD313130B7E}" name="Rankings" dataDxfId="36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9C0C20-4304-47D0-B408-7A3FFF04E2A7}" name="tblActuals354" displayName="tblActuals354" ref="B3:AN39" totalsRowShown="0" headerRowDxfId="365" dataDxfId="364">
  <sortState xmlns:xlrd2="http://schemas.microsoft.com/office/spreadsheetml/2017/richdata2" ref="B4:AH51">
    <sortCondition ref="B3:B51"/>
  </sortState>
  <tableColumns count="39">
    <tableColumn id="20" xr3:uid="{F91B4F73-13ED-451B-94A2-3F7C54DC19EB}" name="GAME #" dataDxfId="363"/>
    <tableColumn id="1" xr3:uid="{CDB9940F-AF2B-4552-9204-164BE716DC0A}" name="GROUP" dataDxfId="362"/>
    <tableColumn id="2" xr3:uid="{94C94DBF-6E2B-44A2-B3EC-D31FB0C9169D}" name="DATE" dataDxfId="361"/>
    <tableColumn id="3" xr3:uid="{80A6DA6D-5ABF-47B7-BDBF-A724F3F6364F}" name="LOCATION" dataDxfId="360"/>
    <tableColumn id="4" xr3:uid="{07C1027B-7FD6-4440-A2E7-1619817DC4D5}" name="TIME" dataDxfId="359"/>
    <tableColumn id="14" xr3:uid="{0EDB0326-DF0C-47C3-A7B4-4CE3191CBC7E}" name="YOUR LOCAL TIME" dataDxfId="358">
      <calculatedColumnFormula>(D4+F4)+IF($A$7&gt;=0,TIMEVALUE($A$7&amp;":00"),-TIMEVALUE(ABS($A$7)&amp;":00"))</calculatedColumnFormula>
    </tableColumn>
    <tableColumn id="5" xr3:uid="{897E68F6-06DE-4CE1-A745-3D0F76EADB6B}" name="TEAMS" dataDxfId="357"/>
    <tableColumn id="6" xr3:uid="{BFF581A4-3008-4930-B9A2-C4663148E727}" name="SCORE" dataDxfId="356"/>
    <tableColumn id="15" xr3:uid="{072FB264-78D8-4DAC-8398-9C7CADB91C44}" name="EXTRA TIME" dataDxfId="355"/>
    <tableColumn id="21" xr3:uid="{DB2A420A-EAD4-47EC-A7ED-FEA20A7525EB}" name="PENALTIES" dataDxfId="354"/>
    <tableColumn id="29" xr3:uid="{7A7A1D8A-036F-4FDF-BB9E-D98AC2871F34}" name="PREDICTION POINTS EARNED" dataDxfId="353">
      <calculatedColumnFormula>IF(I4="",0,IFERROR(IF(SCORING.RULES!$C$8="No",1,((VLOOKUP($B4,ACTUALS!$B$4:$L$100,7,FALSE)=$H4)+(VLOOKUP($B4,ACTUALS!$B$4:$L$100,7,FALSE)=S4)))*(M4+N4+O4+P4+Q4),0))+$R4</calculatedColumnFormula>
    </tableColumn>
    <tableColumn id="30" xr3:uid="{E4B6B75C-883E-4168-B588-A7A34CC02C4A}" name="CORRECT SCORE" dataDxfId="352">
      <calculatedColumnFormula>IFERROR(IF($B4="","",IF(AL4=INDEX(ACTUALS!$AA$4:$AA$100,MATCH($B4,ACTUALS!$B$4:$B$100,0),1),CorrectScore,0)),0)</calculatedColumnFormula>
    </tableColumn>
    <tableColumn id="31" xr3:uid="{394D2A72-3A72-49AE-9BAD-1E85D06B171E}" name="CORRECT # OF TOTAL GOALS" dataDxfId="351">
      <calculatedColumnFormula>IFERROR(IF(I4="","",IF(INDEX(ACTUALS!$AB$4:$AB$100,MATCH($B4,ACTUALS!$B$4:$B$100,0),1)=(AB4+AC4+AH4+AI4),CorrectNumberofGoals,0)),0)</calculatedColumnFormula>
    </tableColumn>
    <tableColumn id="32" xr3:uid="{B6E71444-F91E-4ED1-A48F-40D6014A8B6E}" name="CORRECT SCORE (PENALTIES)" dataDxfId="350"/>
    <tableColumn id="33" xr3:uid="{44026102-A73A-41D3-B81A-641647A52381}" name="CORRECT RESULT" dataDxfId="349">
      <calculatedColumnFormula>IFERROR(IF(B4="","",IF(INDEX(ACTUALS!$L$4:$L$100,MATCH($B4,ACTUALS!$B$4:$B$100,0),1)=W4,CorrectResult,0)),0)</calculatedColumnFormula>
    </tableColumn>
    <tableColumn id="34" xr3:uid="{8E0D8B11-D1D6-4036-B242-C3191ABECB3C}" name="SHOOTOUT PREDICTION?" dataDxfId="348"/>
    <tableColumn id="35" xr3:uid="{90C2DCAC-0A78-441D-A6B2-2308133A95F8}" name="CORRECT ROUND" dataDxfId="347"/>
    <tableColumn id="36" xr3:uid="{C8C39462-592C-4110-8AE2-8BA704B6A1DA}" name="INVERTED MATCH" dataDxfId="346">
      <calculatedColumnFormula>IF(OR($H4="",$B4&lt;37),"",RIGHT($H4,LEN($H4)-FIND("-",$H4,1)-1)&amp;" - "&amp;LEFT($H4,FIND("-",$H4,1)-2))</calculatedColumnFormula>
    </tableColumn>
    <tableColumn id="37" xr3:uid="{433139F8-9887-484D-9B2F-62C76B48FE47}" name="WRONG ORDER?" dataDxfId="345"/>
    <tableColumn id="38" xr3:uid="{2EF226DB-B7B7-4BEE-8331-901AF4AAF91F}" name="SCORE (BEFORE PENALTIES)" dataDxfId="344">
      <calculatedColumnFormula>IF($I4="","",IF($T4="Y",AC4+AI4&amp;":"&amp;AB4+AH4,AB4+AH4&amp;":"&amp;AC4+AI4))</calculatedColumnFormula>
    </tableColumn>
    <tableColumn id="39" xr3:uid="{2D717703-5544-49BF-AF82-AE0789C13F32}" name="LOOKUP PENALTY SCORE" dataDxfId="343">
      <calculatedColumnFormula>IF($K4="","",IF($T4="Y",$AK4&amp;":"&amp;$AJ4,$AJ4&amp;":"&amp;$AK4))</calculatedColumnFormula>
    </tableColumn>
    <tableColumn id="7" xr3:uid="{34771F4F-6D06-4C20-83CF-F0AC5A67018B}" name="WINNER / RESULT" dataDxfId="342">
      <calculatedColumnFormula>IF(tblActuals354[[#This Row],[SCORE]]="","",IF(AB4=AC4,"Draw",IF(AB4&gt;AC4,X4,Y4)))</calculatedColumnFormula>
    </tableColumn>
    <tableColumn id="8" xr3:uid="{2DB76E55-AEA5-42D3-8F74-2D1BA0F2DE44}" name="Team 1" dataDxfId="341">
      <calculatedColumnFormula>IF(tblActuals354[[#This Row],[TEAMS]]="","",LEFT(H4,FIND(" -",H4,1)-1))</calculatedColumnFormula>
    </tableColumn>
    <tableColumn id="9" xr3:uid="{C425CE0C-4350-4CBB-B167-61017716B317}" name="Team 2" dataDxfId="340">
      <calculatedColumnFormula>IF(tblActuals354[[#This Row],[TEAMS]]="","",MID(H4,FIND("-",H4,1)+2,LEN(H4)-FIND("-",H4,1)+2))</calculatedColumnFormula>
    </tableColumn>
    <tableColumn id="12" xr3:uid="{9BBBD8B8-9C3A-4BBF-A6E7-47819C84CE59}" name="Winner" dataDxfId="339">
      <calculatedColumnFormula>IF(tblActuals354[[#This Row],[Team 1 Goals]]&gt;tblActuals354[[#This Row],[Team 2 Goals]],tblActuals354[[#This Row],[Team 1]],IF(tblActuals354[[#This Row],[Team 2 Goals]]&gt;tblActuals354[[#This Row],[Team 1 Goals]],tblActuals354[[#This Row],[Team 2]],""))</calculatedColumnFormula>
    </tableColumn>
    <tableColumn id="13" xr3:uid="{D210CF91-95A6-4637-BE19-54BFCEC1D39F}" name="Loser" dataDxfId="338">
      <calculatedColumnFormula>IF(tblActuals354[[#This Row],[Winner]]=tblActuals354[[#This Row],[Team 1]],tblActuals354[[#This Row],[Team 2]],IF(tblActuals354[[#This Row],[Winner]]=tblActuals354[[#This Row],[Team 2]],tblActuals354[[#This Row],[Team 1]],""))</calculatedColumnFormula>
    </tableColumn>
    <tableColumn id="10" xr3:uid="{70FC7734-EFFA-47FD-991D-3351BE3875BE}" name="Team 1 Goals" dataDxfId="337">
      <calculatedColumnFormula>IF(tblActuals354[[#This Row],[SCORE]]="","",LEFT(I4,FIND(":",I4,1)-1)*1)</calculatedColumnFormula>
    </tableColumn>
    <tableColumn id="11" xr3:uid="{10980E39-904B-49F7-8ED2-8091D43B54DC}" name="Team 2 Goals" dataDxfId="336">
      <calculatedColumnFormula>IF(tblActuals354[[#This Row],[SCORE]]="","",MID(I4,FIND(":",I4,1)+1,LEN(I4)-FIND(":",I4,1)+1)*1)</calculatedColumnFormula>
    </tableColumn>
    <tableColumn id="18" xr3:uid="{3A8E69EC-62D0-4CA9-A91A-AD465251E1A8}" name="Team 1 GD" dataDxfId="335">
      <calculatedColumnFormula>IF(OR(tblActuals354[[#This Row],[Team 1 Goals]]="",tblActuals354[[#This Row],[Team 2 Goals]]=""),"",tblActuals354[[#This Row],[Team 1 Goals]]-tblActuals354[[#This Row],[Team 2 Goals]])</calculatedColumnFormula>
    </tableColumn>
    <tableColumn id="19" xr3:uid="{C2B1EDC8-7ED3-4ED2-B761-A4627138CCCB}" name="Team 2 GD" dataDxfId="334">
      <calculatedColumnFormula>IF(OR(tblActuals354[[#This Row],[Team 1 Goals]]="",tblActuals354[[#This Row],[Team 2 Goals]]=""),"",tblActuals354[[#This Row],[Team 2 Goals]]-tblActuals354[[#This Row],[Team 1 Goals]])</calculatedColumnFormula>
    </tableColumn>
    <tableColumn id="16" xr3:uid="{649985A0-075E-4114-95E1-FF60D3D92FB7}" name="Team 1 Points" dataDxfId="333">
      <calculatedColumnFormula>IF(tblActuals354[[#This Row],[SCORE]]="","",IF(tblActuals354[[#This Row],[WINNER / RESULT]]="Draw",1,IF(tblActuals354[[#This Row],[WINNER / RESULT]]=tblActuals354[[#This Row],[Team 1]],3,0)))</calculatedColumnFormula>
    </tableColumn>
    <tableColumn id="17" xr3:uid="{F7BF3EAF-0CB6-43AC-9289-9D3443D3EA46}" name="Team 2 Points" dataDxfId="332">
      <calculatedColumnFormula>IF(tblActuals354[[#This Row],[SCORE]]="","",IF(tblActuals354[[#This Row],[WINNER / RESULT]]="Draw",1,IF(tblActuals354[[#This Row],[WINNER / RESULT]]=tblActuals354[[#This Row],[Team 2]],3,0)))</calculatedColumnFormula>
    </tableColumn>
    <tableColumn id="22" xr3:uid="{74179C78-9CDC-49C0-95DB-22AA19B3F6D8}" name="Team 1 ET Goals" dataDxfId="331"/>
    <tableColumn id="23" xr3:uid="{46A2AA33-A6AA-4FA7-827B-967AF55610E1}" name="Team 2 ET Goals" dataDxfId="330"/>
    <tableColumn id="24" xr3:uid="{DCD65569-7474-46E9-BB2E-9248F40CB20B}" name="Team 1 Penalties" dataDxfId="329"/>
    <tableColumn id="25" xr3:uid="{C7B3A767-8424-4A7B-9ED1-0FB64BC916EE}" name="Team 2 Penalties" dataDxfId="328"/>
    <tableColumn id="27" xr3:uid="{0118C0C6-735F-4662-B612-53AD3C02F8E6}" name="Score (Before Penalties)2" dataDxfId="327">
      <calculatedColumnFormula>tblActuals354[[#This Row],[Team 1 Goals]]+tblActuals354[[#This Row],[Team 1 ET Goals]]&amp;":"&amp;tblActuals354[[#This Row],[Team 2 Goals]]+tblActuals354[[#This Row],[Team 2 ET Goals]]</calculatedColumnFormula>
    </tableColumn>
    <tableColumn id="26" xr3:uid="{98C65BF3-D003-4A16-8BCD-DF5768ADED37}" name="Total Goals" dataDxfId="326">
      <calculatedColumnFormula>+tblActuals354[[#This Row],[Team 1 Goals]]+tblActuals354[[#This Row],[Team 2 Goals]]</calculatedColumnFormula>
    </tableColumn>
    <tableColumn id="28" xr3:uid="{B5B5AA36-9F58-43C6-B936-552473D01098}" name="USER DAY" dataDxfId="325">
      <calculatedColumnFormula>DATE(YEAR(G4),MONTH(G4),DAY(G4))</calculatedColumn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039210A-AB7E-4FAC-B216-4327D25189E3}" name="Table3710365" displayName="Table3710365" ref="A8:A16" totalsRowShown="0" headerRowDxfId="324" dataDxfId="323">
  <tableColumns count="1">
    <tableColumn id="1" xr3:uid="{BDA4C40C-93F1-4B1F-BBA9-DB8D9016F08D}" name="Watchlist" dataDxfId="322"/>
  </tableColumns>
  <tableStyleInfo name="TableStyleMedium2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611CBE3-B835-4E81-BF97-3AEF14205E5F}" name="Table4811376" displayName="Table4811376" ref="GS3:GT21" insertRowShift="1" totalsRowShown="0" headerRowDxfId="321" dataDxfId="319" headerRowBorderDxfId="320">
  <sortState xmlns:xlrd2="http://schemas.microsoft.com/office/spreadsheetml/2017/richdata2" ref="GS4:GT21">
    <sortCondition ref="GT3:GT21"/>
  </sortState>
  <tableColumns count="2">
    <tableColumn id="1" xr3:uid="{B8AE1A8C-70FB-4530-A841-B7C34F1FAA34}" name="Team" dataDxfId="318"/>
    <tableColumn id="2" xr3:uid="{D659D2C2-B17D-454F-9B7B-574126B4D144}" name="Override" dataDxfId="317"/>
  </tableColumns>
  <tableStyleInfo name="TableStyleMedium2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1B5DDF9-8EA6-4902-B073-9D84E5BD4613}" name="Table1387" displayName="Table1387" ref="GV3:GV9" totalsRowShown="0" headerRowDxfId="316" dataDxfId="314" headerRowBorderDxfId="315" tableBorderDxfId="313">
  <tableColumns count="1">
    <tableColumn id="1" xr3:uid="{EEFEE81B-8F9F-4CF7-BFA0-CA119925A7C0}" name="Rankings" dataDxfId="31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5B6FC32-3B71-4614-B0F2-888FE22E1912}" name="tblActuals35415" displayName="tblActuals35415" ref="B3:AN39" totalsRowShown="0" headerRowDxfId="311" dataDxfId="310">
  <sortState xmlns:xlrd2="http://schemas.microsoft.com/office/spreadsheetml/2017/richdata2" ref="B4:AH51">
    <sortCondition ref="B3:B51"/>
  </sortState>
  <tableColumns count="39">
    <tableColumn id="20" xr3:uid="{019E13C2-6A8B-42F7-A4AA-D5B115B614D2}" name="GAME #" dataDxfId="309"/>
    <tableColumn id="1" xr3:uid="{22409600-2CA4-469D-8414-77D7D1BF37C3}" name="GROUP" dataDxfId="308"/>
    <tableColumn id="2" xr3:uid="{52A26972-7BDC-41C3-86F2-D01B77EB0E4E}" name="DATE" dataDxfId="307"/>
    <tableColumn id="3" xr3:uid="{B475DF84-3292-4F40-9032-CBB612F0E19F}" name="LOCATION" dataDxfId="306"/>
    <tableColumn id="4" xr3:uid="{7BD65A30-EB6F-43C0-A4E1-6AE7DE6AB984}" name="TIME" dataDxfId="305"/>
    <tableColumn id="14" xr3:uid="{70B08213-AD7A-4AF2-8860-BCEDC75516A3}" name="YOUR LOCAL TIME" dataDxfId="304">
      <calculatedColumnFormula>(D4+F4)+IF($A$7&gt;=0,TIMEVALUE($A$7&amp;":00"),-TIMEVALUE(ABS($A$7)&amp;":00"))</calculatedColumnFormula>
    </tableColumn>
    <tableColumn id="5" xr3:uid="{CBCB8A33-F1A6-4E0A-82F7-814BA073F87E}" name="TEAMS" dataDxfId="303"/>
    <tableColumn id="6" xr3:uid="{4F3D909C-5AB1-46C4-B7A8-F2858F9B453B}" name="SCORE" dataDxfId="302"/>
    <tableColumn id="15" xr3:uid="{37D3C74E-0B15-425E-ABAC-347E62F447CB}" name="EXTRA TIME" dataDxfId="301"/>
    <tableColumn id="21" xr3:uid="{0F9EF558-4508-4BCF-AA48-7CDCA65E040E}" name="PENALTIES" dataDxfId="300"/>
    <tableColumn id="29" xr3:uid="{85A77372-53C3-415B-9B42-806747D136EC}" name="PREDICTION POINTS EARNED" dataDxfId="299">
      <calculatedColumnFormula>IF(I4="",0,IFERROR(IF(SCORING.RULES!$C$8="No",1,((VLOOKUP($B4,ACTUALS!$B$4:$L$100,7,FALSE)=$H4)+(VLOOKUP($B4,ACTUALS!$B$4:$L$100,7,FALSE)=S4)))*(M4+N4+O4+P4+Q4),0))+$R4</calculatedColumnFormula>
    </tableColumn>
    <tableColumn id="30" xr3:uid="{5B067E5F-5949-4848-84C2-7EC3AE01D6C3}" name="CORRECT SCORE" dataDxfId="298">
      <calculatedColumnFormula>IFERROR(IF($B4="","",IF(U4=INDEX(ACTUALS!$AA$4:$AA$100,MATCH($B4,ACTUALS!$B$4:$B$100,0),1),CorrectScore,0)),0)</calculatedColumnFormula>
    </tableColumn>
    <tableColumn id="31" xr3:uid="{3095D7ED-E0F9-4BE6-BC00-E3412033140D}" name="CORRECT # OF TOTAL GOALS" dataDxfId="297">
      <calculatedColumnFormula>IFERROR(IF(I4="","",IF(INDEX(ACTUALS!$AB$4:$AB$100,MATCH($B4,ACTUALS!$B$4:$B$100,0),1)=(AB4+AC4+AH4+AI4),CorrectNumberofGoals,0)),0)</calculatedColumnFormula>
    </tableColumn>
    <tableColumn id="32" xr3:uid="{B9D57780-967D-4D22-848E-8E06077BBA48}" name="CORRECT SCORE (PENALTIES)" dataDxfId="296"/>
    <tableColumn id="33" xr3:uid="{EBD50CA6-C887-4522-A327-633183B52CFE}" name="CORRECT RESULT" dataDxfId="295">
      <calculatedColumnFormula>IFERROR(IF(B4="","",IF(INDEX(ACTUALS!$L$4:$L$100,MATCH($B4,ACTUALS!$B$4:$B$100,0),1)=W4,CorrectResult,0)),0)</calculatedColumnFormula>
    </tableColumn>
    <tableColumn id="34" xr3:uid="{A8DA999B-3947-4B8F-85BD-5C2E150A6308}" name="SHOOTOUT PREDICTION?" dataDxfId="294"/>
    <tableColumn id="35" xr3:uid="{E4A9C6EE-71E4-4492-AA1C-2766F830B929}" name="CORRECT ROUND" dataDxfId="293"/>
    <tableColumn id="36" xr3:uid="{3FF600EC-063E-480A-929E-12E2D78B0847}" name="INVERTED MATCH" dataDxfId="292">
      <calculatedColumnFormula>IF(OR($H4="",$B4&lt;37),"",RIGHT($H4,LEN($H4)-FIND("-",$H4,1)-1)&amp;" - "&amp;LEFT($H4,FIND("-",$H4,1)-2))</calculatedColumnFormula>
    </tableColumn>
    <tableColumn id="37" xr3:uid="{1BFBFC89-8927-41B5-9188-933BDA839617}" name="WRONG ORDER?" dataDxfId="291"/>
    <tableColumn id="38" xr3:uid="{C1B14C0C-34F4-4378-B7E2-BB0AE9019AF3}" name="SCORE (BEFORE PENALTIES)" dataDxfId="290">
      <calculatedColumnFormula>IF($I4="","",IF($T4="Y",AC4+AI4&amp;":"&amp;AB4+AH4,AB4+AH4&amp;":"&amp;AC4+AI4))</calculatedColumnFormula>
    </tableColumn>
    <tableColumn id="39" xr3:uid="{8549A21B-DEDC-4A5C-BDD6-F586ECAEBBE8}" name="LOOKUP PENALTY SCORE" dataDxfId="289">
      <calculatedColumnFormula>IF($K4="","",IF($T4="Y",$AK4&amp;":"&amp;$AJ4,$AJ4&amp;":"&amp;$AK4))</calculatedColumnFormula>
    </tableColumn>
    <tableColumn id="7" xr3:uid="{A64C0879-0B29-4E98-9C68-FE5FBC621E08}" name="WINNER / RESULT" dataDxfId="288">
      <calculatedColumnFormula>IF(tblActuals35415[[#This Row],[SCORE]]="","",IF(AB4=AC4,"Draw",IF(AB4&gt;AC4,X4,Y4)))</calculatedColumnFormula>
    </tableColumn>
    <tableColumn id="8" xr3:uid="{DD7383DF-0647-4198-B650-4FDB2E8EF5B4}" name="Team 1" dataDxfId="287">
      <calculatedColumnFormula>IF(tblActuals35415[[#This Row],[TEAMS]]="","",LEFT(H4,FIND(" -",H4,1)-1))</calculatedColumnFormula>
    </tableColumn>
    <tableColumn id="9" xr3:uid="{DD06EB46-A0B1-432F-AF89-8DC5A1B80F1C}" name="Team 2" dataDxfId="286">
      <calculatedColumnFormula>IF(tblActuals35415[[#This Row],[TEAMS]]="","",MID(H4,FIND("-",H4,1)+2,LEN(H4)-FIND("-",H4,1)+2))</calculatedColumnFormula>
    </tableColumn>
    <tableColumn id="12" xr3:uid="{CDD3DCE4-9966-499B-A0E9-F0093F43D182}" name="Winner" dataDxfId="285">
      <calculatedColumnFormula>IF(tblActuals35415[[#This Row],[Team 1 Goals]]&gt;tblActuals35415[[#This Row],[Team 2 Goals]],tblActuals35415[[#This Row],[Team 1]],IF(tblActuals35415[[#This Row],[Team 2 Goals]]&gt;tblActuals35415[[#This Row],[Team 1 Goals]],tblActuals35415[[#This Row],[Team 2]],""))</calculatedColumnFormula>
    </tableColumn>
    <tableColumn id="13" xr3:uid="{F0CBC82E-57FA-4E59-A679-216DBDFFED9F}" name="Loser" dataDxfId="284">
      <calculatedColumnFormula>IF(tblActuals35415[[#This Row],[Winner]]=tblActuals35415[[#This Row],[Team 1]],tblActuals35415[[#This Row],[Team 2]],IF(tblActuals35415[[#This Row],[Winner]]=tblActuals35415[[#This Row],[Team 2]],tblActuals35415[[#This Row],[Team 1]],""))</calculatedColumnFormula>
    </tableColumn>
    <tableColumn id="10" xr3:uid="{22E40740-0A58-4107-8072-209AA7E2A1CB}" name="Team 1 Goals" dataDxfId="283">
      <calculatedColumnFormula>IF(tblActuals35415[[#This Row],[SCORE]]="","",LEFT(I4,FIND(":",I4,1)-1)*1)</calculatedColumnFormula>
    </tableColumn>
    <tableColumn id="11" xr3:uid="{EE990A67-11EF-42BC-A587-74B9BE5DD898}" name="Team 2 Goals" dataDxfId="282">
      <calculatedColumnFormula>IF(tblActuals35415[[#This Row],[SCORE]]="","",MID(I4,FIND(":",I4,1)+1,LEN(I4)-FIND(":",I4,1)+1)*1)</calculatedColumnFormula>
    </tableColumn>
    <tableColumn id="18" xr3:uid="{1B292DBB-D7D8-410B-87C0-F019EC0D0882}" name="Team 1 GD" dataDxfId="281">
      <calculatedColumnFormula>IF(OR(tblActuals35415[[#This Row],[Team 1 Goals]]="",tblActuals35415[[#This Row],[Team 2 Goals]]=""),"",tblActuals35415[[#This Row],[Team 1 Goals]]-tblActuals35415[[#This Row],[Team 2 Goals]])</calculatedColumnFormula>
    </tableColumn>
    <tableColumn id="19" xr3:uid="{A8C6EB48-0B12-4C3A-8B5C-AE844447D886}" name="Team 2 GD" dataDxfId="280">
      <calculatedColumnFormula>IF(OR(tblActuals35415[[#This Row],[Team 1 Goals]]="",tblActuals35415[[#This Row],[Team 2 Goals]]=""),"",tblActuals35415[[#This Row],[Team 2 Goals]]-tblActuals35415[[#This Row],[Team 1 Goals]])</calculatedColumnFormula>
    </tableColumn>
    <tableColumn id="16" xr3:uid="{89C0F951-CAE2-4EF6-9831-A0B01A0C8785}" name="Team 1 Points" dataDxfId="279">
      <calculatedColumnFormula>IF(tblActuals35415[[#This Row],[SCORE]]="","",IF(tblActuals35415[[#This Row],[WINNER / RESULT]]="Draw",1,IF(tblActuals35415[[#This Row],[WINNER / RESULT]]=tblActuals35415[[#This Row],[Team 1]],3,0)))</calculatedColumnFormula>
    </tableColumn>
    <tableColumn id="17" xr3:uid="{7302F117-7627-440F-8B64-7D288E85F2A3}" name="Team 2 Points" dataDxfId="278">
      <calculatedColumnFormula>IF(tblActuals35415[[#This Row],[SCORE]]="","",IF(tblActuals35415[[#This Row],[WINNER / RESULT]]="Draw",1,IF(tblActuals35415[[#This Row],[WINNER / RESULT]]=tblActuals35415[[#This Row],[Team 2]],3,0)))</calculatedColumnFormula>
    </tableColumn>
    <tableColumn id="22" xr3:uid="{0858D107-1CA8-47D3-859A-DE99DB84AEB5}" name="Team 1 ET Goals" dataDxfId="277"/>
    <tableColumn id="23" xr3:uid="{19E583C5-0604-4DF0-9802-C8E57750C1AB}" name="Team 2 ET Goals" dataDxfId="276"/>
    <tableColumn id="24" xr3:uid="{8BA4A07F-547E-40D7-8008-7E80D5558CCC}" name="Team 1 Penalties" dataDxfId="275"/>
    <tableColumn id="25" xr3:uid="{B69DACAA-01A3-409E-92D9-2DEB92D6C9AD}" name="Team 2 Penalties" dataDxfId="274"/>
    <tableColumn id="27" xr3:uid="{EA53CC82-DEEC-4415-B1B2-284B4B3B7D81}" name="Score (Before Penalties)2" dataDxfId="273">
      <calculatedColumnFormula>tblActuals35415[[#This Row],[Team 1 Goals]]+tblActuals35415[[#This Row],[Team 1 ET Goals]]&amp;":"&amp;tblActuals35415[[#This Row],[Team 2 Goals]]+tblActuals35415[[#This Row],[Team 2 ET Goals]]</calculatedColumnFormula>
    </tableColumn>
    <tableColumn id="26" xr3:uid="{E8F02C39-71D1-4582-BABA-DA2B6698BC20}" name="Total Goals" dataDxfId="272">
      <calculatedColumnFormula>+tblActuals35415[[#This Row],[Team 1 Goals]]+tblActuals35415[[#This Row],[Team 2 Goals]]</calculatedColumnFormula>
    </tableColumn>
    <tableColumn id="28" xr3:uid="{A5D8337B-7A06-4F75-BF64-661B88552460}" name="USER DAY" dataDxfId="271">
      <calculatedColumnFormula>DATE(YEAR(G4),MONTH(G4),DAY(G4))</calculatedColumnFormula>
    </tableColumn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9DB9717-B1E5-4AD3-8783-5056705FFB58}" name="Table371036516" displayName="Table371036516" ref="A8:A16" totalsRowShown="0" headerRowDxfId="270" dataDxfId="269">
  <tableColumns count="1">
    <tableColumn id="1" xr3:uid="{C8D8B753-583C-42AF-9D59-E6F528434AB7}" name="Watchlist" dataDxfId="268"/>
  </tableColumns>
  <tableStyleInfo name="TableStyleMedium2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AB087F3-7364-404F-AF0E-5C2186ADE138}" name="Table481137617" displayName="Table481137617" ref="GS3:GT21" insertRowShift="1" totalsRowShown="0" headerRowDxfId="267" dataDxfId="265" headerRowBorderDxfId="266">
  <sortState xmlns:xlrd2="http://schemas.microsoft.com/office/spreadsheetml/2017/richdata2" ref="GS4:GT21">
    <sortCondition ref="GT3:GT21"/>
  </sortState>
  <tableColumns count="2">
    <tableColumn id="1" xr3:uid="{1800DD91-78D1-4DB2-AE7A-9DE4792F5DCE}" name="Team" dataDxfId="264"/>
    <tableColumn id="2" xr3:uid="{D0CD9786-7901-4D39-82AA-A777DCA909B4}" name="Override" dataDxfId="263"/>
  </tableColumns>
  <tableStyleInfo name="TableStyleMedium23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E5F33DB-FFAE-4265-803A-36FCF2B9CCA5}" name="Table138718" displayName="Table138718" ref="GV3:GV9" totalsRowShown="0" headerRowDxfId="262" dataDxfId="260" headerRowBorderDxfId="261" tableBorderDxfId="259">
  <tableColumns count="1">
    <tableColumn id="1" xr3:uid="{2EC23B19-747D-47B3-BAB5-678F04F6768A}" name="Rankings" dataDxfId="258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16E49E2-94A3-494D-AAF6-483D9DA34039}" name="tblActuals3541519" displayName="tblActuals3541519" ref="B3:AN39" totalsRowShown="0" headerRowDxfId="257" dataDxfId="256">
  <sortState xmlns:xlrd2="http://schemas.microsoft.com/office/spreadsheetml/2017/richdata2" ref="B4:AH51">
    <sortCondition ref="B3:B51"/>
  </sortState>
  <tableColumns count="39">
    <tableColumn id="20" xr3:uid="{9B9AA60E-B608-4770-BABC-90BB40826168}" name="GAME #" dataDxfId="255"/>
    <tableColumn id="1" xr3:uid="{D7D9D6A9-B35E-4F88-AC12-B73395E74D95}" name="GROUP" dataDxfId="254"/>
    <tableColumn id="2" xr3:uid="{3C86DC3D-A6B4-481F-83A0-F6FEE2C4B047}" name="DATE" dataDxfId="253"/>
    <tableColumn id="3" xr3:uid="{91959ADF-8E30-44BE-A5B2-EB9AB7ED2DBF}" name="LOCATION" dataDxfId="252"/>
    <tableColumn id="4" xr3:uid="{1DD75B63-D39F-4BB6-8E1F-ADD4909ADB8F}" name="TIME" dataDxfId="251"/>
    <tableColumn id="14" xr3:uid="{79079613-C027-49BD-A2DD-439B2F62DEB3}" name="YOUR LOCAL TIME" dataDxfId="250">
      <calculatedColumnFormula>(D4+F4)+IF($A$7&gt;=0,TIMEVALUE($A$7&amp;":00"),-TIMEVALUE(ABS($A$7)&amp;":00"))</calculatedColumnFormula>
    </tableColumn>
    <tableColumn id="5" xr3:uid="{A685026E-FACA-4463-BA4E-1152B89113D5}" name="TEAMS" dataDxfId="249"/>
    <tableColumn id="6" xr3:uid="{FAAB45A5-6853-47A6-8C7A-334F6F93E3DF}" name="SCORE" dataDxfId="248"/>
    <tableColumn id="15" xr3:uid="{3129708B-5B44-4934-8E30-4803C6E009C5}" name="EXTRA TIME" dataDxfId="247"/>
    <tableColumn id="21" xr3:uid="{B858532C-EF08-4456-AFEC-0DD87A3EA761}" name="PENALTIES" dataDxfId="246"/>
    <tableColumn id="29" xr3:uid="{66CF19D0-F584-4E17-B6CD-55AEF16F4848}" name="PREDICTION POINTS EARNED" dataDxfId="245">
      <calculatedColumnFormula>IF(I4="",0,IFERROR(IF(SCORING.RULES!$C$8="No",1,((VLOOKUP($B4,ACTUALS!$B$4:$L$100,7,FALSE)=$H4)+(VLOOKUP($B4,ACTUALS!$B$4:$L$100,7,FALSE)=S4)))*(M4+N4+O4+P4+Q4),0))+$R4</calculatedColumnFormula>
    </tableColumn>
    <tableColumn id="30" xr3:uid="{D356E0B0-EA88-46D2-AA85-7A3A1CD18C33}" name="CORRECT SCORE" dataDxfId="244">
      <calculatedColumnFormula>IFERROR(IF($B4="","",IF(U4=INDEX(ACTUALS!$AA$4:$AA$100,MATCH($B4,ACTUALS!$B$4:$B$100,0),1),CorrectScore,0)),0)</calculatedColumnFormula>
    </tableColumn>
    <tableColumn id="31" xr3:uid="{1A4F8145-5F81-4455-B34C-22E8182C7D47}" name="CORRECT # OF TOTAL GOALS" dataDxfId="243">
      <calculatedColumnFormula>IFERROR(IF(I4="","",IF(INDEX(ACTUALS!$AB$4:$AB$100,MATCH($B4,ACTUALS!$B$4:$B$100,0),1)=(AB4+AC4+AH4+AI4),CorrectNumberofGoals,0)),0)</calculatedColumnFormula>
    </tableColumn>
    <tableColumn id="32" xr3:uid="{CA50C89D-400B-4AC7-BC6E-413B7C48EA7A}" name="CORRECT SCORE (PENALTIES)" dataDxfId="242"/>
    <tableColumn id="33" xr3:uid="{0C366AFD-78EF-4827-8821-40F29F78A34D}" name="CORRECT RESULT" dataDxfId="241">
      <calculatedColumnFormula>IFERROR(IF(B4="","",IF(INDEX(ACTUALS!$L$4:$L$100,MATCH($B4,ACTUALS!$B$4:$B$100,0),1)=W4,CorrectResult,0)),0)</calculatedColumnFormula>
    </tableColumn>
    <tableColumn id="34" xr3:uid="{4640AA81-EFB3-4775-A777-737A49AC0B80}" name="SHOOTOUT PREDICTION?" dataDxfId="240"/>
    <tableColumn id="35" xr3:uid="{13EEC484-5EBC-4516-81CC-E8C70021F564}" name="CORRECT ROUND" dataDxfId="239"/>
    <tableColumn id="36" xr3:uid="{7AEDD55D-8C68-412F-A7CB-6C5DCF4EA587}" name="INVERTED MATCH" dataDxfId="238">
      <calculatedColumnFormula>IF(OR($H4="",$B4&lt;37),"",RIGHT($H4,LEN($H4)-FIND("-",$H4,1)-1)&amp;" - "&amp;LEFT($H4,FIND("-",$H4,1)-2))</calculatedColumnFormula>
    </tableColumn>
    <tableColumn id="37" xr3:uid="{996732AC-A959-48BC-BF26-09A683361FF0}" name="WRONG ORDER?" dataDxfId="237"/>
    <tableColumn id="38" xr3:uid="{736C7FDC-4089-418F-AA49-BB7F383A48EA}" name="SCORE (BEFORE PENALTIES)" dataDxfId="236">
      <calculatedColumnFormula>IF($I4="","",IF($T4="Y",AC4+AI4&amp;":"&amp;AB4+AH4,AB4+AH4&amp;":"&amp;AC4+AI4))</calculatedColumnFormula>
    </tableColumn>
    <tableColumn id="39" xr3:uid="{668A21BE-F835-42C6-A5C5-5385320962A4}" name="LOOKUP PENALTY SCORE" dataDxfId="235">
      <calculatedColumnFormula>IF($K4="","",IF($T4="Y",$AK4&amp;":"&amp;$AJ4,$AJ4&amp;":"&amp;$AK4))</calculatedColumnFormula>
    </tableColumn>
    <tableColumn id="7" xr3:uid="{D2EB0E92-90B0-462B-9064-3980EC33C56F}" name="WINNER / RESULT" dataDxfId="234">
      <calculatedColumnFormula>IF(tblActuals3541519[[#This Row],[SCORE]]="","",IF(AB4=AC4,"Draw",IF(AB4&gt;AC4,X4,Y4)))</calculatedColumnFormula>
    </tableColumn>
    <tableColumn id="8" xr3:uid="{CCE616AF-77C9-416A-906B-FDB8C22320A4}" name="Team 1" dataDxfId="233">
      <calculatedColumnFormula>IF(tblActuals3541519[[#This Row],[TEAMS]]="","",LEFT(H4,FIND(" -",H4,1)-1))</calculatedColumnFormula>
    </tableColumn>
    <tableColumn id="9" xr3:uid="{8C2575F4-A245-4973-A0E9-EF8DB133CC11}" name="Team 2" dataDxfId="232">
      <calculatedColumnFormula>IF(tblActuals3541519[[#This Row],[TEAMS]]="","",MID(H4,FIND("-",H4,1)+2,LEN(H4)-FIND("-",H4,1)+2))</calculatedColumnFormula>
    </tableColumn>
    <tableColumn id="12" xr3:uid="{0DF85BD1-A5B5-4F0D-8842-2CF2B8B8E97D}" name="Winner" dataDxfId="231">
      <calculatedColumnFormula>IF(tblActuals3541519[[#This Row],[Team 1 Goals]]&gt;tblActuals3541519[[#This Row],[Team 2 Goals]],tblActuals3541519[[#This Row],[Team 1]],IF(tblActuals3541519[[#This Row],[Team 2 Goals]]&gt;tblActuals3541519[[#This Row],[Team 1 Goals]],tblActuals3541519[[#This Row],[Team 2]],""))</calculatedColumnFormula>
    </tableColumn>
    <tableColumn id="13" xr3:uid="{9916019A-E874-4C0B-82C8-F2AB5309286B}" name="Loser" dataDxfId="230">
      <calculatedColumnFormula>IF(tblActuals3541519[[#This Row],[Winner]]=tblActuals3541519[[#This Row],[Team 1]],tblActuals3541519[[#This Row],[Team 2]],IF(tblActuals3541519[[#This Row],[Winner]]=tblActuals3541519[[#This Row],[Team 2]],tblActuals3541519[[#This Row],[Team 1]],""))</calculatedColumnFormula>
    </tableColumn>
    <tableColumn id="10" xr3:uid="{4180A146-4DF9-4ADF-96F1-354CFC730784}" name="Team 1 Goals" dataDxfId="229">
      <calculatedColumnFormula>IF(tblActuals3541519[[#This Row],[SCORE]]="","",LEFT(I4,FIND(":",I4,1)-1)*1)</calculatedColumnFormula>
    </tableColumn>
    <tableColumn id="11" xr3:uid="{A997DD0D-5FCE-45EB-98A3-221273C61FD9}" name="Team 2 Goals" dataDxfId="228">
      <calculatedColumnFormula>IF(tblActuals3541519[[#This Row],[SCORE]]="","",MID(I4,FIND(":",I4,1)+1,LEN(I4)-FIND(":",I4,1)+1)*1)</calculatedColumnFormula>
    </tableColumn>
    <tableColumn id="18" xr3:uid="{98BCEE82-B466-4428-ACB0-2FD7EE367240}" name="Team 1 GD" dataDxfId="227">
      <calculatedColumnFormula>IF(OR(tblActuals3541519[[#This Row],[Team 1 Goals]]="",tblActuals3541519[[#This Row],[Team 2 Goals]]=""),"",tblActuals3541519[[#This Row],[Team 1 Goals]]-tblActuals3541519[[#This Row],[Team 2 Goals]])</calculatedColumnFormula>
    </tableColumn>
    <tableColumn id="19" xr3:uid="{BA83C3AF-7BB3-4253-953A-CBBD7BC7373D}" name="Team 2 GD" dataDxfId="226">
      <calculatedColumnFormula>IF(OR(tblActuals3541519[[#This Row],[Team 1 Goals]]="",tblActuals3541519[[#This Row],[Team 2 Goals]]=""),"",tblActuals3541519[[#This Row],[Team 2 Goals]]-tblActuals3541519[[#This Row],[Team 1 Goals]])</calculatedColumnFormula>
    </tableColumn>
    <tableColumn id="16" xr3:uid="{2692672C-8ADD-470D-B372-2240BB44D877}" name="Team 1 Points" dataDxfId="225">
      <calculatedColumnFormula>IF(tblActuals3541519[[#This Row],[SCORE]]="","",IF(tblActuals3541519[[#This Row],[WINNER / RESULT]]="Draw",1,IF(tblActuals3541519[[#This Row],[WINNER / RESULT]]=tblActuals3541519[[#This Row],[Team 1]],3,0)))</calculatedColumnFormula>
    </tableColumn>
    <tableColumn id="17" xr3:uid="{81DD32BB-6F03-4CA2-8B12-FFC6445B7A48}" name="Team 2 Points" dataDxfId="224">
      <calculatedColumnFormula>IF(tblActuals3541519[[#This Row],[SCORE]]="","",IF(tblActuals3541519[[#This Row],[WINNER / RESULT]]="Draw",1,IF(tblActuals3541519[[#This Row],[WINNER / RESULT]]=tblActuals3541519[[#This Row],[Team 2]],3,0)))</calculatedColumnFormula>
    </tableColumn>
    <tableColumn id="22" xr3:uid="{BCB8AE24-603D-41BF-9490-B17601CF4BD0}" name="Team 1 ET Goals" dataDxfId="223"/>
    <tableColumn id="23" xr3:uid="{CE29F56C-1790-458E-860D-14E46C2078A1}" name="Team 2 ET Goals" dataDxfId="222"/>
    <tableColumn id="24" xr3:uid="{BE963CD5-EF1D-41EC-A7FC-A53B8F754ECA}" name="Team 1 Penalties" dataDxfId="221"/>
    <tableColumn id="25" xr3:uid="{BEC15BA1-5865-4269-9AED-8C987FF74603}" name="Team 2 Penalties" dataDxfId="220"/>
    <tableColumn id="27" xr3:uid="{89297ADC-7A4C-418B-826E-5A073098334B}" name="Score (Before Penalties)2" dataDxfId="219">
      <calculatedColumnFormula>tblActuals3541519[[#This Row],[Team 1 Goals]]+tblActuals3541519[[#This Row],[Team 1 ET Goals]]&amp;":"&amp;tblActuals3541519[[#This Row],[Team 2 Goals]]+tblActuals3541519[[#This Row],[Team 2 ET Goals]]</calculatedColumnFormula>
    </tableColumn>
    <tableColumn id="26" xr3:uid="{7EF12200-0C14-41AF-B54D-DC99061E1D72}" name="Total Goals" dataDxfId="218">
      <calculatedColumnFormula>+tblActuals3541519[[#This Row],[Team 1 Goals]]+tblActuals3541519[[#This Row],[Team 2 Goals]]</calculatedColumnFormula>
    </tableColumn>
    <tableColumn id="28" xr3:uid="{9A124301-8F79-4995-8670-39627C75E9BA}" name="USER DAY" dataDxfId="217">
      <calculatedColumnFormula>DATE(YEAR(G4),MONTH(G4),DAY(G4))</calculatedColumnFormula>
    </tableColumn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F125091-9663-4338-9EC7-85F2B4FF9642}" name="Table37103651620" displayName="Table37103651620" ref="A8:A16" totalsRowShown="0" headerRowDxfId="216" dataDxfId="215">
  <tableColumns count="1">
    <tableColumn id="1" xr3:uid="{576FE2A6-50BC-4F9D-B6B6-AAB3D7ABBEC9}" name="Watchlist" dataDxfId="214"/>
  </tableColumns>
  <tableStyleInfo name="TableStyleMedium23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03B0C78-095A-48F3-8779-31D320FD216D}" name="Table48113761721" displayName="Table48113761721" ref="GS3:GT21" insertRowShift="1" totalsRowShown="0" headerRowDxfId="213" dataDxfId="211" headerRowBorderDxfId="212">
  <sortState xmlns:xlrd2="http://schemas.microsoft.com/office/spreadsheetml/2017/richdata2" ref="GS4:GT21">
    <sortCondition ref="GT3:GT21"/>
  </sortState>
  <tableColumns count="2">
    <tableColumn id="1" xr3:uid="{F3591163-3FC8-4897-BE2D-F60D018D9C69}" name="Team" dataDxfId="210"/>
    <tableColumn id="2" xr3:uid="{6AF12369-1538-4006-BD68-508BFA4EA643}" name="Override" dataDxfId="209"/>
  </tableColumns>
  <tableStyleInfo name="TableStyleMedium23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D5C0132-C63F-40C0-A371-1052DDF234CD}" name="Table13871822" displayName="Table13871822" ref="GV3:GV9" totalsRowShown="0" headerRowDxfId="208" dataDxfId="206" headerRowBorderDxfId="207" tableBorderDxfId="205">
  <tableColumns count="1">
    <tableColumn id="1" xr3:uid="{1AD83E9E-D2A4-4C6C-A27B-FEA2093226C4}" name="Rankings" dataDxfId="20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1F5B4AAD-9614-4877-A4B5-FAC5B47D041B}" name="tblActuals354151923" displayName="tblActuals354151923" ref="B3:AN39" totalsRowShown="0" headerRowDxfId="203" dataDxfId="202">
  <sortState xmlns:xlrd2="http://schemas.microsoft.com/office/spreadsheetml/2017/richdata2" ref="B4:AH51">
    <sortCondition ref="B3:B51"/>
  </sortState>
  <tableColumns count="39">
    <tableColumn id="20" xr3:uid="{684EE92E-3CB0-4A3E-8C63-E2E5A8781F30}" name="GAME #" dataDxfId="201"/>
    <tableColumn id="1" xr3:uid="{C158D35D-0380-49B9-9B0F-56CECF196C3E}" name="GROUP" dataDxfId="200"/>
    <tableColumn id="2" xr3:uid="{7B4B04F1-0425-45B5-97AC-1F496C388AFF}" name="DATE" dataDxfId="199"/>
    <tableColumn id="3" xr3:uid="{478B7736-09E2-4EB2-A0E3-22C52CED915D}" name="LOCATION" dataDxfId="198"/>
    <tableColumn id="4" xr3:uid="{A0FA4D7F-4A39-459B-9614-277AD688C818}" name="TIME" dataDxfId="197"/>
    <tableColumn id="14" xr3:uid="{FE0C62F1-081A-45F8-9558-BA0F831688D0}" name="YOUR LOCAL TIME" dataDxfId="196">
      <calculatedColumnFormula>(D4+F4)+IF($A$7&gt;=0,TIMEVALUE($A$7&amp;":00"),-TIMEVALUE(ABS($A$7)&amp;":00"))</calculatedColumnFormula>
    </tableColumn>
    <tableColumn id="5" xr3:uid="{00D12381-1D7F-42C6-B880-C6253C08650F}" name="TEAMS" dataDxfId="195"/>
    <tableColumn id="6" xr3:uid="{BF913123-B194-42AA-A47B-06013E0AA33A}" name="SCORE" dataDxfId="194"/>
    <tableColumn id="15" xr3:uid="{64603DBA-75C6-4DE0-B0DD-426CCBDD9BF6}" name="EXTRA TIME" dataDxfId="193"/>
    <tableColumn id="21" xr3:uid="{9BB4A531-2995-4C71-8CAD-5774D75B7884}" name="PENALTIES" dataDxfId="192"/>
    <tableColumn id="29" xr3:uid="{00E052E7-398C-4C45-B672-C0378781B2E3}" name="PREDICTION POINTS EARNED" dataDxfId="191">
      <calculatedColumnFormula>IF(I4="",0,IFERROR(IF(SCORING.RULES!$C$8="No",1,((VLOOKUP($B4,ACTUALS!$B$4:$L$100,7,FALSE)=$H4)+(VLOOKUP($B4,ACTUALS!$B$4:$L$100,7,FALSE)=S4)))*(M4+N4+O4+P4+Q4),0))+$R4</calculatedColumnFormula>
    </tableColumn>
    <tableColumn id="30" xr3:uid="{3DABBF5A-BDC4-4181-9FC7-6F3F0F6AE762}" name="CORRECT SCORE" dataDxfId="190">
      <calculatedColumnFormula>IFERROR(IF($B4="","",IF(U4=INDEX(ACTUALS!$AA$4:$AA$100,MATCH($B4,ACTUALS!$B$4:$B$100,0),1),CorrectScore,0)),0)</calculatedColumnFormula>
    </tableColumn>
    <tableColumn id="31" xr3:uid="{679FD024-F9CB-413E-BAD9-638CAC5D2D2D}" name="CORRECT # OF TOTAL GOALS" dataDxfId="189">
      <calculatedColumnFormula>IFERROR(IF(I4="","",IF(INDEX(ACTUALS!$AB$4:$AB$100,MATCH($B4,ACTUALS!$B$4:$B$100,0),1)=(AB4+AC4+AH4+AI4),CorrectNumberofGoals,0)),0)</calculatedColumnFormula>
    </tableColumn>
    <tableColumn id="32" xr3:uid="{CAB9A080-EF3A-4CE4-BB8B-71CA3607D774}" name="CORRECT SCORE (PENALTIES)" dataDxfId="188"/>
    <tableColumn id="33" xr3:uid="{75FD09CC-155A-4F8D-BB6E-EBB2C13A16CB}" name="CORRECT RESULT" dataDxfId="187">
      <calculatedColumnFormula>IFERROR(IF(B4="","",IF(INDEX(ACTUALS!$L$4:$L$100,MATCH($B4,ACTUALS!$B$4:$B$100,0),1)=W4,CorrectResult,0)),0)</calculatedColumnFormula>
    </tableColumn>
    <tableColumn id="34" xr3:uid="{ACFAC621-E7F8-4E27-96D3-207416028A3E}" name="SHOOTOUT PREDICTION?" dataDxfId="186"/>
    <tableColumn id="35" xr3:uid="{B653B5DA-1934-452B-8C87-E262668CBF12}" name="CORRECT ROUND" dataDxfId="185"/>
    <tableColumn id="36" xr3:uid="{9AC92D33-BDD4-42E2-9444-20904D157EEE}" name="INVERTED MATCH" dataDxfId="184">
      <calculatedColumnFormula>IF(OR($H4="",$B4&lt;37),"",RIGHT($H4,LEN($H4)-FIND("-",$H4,1)-1)&amp;" - "&amp;LEFT($H4,FIND("-",$H4,1)-2))</calculatedColumnFormula>
    </tableColumn>
    <tableColumn id="37" xr3:uid="{B7C654D3-4813-40F3-A44B-3B63467A220D}" name="WRONG ORDER?" dataDxfId="183"/>
    <tableColumn id="38" xr3:uid="{BB5E20CE-C25A-4F2D-B042-608FC019EC92}" name="SCORE (BEFORE PENALTIES)" dataDxfId="182">
      <calculatedColumnFormula>IF($I4="","",IF($T4="Y",AC4+AI4&amp;":"&amp;AB4+AH4,AB4+AH4&amp;":"&amp;AC4+AI4))</calculatedColumnFormula>
    </tableColumn>
    <tableColumn id="39" xr3:uid="{37F70293-03EB-41FB-AF1E-D936D8CE26C4}" name="LOOKUP PENALTY SCORE" dataDxfId="181">
      <calculatedColumnFormula>IF($K4="","",IF($T4="Y",$AK4&amp;":"&amp;$AJ4,$AJ4&amp;":"&amp;$AK4))</calculatedColumnFormula>
    </tableColumn>
    <tableColumn id="7" xr3:uid="{C5CB2B08-9EFF-463D-AD11-88BA87DDD5FA}" name="WINNER / RESULT" dataDxfId="180">
      <calculatedColumnFormula>IF(tblActuals354151923[[#This Row],[SCORE]]="","",IF(AB4=AC4,"Draw",IF(AB4&gt;AC4,X4,Y4)))</calculatedColumnFormula>
    </tableColumn>
    <tableColumn id="8" xr3:uid="{42FDABBE-9508-431A-AFDB-A06B59C3830B}" name="Team 1" dataDxfId="179">
      <calculatedColumnFormula>IF(tblActuals354151923[[#This Row],[TEAMS]]="","",LEFT(H4,FIND(" -",H4,1)-1))</calculatedColumnFormula>
    </tableColumn>
    <tableColumn id="9" xr3:uid="{3EBC2145-E7C1-487D-AAEC-9A27F0CBDE3B}" name="Team 2" dataDxfId="178">
      <calculatedColumnFormula>IF(tblActuals354151923[[#This Row],[TEAMS]]="","",MID(H4,FIND("-",H4,1)+2,LEN(H4)-FIND("-",H4,1)+2))</calculatedColumnFormula>
    </tableColumn>
    <tableColumn id="12" xr3:uid="{B273E887-B925-428A-BC2E-16850FF2E34C}" name="Winner" dataDxfId="177">
      <calculatedColumnFormula>IF(tblActuals354151923[[#This Row],[Team 1 Goals]]&gt;tblActuals354151923[[#This Row],[Team 2 Goals]],tblActuals354151923[[#This Row],[Team 1]],IF(tblActuals354151923[[#This Row],[Team 2 Goals]]&gt;tblActuals354151923[[#This Row],[Team 1 Goals]],tblActuals354151923[[#This Row],[Team 2]],""))</calculatedColumnFormula>
    </tableColumn>
    <tableColumn id="13" xr3:uid="{75593FD6-93CB-4472-9C6F-EBD24F3A3752}" name="Loser" dataDxfId="176">
      <calculatedColumnFormula>IF(tblActuals354151923[[#This Row],[Winner]]=tblActuals354151923[[#This Row],[Team 1]],tblActuals354151923[[#This Row],[Team 2]],IF(tblActuals354151923[[#This Row],[Winner]]=tblActuals354151923[[#This Row],[Team 2]],tblActuals354151923[[#This Row],[Team 1]],""))</calculatedColumnFormula>
    </tableColumn>
    <tableColumn id="10" xr3:uid="{4072D9B4-C893-4C1F-9E2C-C072BB967141}" name="Team 1 Goals" dataDxfId="175">
      <calculatedColumnFormula>IF(tblActuals354151923[[#This Row],[SCORE]]="","",LEFT(I4,FIND(":",I4,1)-1)*1)</calculatedColumnFormula>
    </tableColumn>
    <tableColumn id="11" xr3:uid="{D6ACFC4C-4460-4C0E-8893-25494A6894E0}" name="Team 2 Goals" dataDxfId="174">
      <calculatedColumnFormula>IF(tblActuals354151923[[#This Row],[SCORE]]="","",MID(I4,FIND(":",I4,1)+1,LEN(I4)-FIND(":",I4,1)+1)*1)</calculatedColumnFormula>
    </tableColumn>
    <tableColumn id="18" xr3:uid="{B5AC0FD7-F503-447F-BE81-1C7F8D3BDC14}" name="Team 1 GD" dataDxfId="173">
      <calculatedColumnFormula>IF(OR(tblActuals354151923[[#This Row],[Team 1 Goals]]="",tblActuals354151923[[#This Row],[Team 2 Goals]]=""),"",tblActuals354151923[[#This Row],[Team 1 Goals]]-tblActuals354151923[[#This Row],[Team 2 Goals]])</calculatedColumnFormula>
    </tableColumn>
    <tableColumn id="19" xr3:uid="{818E3F0A-9EF7-4F02-9DBF-D29AFD4D09A3}" name="Team 2 GD" dataDxfId="172">
      <calculatedColumnFormula>IF(OR(tblActuals354151923[[#This Row],[Team 1 Goals]]="",tblActuals354151923[[#This Row],[Team 2 Goals]]=""),"",tblActuals354151923[[#This Row],[Team 2 Goals]]-tblActuals354151923[[#This Row],[Team 1 Goals]])</calculatedColumnFormula>
    </tableColumn>
    <tableColumn id="16" xr3:uid="{2DE010F0-CAD3-4112-957E-B5B2F3CE765D}" name="Team 1 Points" dataDxfId="171">
      <calculatedColumnFormula>IF(tblActuals354151923[[#This Row],[SCORE]]="","",IF(tblActuals354151923[[#This Row],[WINNER / RESULT]]="Draw",1,IF(tblActuals354151923[[#This Row],[WINNER / RESULT]]=tblActuals354151923[[#This Row],[Team 1]],3,0)))</calculatedColumnFormula>
    </tableColumn>
    <tableColumn id="17" xr3:uid="{46E67EF0-B15E-4ACE-B483-D378C41513C1}" name="Team 2 Points" dataDxfId="170">
      <calculatedColumnFormula>IF(tblActuals354151923[[#This Row],[SCORE]]="","",IF(tblActuals354151923[[#This Row],[WINNER / RESULT]]="Draw",1,IF(tblActuals354151923[[#This Row],[WINNER / RESULT]]=tblActuals354151923[[#This Row],[Team 2]],3,0)))</calculatedColumnFormula>
    </tableColumn>
    <tableColumn id="22" xr3:uid="{18984C37-3520-41F2-9264-53CE2DC883A8}" name="Team 1 ET Goals" dataDxfId="169"/>
    <tableColumn id="23" xr3:uid="{770F29C2-7A9B-422B-A13D-C170C69BE2E8}" name="Team 2 ET Goals" dataDxfId="168"/>
    <tableColumn id="24" xr3:uid="{375E7DD2-A020-4D91-B8C0-5223737C4216}" name="Team 1 Penalties" dataDxfId="167"/>
    <tableColumn id="25" xr3:uid="{B52AE267-1ECD-4456-A681-1A1DF5B894D1}" name="Team 2 Penalties" dataDxfId="166"/>
    <tableColumn id="27" xr3:uid="{806B105E-1D4A-40DE-B8E3-E12A659CE471}" name="Score (Before Penalties)2" dataDxfId="165">
      <calculatedColumnFormula>tblActuals354151923[[#This Row],[Team 1 Goals]]+tblActuals354151923[[#This Row],[Team 1 ET Goals]]&amp;":"&amp;tblActuals354151923[[#This Row],[Team 2 Goals]]+tblActuals354151923[[#This Row],[Team 2 ET Goals]]</calculatedColumnFormula>
    </tableColumn>
    <tableColumn id="26" xr3:uid="{7ECD9971-4485-4173-B9D6-BB600424EEFE}" name="Total Goals" dataDxfId="164">
      <calculatedColumnFormula>+tblActuals354151923[[#This Row],[Team 1 Goals]]+tblActuals354151923[[#This Row],[Team 2 Goals]]</calculatedColumnFormula>
    </tableColumn>
    <tableColumn id="28" xr3:uid="{2C1BBF55-3507-4875-B14E-0035A43E62ED}" name="USER DAY" dataDxfId="163">
      <calculatedColumnFormula>DATE(YEAR(G4),MONTH(G4),DAY(G4))</calculatedColumnFormula>
    </tableColumn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AD056DF-C156-4453-99B8-9EB4EA4C25E3}" name="Table3710365162024" displayName="Table3710365162024" ref="A8:A16" totalsRowShown="0" headerRowDxfId="162" dataDxfId="161">
  <tableColumns count="1">
    <tableColumn id="1" xr3:uid="{C53D5CD6-625A-4EB6-ADC6-DD5A889868D3}" name="Watchlist" dataDxfId="160"/>
  </tableColumns>
  <tableStyleInfo name="TableStyleMedium23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F0018D7-9449-4C91-9148-8D49A171E068}" name="Table4811376172125" displayName="Table4811376172125" ref="GS3:GT21" insertRowShift="1" totalsRowShown="0" headerRowDxfId="159" dataDxfId="157" headerRowBorderDxfId="158">
  <sortState xmlns:xlrd2="http://schemas.microsoft.com/office/spreadsheetml/2017/richdata2" ref="GS4:GT21">
    <sortCondition ref="GT3:GT21"/>
  </sortState>
  <tableColumns count="2">
    <tableColumn id="1" xr3:uid="{782F00C1-C49E-4202-A798-75306CB829F6}" name="Team" dataDxfId="156"/>
    <tableColumn id="2" xr3:uid="{2291FD26-7E84-406E-A0E8-46F26EA16AC7}" name="Override" dataDxfId="155"/>
  </tableColumns>
  <tableStyleInfo name="TableStyleMedium23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32FE6D5-536A-44D6-BC65-162F480CCE86}" name="Table1387182226" displayName="Table1387182226" ref="GV3:GV9" totalsRowShown="0" headerRowDxfId="154" dataDxfId="152" headerRowBorderDxfId="153" tableBorderDxfId="151">
  <tableColumns count="1">
    <tableColumn id="1" xr3:uid="{26561479-E8A6-407F-B1F9-874316FE0A13}" name="Rankings" dataDxfId="150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BE46274-D975-40D9-A627-1D6443D80996}" name="tblActuals35415192327" displayName="tblActuals35415192327" ref="B3:AN39" totalsRowShown="0" headerRowDxfId="149" dataDxfId="148">
  <sortState xmlns:xlrd2="http://schemas.microsoft.com/office/spreadsheetml/2017/richdata2" ref="B4:AH51">
    <sortCondition ref="B3:B51"/>
  </sortState>
  <tableColumns count="39">
    <tableColumn id="20" xr3:uid="{BA7E6BC5-F1EC-49C6-BFF3-B44294692862}" name="GAME #" dataDxfId="147"/>
    <tableColumn id="1" xr3:uid="{38F9CE3B-9218-4108-A471-8BF17A584EA1}" name="GROUP" dataDxfId="146"/>
    <tableColumn id="2" xr3:uid="{77472F4D-3487-43B5-8498-5B22D0D0FD8A}" name="DATE" dataDxfId="145"/>
    <tableColumn id="3" xr3:uid="{AC3E2AF0-285F-4C61-9048-C5FBF06ABE28}" name="LOCATION" dataDxfId="144"/>
    <tableColumn id="4" xr3:uid="{E15E5442-7E5C-437C-B8B5-BC211B78DEC9}" name="TIME" dataDxfId="143"/>
    <tableColumn id="14" xr3:uid="{C0D7BEEF-D843-4D67-95AB-FE1578DB2A60}" name="YOUR LOCAL TIME" dataDxfId="142">
      <calculatedColumnFormula>(D4+F4)+IF($A$7&gt;=0,TIMEVALUE($A$7&amp;":00"),-TIMEVALUE(ABS($A$7)&amp;":00"))</calculatedColumnFormula>
    </tableColumn>
    <tableColumn id="5" xr3:uid="{F7D9A44E-8C1F-4451-B650-8192CF9EC847}" name="TEAMS" dataDxfId="141"/>
    <tableColumn id="6" xr3:uid="{75855084-59D2-4BC8-900B-4776A2B9497A}" name="SCORE" dataDxfId="140"/>
    <tableColumn id="15" xr3:uid="{CE30BB4C-DB8E-444F-BF1E-945D5B267484}" name="EXTRA TIME" dataDxfId="139"/>
    <tableColumn id="21" xr3:uid="{9A842491-312E-417F-8AD0-E48EAE87EA54}" name="PENALTIES" dataDxfId="138"/>
    <tableColumn id="29" xr3:uid="{A0A3FE1E-5414-4EFA-BA23-8A20EC3DE484}" name="PREDICTION POINTS EARNED" dataDxfId="137">
      <calculatedColumnFormula>IF(I4="",0,IFERROR(IF(SCORING.RULES!$C$8="No",1,((VLOOKUP($B4,ACTUALS!$B$4:$L$100,7,FALSE)=$H4)+(VLOOKUP($B4,ACTUALS!$B$4:$L$100,7,FALSE)=S4)))*(M4+N4+O4+P4+Q4),0))+$R4</calculatedColumnFormula>
    </tableColumn>
    <tableColumn id="30" xr3:uid="{1E4E8CB1-7E36-4E8D-B12A-B4313CE5F6A8}" name="CORRECT SCORE" dataDxfId="136">
      <calculatedColumnFormula>IFERROR(IF($B4="","",IF(U4=INDEX(ACTUALS!$AA$4:$AA$100,MATCH($B4,ACTUALS!$B$4:$B$100,0),1),CorrectScore,0)),0)</calculatedColumnFormula>
    </tableColumn>
    <tableColumn id="31" xr3:uid="{CB26080E-D42B-47F5-BB08-3321E3860A7E}" name="CORRECT # OF TOTAL GOALS" dataDxfId="135">
      <calculatedColumnFormula>IFERROR(IF(I4="","",IF(INDEX(ACTUALS!$AB$4:$AB$100,MATCH($B4,ACTUALS!$B$4:$B$100,0),1)=(AB4+AC4+AH4+AI4),CorrectNumberofGoals,0)),0)</calculatedColumnFormula>
    </tableColumn>
    <tableColumn id="32" xr3:uid="{F48A2DCC-DA6A-4A86-A731-68B13CDBB8FF}" name="CORRECT SCORE (PENALTIES)" dataDxfId="134"/>
    <tableColumn id="33" xr3:uid="{7F7AE704-BFAE-4262-A128-4277E8176967}" name="CORRECT RESULT" dataDxfId="133">
      <calculatedColumnFormula>IFERROR(IF(B4="","",IF(INDEX(ACTUALS!$L$4:$L$100,MATCH($B4,ACTUALS!$B$4:$B$100,0),1)=W4,CorrectResult,0)),0)</calculatedColumnFormula>
    </tableColumn>
    <tableColumn id="34" xr3:uid="{66AC74AB-33BB-4548-A15B-B63D4734E6B6}" name="SHOOTOUT PREDICTION?" dataDxfId="132"/>
    <tableColumn id="35" xr3:uid="{F1545D53-C0E1-428C-936C-1EB4194312E3}" name="CORRECT ROUND" dataDxfId="131"/>
    <tableColumn id="36" xr3:uid="{6D5D1251-8306-466F-AABD-7908A29FB232}" name="INVERTED MATCH" dataDxfId="130">
      <calculatedColumnFormula>IF(OR($H4="",$B4&lt;37),"",RIGHT($H4,LEN($H4)-FIND("-",$H4,1)-1)&amp;" - "&amp;LEFT($H4,FIND("-",$H4,1)-2))</calculatedColumnFormula>
    </tableColumn>
    <tableColumn id="37" xr3:uid="{948E4CA2-8CE4-44F2-BB99-908866CA1BD0}" name="WRONG ORDER?" dataDxfId="129"/>
    <tableColumn id="38" xr3:uid="{DD981B88-9E2C-4304-B388-3D3CE0221329}" name="SCORE (BEFORE PENALTIES)" dataDxfId="128">
      <calculatedColumnFormula>IF($I4="","",IF($T4="Y",AC4+AI4&amp;":"&amp;AB4+AH4,AB4+AH4&amp;":"&amp;AC4+AI4))</calculatedColumnFormula>
    </tableColumn>
    <tableColumn id="39" xr3:uid="{9D033CAE-ECF9-4A02-9FDE-65AB0B322D56}" name="LOOKUP PENALTY SCORE" dataDxfId="127">
      <calculatedColumnFormula>IF($K4="","",IF($T4="Y",$AK4&amp;":"&amp;$AJ4,$AJ4&amp;":"&amp;$AK4))</calculatedColumnFormula>
    </tableColumn>
    <tableColumn id="7" xr3:uid="{21C4ABE9-B690-4F55-9C6E-32BF2D4D03CB}" name="WINNER / RESULT" dataDxfId="126">
      <calculatedColumnFormula>IF(tblActuals35415192327[[#This Row],[SCORE]]="","",IF(AB4=AC4,"Draw",IF(AB4&gt;AC4,X4,Y4)))</calculatedColumnFormula>
    </tableColumn>
    <tableColumn id="8" xr3:uid="{B4B9F371-3CA4-4D03-864A-AE1278D8C01C}" name="Team 1" dataDxfId="125">
      <calculatedColumnFormula>IF(tblActuals35415192327[[#This Row],[TEAMS]]="","",LEFT(H4,FIND(" -",H4,1)-1))</calculatedColumnFormula>
    </tableColumn>
    <tableColumn id="9" xr3:uid="{C1D9FE73-4ACD-4E1B-ADF7-5C90E5D9A86C}" name="Team 2" dataDxfId="124">
      <calculatedColumnFormula>IF(tblActuals35415192327[[#This Row],[TEAMS]]="","",MID(H4,FIND("-",H4,1)+2,LEN(H4)-FIND("-",H4,1)+2))</calculatedColumnFormula>
    </tableColumn>
    <tableColumn id="12" xr3:uid="{922302F9-1B91-4A2B-89F5-0D79CDD2E685}" name="Winner" dataDxfId="123">
      <calculatedColumnFormula>IF(tblActuals35415192327[[#This Row],[Team 1 Goals]]&gt;tblActuals35415192327[[#This Row],[Team 2 Goals]],tblActuals35415192327[[#This Row],[Team 1]],IF(tblActuals35415192327[[#This Row],[Team 2 Goals]]&gt;tblActuals35415192327[[#This Row],[Team 1 Goals]],tblActuals35415192327[[#This Row],[Team 2]],""))</calculatedColumnFormula>
    </tableColumn>
    <tableColumn id="13" xr3:uid="{97DE0BCC-2A5E-4459-9FAE-B5E6F764C081}" name="Loser" dataDxfId="122">
      <calculatedColumnFormula>IF(tblActuals35415192327[[#This Row],[Winner]]=tblActuals35415192327[[#This Row],[Team 1]],tblActuals35415192327[[#This Row],[Team 2]],IF(tblActuals35415192327[[#This Row],[Winner]]=tblActuals35415192327[[#This Row],[Team 2]],tblActuals35415192327[[#This Row],[Team 1]],""))</calculatedColumnFormula>
    </tableColumn>
    <tableColumn id="10" xr3:uid="{54D8BF69-3D52-4EDD-8D18-2381E7D36395}" name="Team 1 Goals" dataDxfId="121">
      <calculatedColumnFormula>IF(tblActuals35415192327[[#This Row],[SCORE]]="","",LEFT(I4,FIND(":",I4,1)-1)*1)</calculatedColumnFormula>
    </tableColumn>
    <tableColumn id="11" xr3:uid="{15473DAC-EBAF-4479-A2AE-0F73665E435B}" name="Team 2 Goals" dataDxfId="120">
      <calculatedColumnFormula>IF(tblActuals35415192327[[#This Row],[SCORE]]="","",MID(I4,FIND(":",I4,1)+1,LEN(I4)-FIND(":",I4,1)+1)*1)</calculatedColumnFormula>
    </tableColumn>
    <tableColumn id="18" xr3:uid="{F8CD2E5D-84D8-4E99-8D6C-3FF9266CC133}" name="Team 1 GD" dataDxfId="119">
      <calculatedColumnFormula>IF(OR(tblActuals35415192327[[#This Row],[Team 1 Goals]]="",tblActuals35415192327[[#This Row],[Team 2 Goals]]=""),"",tblActuals35415192327[[#This Row],[Team 1 Goals]]-tblActuals35415192327[[#This Row],[Team 2 Goals]])</calculatedColumnFormula>
    </tableColumn>
    <tableColumn id="19" xr3:uid="{4D2888FC-11D7-4D50-B0C4-C8641C4FF90B}" name="Team 2 GD" dataDxfId="118">
      <calculatedColumnFormula>IF(OR(tblActuals35415192327[[#This Row],[Team 1 Goals]]="",tblActuals35415192327[[#This Row],[Team 2 Goals]]=""),"",tblActuals35415192327[[#This Row],[Team 2 Goals]]-tblActuals35415192327[[#This Row],[Team 1 Goals]])</calculatedColumnFormula>
    </tableColumn>
    <tableColumn id="16" xr3:uid="{86D18322-C6D5-4462-8B90-18BF1A25F809}" name="Team 1 Points" dataDxfId="117">
      <calculatedColumnFormula>IF(tblActuals35415192327[[#This Row],[SCORE]]="","",IF(tblActuals35415192327[[#This Row],[WINNER / RESULT]]="Draw",1,IF(tblActuals35415192327[[#This Row],[WINNER / RESULT]]=tblActuals35415192327[[#This Row],[Team 1]],3,0)))</calculatedColumnFormula>
    </tableColumn>
    <tableColumn id="17" xr3:uid="{F93BF686-3467-488F-9FAA-E5787E86EA1B}" name="Team 2 Points" dataDxfId="116">
      <calculatedColumnFormula>IF(tblActuals35415192327[[#This Row],[SCORE]]="","",IF(tblActuals35415192327[[#This Row],[WINNER / RESULT]]="Draw",1,IF(tblActuals35415192327[[#This Row],[WINNER / RESULT]]=tblActuals35415192327[[#This Row],[Team 2]],3,0)))</calculatedColumnFormula>
    </tableColumn>
    <tableColumn id="22" xr3:uid="{962A6CDB-DA5B-47C6-A4F5-846DF5A86631}" name="Team 1 ET Goals" dataDxfId="115"/>
    <tableColumn id="23" xr3:uid="{F9A47BFF-F193-465B-AC9C-6A322C8770C4}" name="Team 2 ET Goals" dataDxfId="114"/>
    <tableColumn id="24" xr3:uid="{95590661-B5D4-4B1D-BEF1-213A23202B0A}" name="Team 1 Penalties" dataDxfId="113"/>
    <tableColumn id="25" xr3:uid="{A932B891-3862-4F67-A7DB-8C008097F2E1}" name="Team 2 Penalties" dataDxfId="112"/>
    <tableColumn id="27" xr3:uid="{8CF7D5A4-E989-4FA5-8BBD-3E2529319407}" name="Score (Before Penalties)2" dataDxfId="111">
      <calculatedColumnFormula>tblActuals35415192327[[#This Row],[Team 1 Goals]]+tblActuals35415192327[[#This Row],[Team 1 ET Goals]]&amp;":"&amp;tblActuals35415192327[[#This Row],[Team 2 Goals]]+tblActuals35415192327[[#This Row],[Team 2 ET Goals]]</calculatedColumnFormula>
    </tableColumn>
    <tableColumn id="26" xr3:uid="{7621C11F-A385-494C-83D6-83FBE1649201}" name="Total Goals" dataDxfId="110">
      <calculatedColumnFormula>+tblActuals35415192327[[#This Row],[Team 1 Goals]]+tblActuals35415192327[[#This Row],[Team 2 Goals]]</calculatedColumnFormula>
    </tableColumn>
    <tableColumn id="28" xr3:uid="{17CB3456-D4CC-4101-9348-64C722D4F3BA}" name="USER DAY" dataDxfId="109">
      <calculatedColumnFormula>DATE(YEAR(G4),MONTH(G4),DAY(G4))</calculatedColumnFormula>
    </tableColumn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DADEE261-4691-4335-B0FF-8C7E038A3974}" name="Table371036516202428" displayName="Table371036516202428" ref="A8:A16" totalsRowShown="0" headerRowDxfId="108" dataDxfId="107">
  <tableColumns count="1">
    <tableColumn id="1" xr3:uid="{9D5BBE20-7600-47D4-BCE7-55945D9F87FD}" name="Watchlist" dataDxfId="106"/>
  </tableColumns>
  <tableStyleInfo name="TableStyleMedium23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ABAE607-C921-45A1-8BDF-B7E2CEF36AB7}" name="Table481137617212529" displayName="Table481137617212529" ref="GS3:GT21" insertRowShift="1" totalsRowShown="0" headerRowDxfId="105" dataDxfId="103" headerRowBorderDxfId="104">
  <sortState xmlns:xlrd2="http://schemas.microsoft.com/office/spreadsheetml/2017/richdata2" ref="GS4:GT21">
    <sortCondition ref="GT3:GT21"/>
  </sortState>
  <tableColumns count="2">
    <tableColumn id="1" xr3:uid="{CE718F5C-5A5A-4378-A055-9258B056BDF2}" name="Team" dataDxfId="102"/>
    <tableColumn id="2" xr3:uid="{F2D9FD31-BBF2-4F34-9164-65BBAEC67B20}" name="Override" dataDxfId="101"/>
  </tableColumns>
  <tableStyleInfo name="TableStyleMedium23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A29A51D2-C425-4B78-8EB7-979862A9B2B4}" name="Table138718222630" displayName="Table138718222630" ref="GV3:GV9" totalsRowShown="0" headerRowDxfId="100" dataDxfId="98" headerRowBorderDxfId="99" tableBorderDxfId="97">
  <tableColumns count="1">
    <tableColumn id="1" xr3:uid="{7FD1552F-04E4-46A7-B3DC-951F45D25AAE}" name="Rankings" dataDxfId="9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table" Target="../tables/table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owtoexcel.net/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table" Target="../tables/table8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howtoexcel.net/" TargetMode="External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7" Type="http://schemas.openxmlformats.org/officeDocument/2006/relationships/table" Target="../tables/table1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howtoexcel.net/" TargetMode="External"/><Relationship Id="rId6" Type="http://schemas.openxmlformats.org/officeDocument/2006/relationships/table" Target="../tables/table11.xml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7" Type="http://schemas.openxmlformats.org/officeDocument/2006/relationships/table" Target="../tables/table1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howtoexcel.net/" TargetMode="External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7" Type="http://schemas.openxmlformats.org/officeDocument/2006/relationships/table" Target="../tables/table20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howtoexcel.net/" TargetMode="External"/><Relationship Id="rId6" Type="http://schemas.openxmlformats.org/officeDocument/2006/relationships/table" Target="../tables/table19.xml"/><Relationship Id="rId5" Type="http://schemas.openxmlformats.org/officeDocument/2006/relationships/table" Target="../tables/table18.xml"/><Relationship Id="rId4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7" Type="http://schemas.openxmlformats.org/officeDocument/2006/relationships/table" Target="../tables/table24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howtoexcel.net/" TargetMode="External"/><Relationship Id="rId6" Type="http://schemas.openxmlformats.org/officeDocument/2006/relationships/table" Target="../tables/table23.xml"/><Relationship Id="rId5" Type="http://schemas.openxmlformats.org/officeDocument/2006/relationships/table" Target="../tables/table22.xml"/><Relationship Id="rId4" Type="http://schemas.openxmlformats.org/officeDocument/2006/relationships/table" Target="../tables/table2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3B0A3-92F6-4D11-9DD6-EF1E822D38D8}">
  <sheetPr codeName="Sheet1">
    <tabColor theme="1"/>
  </sheetPr>
  <dimension ref="A1:HC87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6.5" x14ac:dyDescent="0.3"/>
  <cols>
    <col min="1" max="1" width="26.42578125" style="5" customWidth="1"/>
    <col min="2" max="2" width="13" style="6" customWidth="1"/>
    <col min="3" max="3" width="14.42578125" style="6" bestFit="1" customWidth="1"/>
    <col min="4" max="4" width="10.5703125" style="6" bestFit="1" customWidth="1"/>
    <col min="5" max="5" width="31.28515625" style="6" bestFit="1" customWidth="1"/>
    <col min="6" max="6" width="10.42578125" style="6" bestFit="1" customWidth="1"/>
    <col min="7" max="7" width="22.42578125" style="7" bestFit="1" customWidth="1"/>
    <col min="8" max="8" width="30.85546875" style="6" bestFit="1" customWidth="1"/>
    <col min="9" max="9" width="11.7109375" style="8" bestFit="1" customWidth="1"/>
    <col min="10" max="10" width="12.42578125" style="8" bestFit="1" customWidth="1"/>
    <col min="11" max="11" width="13" style="8" customWidth="1"/>
    <col min="12" max="12" width="20.7109375" style="8" hidden="1" customWidth="1"/>
    <col min="13" max="13" width="14.28515625" style="6" hidden="1" customWidth="1"/>
    <col min="14" max="16" width="14.28515625" style="5" hidden="1" customWidth="1"/>
    <col min="17" max="26" width="17.28515625" style="5" hidden="1" customWidth="1"/>
    <col min="27" max="27" width="26.7109375" style="5" hidden="1" customWidth="1"/>
    <col min="28" max="30" width="17.28515625" style="5" hidden="1" customWidth="1"/>
    <col min="31" max="31" width="9.140625" style="5" hidden="1" customWidth="1"/>
    <col min="32" max="32" width="31.28515625" style="5" hidden="1" customWidth="1"/>
    <col min="33" max="34" width="9.140625" style="5" hidden="1" customWidth="1"/>
    <col min="35" max="35" width="1.42578125" style="5" hidden="1" customWidth="1"/>
    <col min="36" max="36" width="9.140625" style="5" customWidth="1"/>
    <col min="37" max="37" width="2.140625" style="6" bestFit="1" customWidth="1"/>
    <col min="38" max="38" width="17.28515625" style="5" bestFit="1" customWidth="1"/>
    <col min="39" max="39" width="9.140625" style="5" customWidth="1"/>
    <col min="40" max="40" width="4.42578125" style="6" bestFit="1" customWidth="1"/>
    <col min="41" max="41" width="9.140625" style="6" customWidth="1"/>
    <col min="42" max="42" width="10" style="67" customWidth="1"/>
    <col min="43" max="43" width="10" style="1" hidden="1" customWidth="1"/>
    <col min="44" max="44" width="9.140625" style="1" hidden="1" customWidth="1"/>
    <col min="45" max="45" width="9.140625" style="2" hidden="1" customWidth="1"/>
    <col min="46" max="46" width="17.28515625" style="2" hidden="1" customWidth="1"/>
    <col min="47" max="47" width="3" style="2" hidden="1" customWidth="1"/>
    <col min="48" max="48" width="2.5703125" style="2" hidden="1" customWidth="1"/>
    <col min="49" max="49" width="2.140625" style="2" hidden="1" customWidth="1"/>
    <col min="50" max="50" width="13.7109375" style="2" hidden="1" customWidth="1"/>
    <col min="51" max="51" width="15.42578125" style="1" hidden="1" customWidth="1"/>
    <col min="52" max="52" width="16.5703125" style="1" hidden="1" customWidth="1"/>
    <col min="53" max="53" width="18.140625" style="1" hidden="1" customWidth="1"/>
    <col min="54" max="54" width="9.140625" style="2" hidden="1" customWidth="1"/>
    <col min="55" max="55" width="11" style="2" hidden="1" customWidth="1"/>
    <col min="56" max="56" width="9.140625" style="2" hidden="1" customWidth="1"/>
    <col min="57" max="57" width="18.7109375" style="1" hidden="1" customWidth="1"/>
    <col min="58" max="58" width="18.7109375" style="2" hidden="1" customWidth="1"/>
    <col min="59" max="63" width="18.7109375" style="1" hidden="1" customWidth="1"/>
    <col min="64" max="65" width="22.7109375" style="1" hidden="1" customWidth="1"/>
    <col min="66" max="66" width="13.42578125" style="1" hidden="1" customWidth="1"/>
    <col min="67" max="69" width="9.140625" style="1" hidden="1" customWidth="1"/>
    <col min="70" max="70" width="18.5703125" style="1" hidden="1" customWidth="1"/>
    <col min="71" max="71" width="9.140625" style="1" hidden="1" customWidth="1"/>
    <col min="72" max="72" width="18.140625" style="1" hidden="1" customWidth="1"/>
    <col min="73" max="73" width="15.140625" style="1" hidden="1" customWidth="1"/>
    <col min="74" max="74" width="5.7109375" style="1" hidden="1" customWidth="1"/>
    <col min="75" max="75" width="13.7109375" style="1" hidden="1" customWidth="1"/>
    <col min="76" max="86" width="9.140625" style="1" hidden="1" customWidth="1"/>
    <col min="87" max="88" width="9.140625" style="5" hidden="1" customWidth="1"/>
    <col min="89" max="89" width="14.28515625" style="1" hidden="1" customWidth="1"/>
    <col min="90" max="121" width="4" style="54" hidden="1" customWidth="1"/>
    <col min="122" max="122" width="9.140625" style="1" hidden="1" customWidth="1"/>
    <col min="123" max="123" width="14.28515625" style="1" hidden="1" customWidth="1"/>
    <col min="124" max="155" width="4" style="1" hidden="1" customWidth="1"/>
    <col min="156" max="156" width="9.140625" style="1" hidden="1" customWidth="1"/>
    <col min="157" max="157" width="14.28515625" style="1" hidden="1" customWidth="1"/>
    <col min="158" max="183" width="4" style="1" hidden="1" customWidth="1"/>
    <col min="184" max="189" width="4" style="5" hidden="1" customWidth="1"/>
    <col min="190" max="190" width="9.140625" style="67" hidden="1" customWidth="1"/>
    <col min="191" max="191" width="23.7109375" style="160" bestFit="1" customWidth="1"/>
    <col min="192" max="192" width="12.42578125" style="160" customWidth="1"/>
    <col min="193" max="193" width="12" style="67" bestFit="1" customWidth="1"/>
    <col min="194" max="194" width="19.5703125" style="5" customWidth="1"/>
    <col min="195" max="196" width="12" style="67" customWidth="1"/>
    <col min="197" max="198" width="12" style="67" hidden="1" customWidth="1"/>
    <col min="199" max="199" width="0" style="5" hidden="1" customWidth="1"/>
    <col min="200" max="211" width="9.140625" style="5" hidden="1" customWidth="1"/>
    <col min="212" max="16384" width="9.140625" style="5"/>
  </cols>
  <sheetData>
    <row r="1" spans="1:211" ht="120" customHeight="1" thickBot="1" x14ac:dyDescent="1.1000000000000001">
      <c r="A1" s="23"/>
      <c r="B1" s="182" t="s">
        <v>66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190" t="e" vm="1">
        <v>#VALUE!</v>
      </c>
      <c r="AK1" s="190"/>
      <c r="AL1" s="190"/>
      <c r="AM1" s="190"/>
      <c r="AN1" s="190"/>
      <c r="AO1" s="191"/>
      <c r="BJ1" s="61"/>
      <c r="GI1" s="152"/>
      <c r="GJ1" s="152"/>
      <c r="GK1" s="83"/>
      <c r="GL1" s="83"/>
      <c r="GM1" s="83"/>
      <c r="GN1" s="83"/>
      <c r="GO1" s="83"/>
      <c r="GP1" s="83"/>
      <c r="GQ1" s="67"/>
      <c r="GR1" s="67"/>
    </row>
    <row r="2" spans="1:211" s="67" customFormat="1" ht="17.25" thickBot="1" x14ac:dyDescent="0.35">
      <c r="B2" s="68"/>
      <c r="C2" s="68"/>
      <c r="D2" s="68"/>
      <c r="E2" s="68"/>
      <c r="F2" s="68"/>
      <c r="G2" s="69"/>
      <c r="H2" s="68"/>
      <c r="I2" s="70"/>
      <c r="J2" s="70"/>
      <c r="K2" s="70"/>
      <c r="L2" s="70"/>
      <c r="M2" s="68"/>
      <c r="AJ2" s="192" t="s">
        <v>191</v>
      </c>
      <c r="AK2" s="193"/>
      <c r="AL2" s="193"/>
      <c r="AM2" s="193"/>
      <c r="AN2" s="193"/>
      <c r="AO2" s="193"/>
      <c r="AQ2" s="71"/>
      <c r="AR2" s="71"/>
      <c r="AS2" s="72"/>
      <c r="AT2" s="72"/>
      <c r="AU2" s="72"/>
      <c r="AV2" s="72"/>
      <c r="AW2" s="72"/>
      <c r="AX2" s="72"/>
      <c r="AY2" s="71"/>
      <c r="AZ2" s="71"/>
      <c r="BA2" s="71"/>
      <c r="BB2" s="72"/>
      <c r="BC2" s="72"/>
      <c r="BD2" s="72"/>
      <c r="BE2" s="71"/>
      <c r="BF2" s="72" t="s">
        <v>157</v>
      </c>
      <c r="BG2" s="72" t="s">
        <v>158</v>
      </c>
      <c r="BH2" s="72" t="s">
        <v>159</v>
      </c>
      <c r="BI2" s="72" t="s">
        <v>160</v>
      </c>
      <c r="BJ2" s="72" t="s">
        <v>164</v>
      </c>
      <c r="BK2" s="72" t="s">
        <v>165</v>
      </c>
      <c r="BL2" s="72" t="s">
        <v>166</v>
      </c>
      <c r="BM2" s="72" t="s">
        <v>168</v>
      </c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K2" s="71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I2" s="153"/>
      <c r="GJ2" s="153"/>
      <c r="GL2" s="53" t="s">
        <v>155</v>
      </c>
    </row>
    <row r="3" spans="1:211" s="9" customFormat="1" ht="40.5" customHeight="1" thickBot="1" x14ac:dyDescent="0.75">
      <c r="B3" s="64" t="s">
        <v>58</v>
      </c>
      <c r="C3" s="25" t="s">
        <v>59</v>
      </c>
      <c r="D3" s="25" t="s">
        <v>60</v>
      </c>
      <c r="E3" s="25" t="s">
        <v>88</v>
      </c>
      <c r="F3" s="25" t="s">
        <v>61</v>
      </c>
      <c r="G3" s="25" t="s">
        <v>62</v>
      </c>
      <c r="H3" s="25" t="s">
        <v>63</v>
      </c>
      <c r="I3" s="86" t="s">
        <v>64</v>
      </c>
      <c r="J3" s="84" t="s">
        <v>170</v>
      </c>
      <c r="K3" s="85" t="s">
        <v>171</v>
      </c>
      <c r="L3" s="48" t="s">
        <v>65</v>
      </c>
      <c r="M3" s="26" t="s">
        <v>2</v>
      </c>
      <c r="N3" s="27" t="s">
        <v>3</v>
      </c>
      <c r="O3" s="27" t="s">
        <v>14</v>
      </c>
      <c r="P3" s="27" t="s">
        <v>15</v>
      </c>
      <c r="Q3" s="27" t="s">
        <v>17</v>
      </c>
      <c r="R3" s="27" t="s">
        <v>18</v>
      </c>
      <c r="S3" s="27" t="s">
        <v>39</v>
      </c>
      <c r="T3" s="27" t="s">
        <v>40</v>
      </c>
      <c r="U3" s="27" t="s">
        <v>22</v>
      </c>
      <c r="V3" s="27" t="s">
        <v>23</v>
      </c>
      <c r="W3" s="27" t="s">
        <v>172</v>
      </c>
      <c r="X3" s="27" t="s">
        <v>173</v>
      </c>
      <c r="Y3" s="27" t="s">
        <v>174</v>
      </c>
      <c r="Z3" s="27" t="s">
        <v>175</v>
      </c>
      <c r="AA3" s="27" t="s">
        <v>180</v>
      </c>
      <c r="AB3" s="27" t="s">
        <v>179</v>
      </c>
      <c r="AC3" s="27" t="s">
        <v>192</v>
      </c>
      <c r="AD3" s="27" t="s">
        <v>193</v>
      </c>
      <c r="AJ3" s="74"/>
      <c r="AK3" s="184" t="s">
        <v>50</v>
      </c>
      <c r="AL3" s="185"/>
      <c r="AM3" s="185"/>
      <c r="AN3" s="185"/>
      <c r="AO3" s="186"/>
      <c r="AP3" s="82"/>
      <c r="AQ3" s="40"/>
      <c r="AR3" s="40"/>
      <c r="AS3" s="3" t="s">
        <v>0</v>
      </c>
      <c r="AT3" s="3" t="s">
        <v>13</v>
      </c>
      <c r="AU3" s="3" t="s">
        <v>9</v>
      </c>
      <c r="AV3" s="3" t="s">
        <v>7</v>
      </c>
      <c r="AW3" s="3" t="s">
        <v>10</v>
      </c>
      <c r="AX3" s="3" t="s">
        <v>11</v>
      </c>
      <c r="AY3" s="3" t="s">
        <v>19</v>
      </c>
      <c r="AZ3" s="3" t="s">
        <v>20</v>
      </c>
      <c r="BA3" s="41" t="s">
        <v>16</v>
      </c>
      <c r="BB3" s="3" t="s">
        <v>21</v>
      </c>
      <c r="BC3" s="39" t="s">
        <v>44</v>
      </c>
      <c r="BD3" s="3" t="s">
        <v>43</v>
      </c>
      <c r="BE3" s="4" t="s">
        <v>21</v>
      </c>
      <c r="BF3" s="4" t="s">
        <v>36</v>
      </c>
      <c r="BG3" s="4" t="s">
        <v>38</v>
      </c>
      <c r="BH3" s="4" t="s">
        <v>37</v>
      </c>
      <c r="BI3" s="4" t="s">
        <v>161</v>
      </c>
      <c r="BJ3" s="4" t="s">
        <v>162</v>
      </c>
      <c r="BK3" s="4" t="s">
        <v>163</v>
      </c>
      <c r="BL3" s="4" t="s">
        <v>167</v>
      </c>
      <c r="BM3" s="4" t="s">
        <v>169</v>
      </c>
      <c r="BN3" s="40" t="s">
        <v>41</v>
      </c>
      <c r="BO3" s="40" t="s">
        <v>42</v>
      </c>
      <c r="BP3" s="40"/>
      <c r="BQ3" s="40" t="s">
        <v>0</v>
      </c>
      <c r="BR3" s="40" t="s">
        <v>136</v>
      </c>
      <c r="BS3" s="40" t="s">
        <v>11</v>
      </c>
      <c r="BT3" s="40" t="s">
        <v>16</v>
      </c>
      <c r="BU3" s="40" t="s">
        <v>19</v>
      </c>
      <c r="BV3" s="40" t="s">
        <v>137</v>
      </c>
      <c r="BW3" s="40" t="s">
        <v>139</v>
      </c>
      <c r="BX3" s="40" t="s">
        <v>21</v>
      </c>
      <c r="BY3" s="40"/>
      <c r="BZ3" s="40"/>
      <c r="CA3" s="40"/>
      <c r="CB3" s="40"/>
      <c r="CC3" s="40"/>
      <c r="CD3" s="40"/>
      <c r="CE3" s="40"/>
      <c r="CF3" s="40"/>
      <c r="CG3" s="40"/>
      <c r="CH3" s="40"/>
      <c r="CK3" s="40" t="s">
        <v>35</v>
      </c>
      <c r="CL3" s="55" t="s">
        <v>27</v>
      </c>
      <c r="CM3" s="55" t="s">
        <v>124</v>
      </c>
      <c r="CN3" s="55" t="s">
        <v>125</v>
      </c>
      <c r="CO3" s="55" t="s">
        <v>31</v>
      </c>
      <c r="CP3" s="55" t="s">
        <v>28</v>
      </c>
      <c r="CQ3" s="55" t="s">
        <v>33</v>
      </c>
      <c r="CR3" s="55" t="s">
        <v>126</v>
      </c>
      <c r="CS3" s="55" t="s">
        <v>127</v>
      </c>
      <c r="CT3" s="55" t="s">
        <v>128</v>
      </c>
      <c r="CU3" s="55" t="s">
        <v>25</v>
      </c>
      <c r="CV3" s="55" t="s">
        <v>34</v>
      </c>
      <c r="CW3" s="55" t="s">
        <v>24</v>
      </c>
      <c r="CX3" s="55" t="s">
        <v>32</v>
      </c>
      <c r="CY3" s="55" t="s">
        <v>8</v>
      </c>
      <c r="CZ3" s="55" t="s">
        <v>129</v>
      </c>
      <c r="DA3" s="55" t="s">
        <v>26</v>
      </c>
      <c r="DB3" s="55" t="s">
        <v>29</v>
      </c>
      <c r="DC3" s="55" t="s">
        <v>130</v>
      </c>
      <c r="DD3" s="55" t="s">
        <v>131</v>
      </c>
      <c r="DE3" s="55" t="s">
        <v>132</v>
      </c>
      <c r="DF3" s="55" t="s">
        <v>133</v>
      </c>
      <c r="DG3" s="55" t="s">
        <v>134</v>
      </c>
      <c r="DH3" s="55" t="s">
        <v>30</v>
      </c>
      <c r="DI3" s="55" t="s">
        <v>135</v>
      </c>
      <c r="DJ3" s="55"/>
      <c r="DK3" s="55"/>
      <c r="DL3" s="55"/>
      <c r="DM3" s="55"/>
      <c r="DN3" s="55"/>
      <c r="DO3" s="55"/>
      <c r="DP3" s="55"/>
      <c r="DQ3" s="55"/>
      <c r="DR3" s="40"/>
      <c r="DS3" s="40" t="s">
        <v>35</v>
      </c>
      <c r="DT3" s="55" t="s">
        <v>27</v>
      </c>
      <c r="DU3" s="55" t="s">
        <v>124</v>
      </c>
      <c r="DV3" s="55" t="s">
        <v>125</v>
      </c>
      <c r="DW3" s="55" t="s">
        <v>31</v>
      </c>
      <c r="DX3" s="55" t="s">
        <v>28</v>
      </c>
      <c r="DY3" s="55" t="s">
        <v>33</v>
      </c>
      <c r="DZ3" s="55" t="s">
        <v>126</v>
      </c>
      <c r="EA3" s="55" t="s">
        <v>127</v>
      </c>
      <c r="EB3" s="55" t="s">
        <v>128</v>
      </c>
      <c r="EC3" s="55" t="s">
        <v>25</v>
      </c>
      <c r="ED3" s="55" t="s">
        <v>34</v>
      </c>
      <c r="EE3" s="55" t="s">
        <v>24</v>
      </c>
      <c r="EF3" s="55" t="s">
        <v>32</v>
      </c>
      <c r="EG3" s="55" t="s">
        <v>8</v>
      </c>
      <c r="EH3" s="55" t="s">
        <v>129</v>
      </c>
      <c r="EI3" s="55" t="s">
        <v>26</v>
      </c>
      <c r="EJ3" s="55" t="s">
        <v>29</v>
      </c>
      <c r="EK3" s="55" t="s">
        <v>130</v>
      </c>
      <c r="EL3" s="55" t="s">
        <v>131</v>
      </c>
      <c r="EM3" s="55" t="s">
        <v>132</v>
      </c>
      <c r="EN3" s="55" t="s">
        <v>133</v>
      </c>
      <c r="EO3" s="55" t="s">
        <v>134</v>
      </c>
      <c r="EP3" s="55" t="s">
        <v>30</v>
      </c>
      <c r="EQ3" s="55" t="s">
        <v>135</v>
      </c>
      <c r="ER3" s="55"/>
      <c r="ES3" s="55"/>
      <c r="ET3" s="55"/>
      <c r="EU3" s="55"/>
      <c r="EV3" s="55"/>
      <c r="EW3" s="55"/>
      <c r="EX3" s="55"/>
      <c r="EY3" s="55"/>
      <c r="EZ3" s="40"/>
      <c r="FA3" s="40" t="s">
        <v>35</v>
      </c>
      <c r="FB3" s="55" t="s">
        <v>27</v>
      </c>
      <c r="FC3" s="55" t="s">
        <v>124</v>
      </c>
      <c r="FD3" s="55" t="s">
        <v>125</v>
      </c>
      <c r="FE3" s="55" t="s">
        <v>31</v>
      </c>
      <c r="FF3" s="55" t="s">
        <v>28</v>
      </c>
      <c r="FG3" s="55" t="s">
        <v>33</v>
      </c>
      <c r="FH3" s="55" t="s">
        <v>126</v>
      </c>
      <c r="FI3" s="55" t="s">
        <v>127</v>
      </c>
      <c r="FJ3" s="55" t="s">
        <v>128</v>
      </c>
      <c r="FK3" s="55" t="s">
        <v>25</v>
      </c>
      <c r="FL3" s="55" t="s">
        <v>34</v>
      </c>
      <c r="FM3" s="55" t="s">
        <v>24</v>
      </c>
      <c r="FN3" s="55" t="s">
        <v>32</v>
      </c>
      <c r="FO3" s="55" t="s">
        <v>8</v>
      </c>
      <c r="FP3" s="55" t="s">
        <v>129</v>
      </c>
      <c r="FQ3" s="55" t="s">
        <v>26</v>
      </c>
      <c r="FR3" s="55" t="s">
        <v>29</v>
      </c>
      <c r="FS3" s="55" t="s">
        <v>130</v>
      </c>
      <c r="FT3" s="55" t="s">
        <v>131</v>
      </c>
      <c r="FU3" s="55" t="s">
        <v>132</v>
      </c>
      <c r="FV3" s="55" t="s">
        <v>133</v>
      </c>
      <c r="FW3" s="55" t="s">
        <v>134</v>
      </c>
      <c r="FX3" s="55" t="s">
        <v>30</v>
      </c>
      <c r="FY3" s="55" t="s">
        <v>135</v>
      </c>
      <c r="FZ3" s="55"/>
      <c r="GA3" s="55"/>
      <c r="GB3" s="12"/>
      <c r="GC3" s="12"/>
      <c r="GD3" s="12"/>
      <c r="GE3" s="12"/>
      <c r="GF3" s="12"/>
      <c r="GG3" s="12"/>
      <c r="GH3" s="82"/>
      <c r="GI3" s="154" t="s">
        <v>13</v>
      </c>
      <c r="GJ3" s="155" t="s">
        <v>47</v>
      </c>
      <c r="GK3" s="82"/>
      <c r="GL3" s="52" t="s">
        <v>156</v>
      </c>
      <c r="GM3" s="82"/>
      <c r="GN3" s="82"/>
      <c r="GO3" s="82"/>
      <c r="GP3" s="82"/>
      <c r="GS3" s="178" t="s">
        <v>142</v>
      </c>
      <c r="GT3" s="178"/>
      <c r="GU3" s="178"/>
      <c r="GV3" s="178"/>
      <c r="GW3" s="178"/>
      <c r="GX3" s="178"/>
      <c r="GY3" s="178"/>
      <c r="GZ3" s="43" t="s">
        <v>144</v>
      </c>
      <c r="HA3" s="43" t="s">
        <v>146</v>
      </c>
      <c r="HB3" s="43" t="s">
        <v>147</v>
      </c>
      <c r="HC3" s="43" t="s">
        <v>148</v>
      </c>
    </row>
    <row r="4" spans="1:211" s="11" customFormat="1" ht="30" customHeight="1" thickBot="1" x14ac:dyDescent="0.25">
      <c r="B4" s="113">
        <v>1</v>
      </c>
      <c r="C4" s="113" t="s">
        <v>1</v>
      </c>
      <c r="D4" s="114">
        <v>45457</v>
      </c>
      <c r="E4" s="113" t="s">
        <v>78</v>
      </c>
      <c r="F4" s="115">
        <v>0.875</v>
      </c>
      <c r="G4" s="116">
        <f>(D4+F4)+IF($A$7&gt;=0,TIMEVALUE($A$7&amp;":00"),-TIMEVALUE(ABS($A$7)&amp;":00"))</f>
        <v>45457.625</v>
      </c>
      <c r="H4" s="113" t="s">
        <v>89</v>
      </c>
      <c r="I4" s="117"/>
      <c r="J4" s="118"/>
      <c r="K4" s="118"/>
      <c r="L4" s="119" t="str">
        <f>IF(tblActuals[[#This Row],[SCORE]]="","",IF(Q4=R4,"Draw",IF(Q4&gt;R4,M4,N4)))</f>
        <v/>
      </c>
      <c r="M4" s="120" t="str">
        <f>IF(tblActuals[[#This Row],[TEAMS]]="","",LEFT(H4,FIND(" -",H4,1)-1))</f>
        <v>Germany</v>
      </c>
      <c r="N4" s="120" t="str">
        <f>IF(tblActuals[[#This Row],[TEAMS]]="","",MID(H4,FIND("-",H4,1)+2,LEN(H4)-FIND("-",H4,1)+2))</f>
        <v>Scotland</v>
      </c>
      <c r="O4" s="120" t="str">
        <f>IF(tblActuals[[#This Row],[Team 1 Goals]]&gt;tblActuals[[#This Row],[Team 2 Goals]],tblActuals[[#This Row],[Team 1]],IF(tblActuals[[#This Row],[Team 2 Goals]]&gt;tblActuals[[#This Row],[Team 1 Goals]],tblActuals[[#This Row],[Team 2]],""))</f>
        <v/>
      </c>
      <c r="P4" s="120" t="str">
        <f>IF(tblActuals[[#This Row],[Winner]]=tblActuals[[#This Row],[Team 1]],tblActuals[[#This Row],[Team 2]],IF(tblActuals[[#This Row],[Winner]]=tblActuals[[#This Row],[Team 2]],tblActuals[[#This Row],[Team 1]],""))</f>
        <v/>
      </c>
      <c r="Q4" s="120" t="str">
        <f>IF(tblActuals[[#This Row],[SCORE]]="","",LEFT(I4,FIND(":",I4,1)-1)*1)</f>
        <v/>
      </c>
      <c r="R4" s="120" t="str">
        <f>IF(tblActuals[[#This Row],[SCORE]]="","",MID(I4,FIND(":",I4,1)+1,LEN(I4)-FIND(":",I4,1)+1)*1)</f>
        <v/>
      </c>
      <c r="S4" s="120" t="str">
        <f>IF(OR(tblActuals[[#This Row],[Team 1 Goals]]="",tblActuals[[#This Row],[Team 2 Goals]]=""),"",tblActuals[[#This Row],[Team 1 Goals]]-tblActuals[[#This Row],[Team 2 Goals]])</f>
        <v/>
      </c>
      <c r="T4" s="120" t="str">
        <f>IF(OR(tblActuals[[#This Row],[Team 1 Goals]]="",tblActuals[[#This Row],[Team 2 Goals]]=""),"",tblActuals[[#This Row],[Team 2 Goals]]-tblActuals[[#This Row],[Team 1 Goals]])</f>
        <v/>
      </c>
      <c r="U4" s="120" t="str">
        <f>IF(tblActuals[[#This Row],[SCORE]]="","",IF(tblActuals[[#This Row],[WINNER / RESULT]]="Draw",1,IF(tblActuals[[#This Row],[WINNER / RESULT]]=tblActuals[[#This Row],[Team 1]],3,0)))</f>
        <v/>
      </c>
      <c r="V4" s="120" t="str">
        <f>IF(tblActuals[[#This Row],[SCORE]]="","",IF(tblActuals[[#This Row],[WINNER / RESULT]]="Draw",1,IF(tblActuals[[#This Row],[WINNER / RESULT]]=tblActuals[[#This Row],[Team 2]],3,0)))</f>
        <v/>
      </c>
      <c r="W4" s="121"/>
      <c r="X4" s="121"/>
      <c r="Y4" s="121"/>
      <c r="Z4" s="121"/>
      <c r="AA4" s="120" t="e">
        <f>tblActuals[[#This Row],[Team 1 Goals]]+tblActuals[[#This Row],[Team 1 ET Goals]]&amp;":"&amp;tblActuals[[#This Row],[Team 2 Goals]]+tblActuals[[#This Row],[Team 2 ET Goals]]</f>
        <v>#VALUE!</v>
      </c>
      <c r="AB4" s="120" t="e">
        <f>+tblActuals[[#This Row],[Team 1 Goals]]+tblActuals[[#This Row],[Team 2 Goals]]</f>
        <v>#VALUE!</v>
      </c>
      <c r="AC4" s="165">
        <f t="shared" ref="AC4:AC54" si="0">DATE(YEAR(G4),MONTH(G4),DAY(G4))</f>
        <v>45457</v>
      </c>
      <c r="AD4" s="166">
        <f>RANK(G4,$G$4:$G$54,1)+ROW(G4)/10</f>
        <v>1.4</v>
      </c>
      <c r="AF4" s="3" t="s">
        <v>4</v>
      </c>
      <c r="AH4" s="10"/>
      <c r="AJ4" s="75"/>
      <c r="AK4" s="75"/>
      <c r="AL4" s="75"/>
      <c r="AM4" s="75"/>
      <c r="AN4" s="75"/>
      <c r="AO4" s="75"/>
      <c r="AP4" s="75"/>
      <c r="AQ4" s="42"/>
      <c r="AR4" s="4"/>
      <c r="AS4" s="4" t="s">
        <v>1</v>
      </c>
      <c r="AT4" s="4" t="s">
        <v>27</v>
      </c>
      <c r="AU4" s="4">
        <f>COUNTIF(tblActuals[Winner],AT4)</f>
        <v>0</v>
      </c>
      <c r="AV4" s="4">
        <f>COUNTIFS(tblActuals[Team 2],AT4,tblActuals[WINNER / RESULT],"Draw")+COUNTIFS(tblActuals[Team 1],AT4,tblActuals[WINNER / RESULT],"Draw")</f>
        <v>0</v>
      </c>
      <c r="AW4" s="4">
        <f>COUNTIF(tblActuals[Loser],AT4)</f>
        <v>0</v>
      </c>
      <c r="AX4" s="4">
        <f>AV4+(3*AU4)</f>
        <v>0</v>
      </c>
      <c r="AY4" s="4">
        <f>SUMIFS(tblActuals[Team 1 Goals],tblActuals[Team 1],AT4)+SUMIFS(tblActuals[Team 2 Goals],tblActuals[Team 2],AT4)</f>
        <v>0</v>
      </c>
      <c r="AZ4" s="4">
        <f>SUMIFS(tblActuals[Team 2 Goals],tblActuals[Team 1],AT4)+SUMIFS(tblActuals[Team 1 Goals],tblActuals[Team 2],AT4)</f>
        <v>0</v>
      </c>
      <c r="BA4" s="4">
        <f>AY4-AZ4</f>
        <v>0</v>
      </c>
      <c r="BB4" s="4">
        <f ca="1">RANK(BO4,$BO$4:$BO$7,1)</f>
        <v>1</v>
      </c>
      <c r="BC4" s="4" t="str">
        <f t="shared" ref="BC4:BC32" si="1">IFERROR(VLOOKUP(AT4,GI:GJ,2,FALSE),"")</f>
        <v/>
      </c>
      <c r="BD4" s="4" t="str">
        <f ca="1">IF(BC4="",BB4&amp;AS4,BC4&amp;AS4)</f>
        <v>1A</v>
      </c>
      <c r="BE4" s="4">
        <f>RANK(AX4,$AX$4:$AX$7,0)</f>
        <v>1</v>
      </c>
      <c r="BF4" s="4" cm="1">
        <f t="array" aca="1" ref="BF4" ca="1">SUMPRODUCT((OFFSET($CL$3:$DQ$3,MATCH($AT4,$CK$4:$CK$35,0),0))*((IF($BE6=$BE4,$CL$3:$DQ$3=$AT6,0))+(IF($BE7=$BE4,$CL$3:$DQ$3=$AT7,0))+(IF($BE5=$BE4,$CL$3:$DQ$3=$AT5,0))))</f>
        <v>0</v>
      </c>
      <c r="BG4" s="4" cm="1">
        <f t="array" aca="1" ref="BG4" ca="1">SUMPRODUCT((OFFSET($DT$3:$EY$3,MATCH($AT4,$DS$4:$DS$35,0),0))*((IF($BE6=$BE4,$DT$3:$EY$3=$AT6,0))+(IF($BE7=$BE4,$DT$3:$EY$3=$AT7,0))+(IF($BE5=$BE4,$DT$3:$EY$3=$AT5,0))))</f>
        <v>0</v>
      </c>
      <c r="BH4" s="4" cm="1">
        <f t="array" aca="1" ref="BH4" ca="1">SUMPRODUCT((OFFSET($FB$3:$GG$3,MATCH($AT4,$FA$4:$FA$35,0),0))*((IF($BE6=$BE4,$FB$3:$GG$3=$AT6,0))+(IF($BE7=$BE4,$FB$3:$GG$3=$AT7,0))+(IF($BE5=$BE4,$FB$3:$GG$3=$AT5,0))))</f>
        <v>0</v>
      </c>
      <c r="BI4" s="4" cm="1">
        <f t="array" aca="1" ref="BI4" ca="1">SUMPRODUCT((OFFSET($CL$3:$DQ$3,MATCH($AT4,$CK$4:$CK$35,0),0))*((IF($BE6&lt;&gt;$BE4,$CL$3:$DQ$3=$AT6,0))+(IF($BE7&lt;&gt;$BE4,$CL$3:$DQ$3=$AT7,0))+(IF($BE5&lt;&gt;$BE4,$CL$3:$DQ$3=$AT5,0))))</f>
        <v>0</v>
      </c>
      <c r="BJ4" s="4" cm="1">
        <f t="array" aca="1" ref="BJ4" ca="1">SUMPRODUCT((OFFSET($DT$3:$EY$3,MATCH($AT4,$DS$4:$DS$35,0),0))*((IF($BE6&lt;&gt;$BE4,$DT$3:$EY$3=$AT6,0))+(IF($BE7&lt;&gt;$BE4,$DT$3:$EY$3=$AT7,0))+(IF($BE5&lt;&gt;$BE4,$DT$3:$EY$3=$AT5,0))))</f>
        <v>0</v>
      </c>
      <c r="BK4" s="4" cm="1">
        <f t="array" aca="1" ref="BK4" ca="1">SUMPRODUCT((OFFSET($FB$3:$GG$3,MATCH($AT4,$FA$4:$FA$35,0),0))*((IF($BE6&lt;&gt;$BE4,$FB$3:$GG$3=$AT6,0))+(IF($BE7&lt;&gt;$BE4,$FB$3:$GG$3=$AT7,0))+(IF($BE5&lt;&gt;$BE4,$FB$3:$GG$3=$AT5,0))))</f>
        <v>0</v>
      </c>
      <c r="BL4" s="4">
        <f>BA4</f>
        <v>0</v>
      </c>
      <c r="BM4" s="4">
        <f>AY4</f>
        <v>0</v>
      </c>
      <c r="BN4" s="4">
        <f ca="1">(BF4/10)+(BG4/100)+(BH4/1000)+(BJ4/10000)+(BK4/100000)+(BL4/1000000)+(BM4/10000000)+(ROW(BI7)/100000000)</f>
        <v>7.0000000000000005E-8</v>
      </c>
      <c r="BO4" s="4">
        <f ca="1">+BE4-BN4</f>
        <v>0.99999992999999998</v>
      </c>
      <c r="BP4" s="4"/>
      <c r="BQ4" s="4" t="s">
        <v>1</v>
      </c>
      <c r="BR4" s="4" t="str">
        <f ca="1">AL8</f>
        <v>Scotland</v>
      </c>
      <c r="BS4" s="4">
        <f t="shared" ref="BS4:BS9" ca="1" si="2">SUMIF(AT:AT,BR4,AX:AX)</f>
        <v>0</v>
      </c>
      <c r="BT4" s="4">
        <f t="shared" ref="BT4:BT9" ca="1" si="3">SUMIF(AT:AT,BR4,BA:BA)</f>
        <v>0</v>
      </c>
      <c r="BU4" s="4">
        <f t="shared" ref="BU4:BU9" ca="1" si="4">SUMIF(AT:AT,BR4,AY:AY)</f>
        <v>0</v>
      </c>
      <c r="BV4" s="4">
        <f t="shared" ref="BV4:BV9" ca="1" si="5">SUMIF(AT:AT,BR4,AU:AU)</f>
        <v>0</v>
      </c>
      <c r="BW4" s="4">
        <f t="shared" ref="BW4:BW9" ca="1" si="6">(BS4/1000)+(BT4/10000)+(BU4/100000)+(ROW(BV4)/10000000)</f>
        <v>3.9999999999999998E-7</v>
      </c>
      <c r="BX4" s="4">
        <f t="shared" ref="BX4:BX9" ca="1" si="7">RANK(BW4,$BW$4:$BW$9)</f>
        <v>6</v>
      </c>
      <c r="BY4" s="4"/>
      <c r="BZ4" s="4"/>
      <c r="CA4" s="4"/>
      <c r="CB4" s="4"/>
      <c r="CC4" s="4"/>
      <c r="CD4" s="4"/>
      <c r="CE4" s="4"/>
      <c r="CF4" s="4"/>
      <c r="CG4" s="4"/>
      <c r="CH4" s="4"/>
      <c r="CK4" s="4" t="s">
        <v>27</v>
      </c>
      <c r="CL4" s="56">
        <f>SUMIFS(tblActuals[Team 2 Points],tblActuals[Team 2],$CK4,tblActuals[Team 1],CL$3)+SUMIFS(tblActuals[Team 1 Points],tblActuals[Team 1],$CK4,tblActuals[Team 2],CL$3)</f>
        <v>0</v>
      </c>
      <c r="CM4" s="56">
        <f>SUMIFS(tblActuals[Team 2 Points],tblActuals[Team 2],$CK4,tblActuals[Team 1],CM$3)+SUMIFS(tblActuals[Team 1 Points],tblActuals[Team 1],$CK4,tblActuals[Team 2],CM$3)</f>
        <v>0</v>
      </c>
      <c r="CN4" s="56">
        <f>SUMIFS(tblActuals[Team 2 Points],tblActuals[Team 2],$CK4,tblActuals[Team 1],CN$3)+SUMIFS(tblActuals[Team 1 Points],tblActuals[Team 1],$CK4,tblActuals[Team 2],CN$3)</f>
        <v>0</v>
      </c>
      <c r="CO4" s="56">
        <f>SUMIFS(tblActuals[Team 2 Points],tblActuals[Team 2],$CK4,tblActuals[Team 1],CO$3)+SUMIFS(tblActuals[Team 1 Points],tblActuals[Team 1],$CK4,tblActuals[Team 2],CO$3)</f>
        <v>0</v>
      </c>
      <c r="CP4" s="56">
        <f>SUMIFS(tblActuals[Team 2 Points],tblActuals[Team 2],$CK4,tblActuals[Team 1],CP$3)+SUMIFS(tblActuals[Team 1 Points],tblActuals[Team 1],$CK4,tblActuals[Team 2],CP$3)</f>
        <v>0</v>
      </c>
      <c r="CQ4" s="56">
        <f>SUMIFS(tblActuals[Team 2 Points],tblActuals[Team 2],$CK4,tblActuals[Team 1],CQ$3)+SUMIFS(tblActuals[Team 1 Points],tblActuals[Team 1],$CK4,tblActuals[Team 2],CQ$3)</f>
        <v>0</v>
      </c>
      <c r="CR4" s="56">
        <f>SUMIFS(tblActuals[Team 2 Points],tblActuals[Team 2],$CK4,tblActuals[Team 1],CR$3)+SUMIFS(tblActuals[Team 1 Points],tblActuals[Team 1],$CK4,tblActuals[Team 2],CR$3)</f>
        <v>0</v>
      </c>
      <c r="CS4" s="56">
        <f>SUMIFS(tblActuals[Team 2 Points],tblActuals[Team 2],$CK4,tblActuals[Team 1],CS$3)+SUMIFS(tblActuals[Team 1 Points],tblActuals[Team 1],$CK4,tblActuals[Team 2],CS$3)</f>
        <v>0</v>
      </c>
      <c r="CT4" s="56">
        <f>SUMIFS(tblActuals[Team 2 Points],tblActuals[Team 2],$CK4,tblActuals[Team 1],CT$3)+SUMIFS(tblActuals[Team 1 Points],tblActuals[Team 1],$CK4,tblActuals[Team 2],CT$3)</f>
        <v>0</v>
      </c>
      <c r="CU4" s="56">
        <f>SUMIFS(tblActuals[Team 2 Points],tblActuals[Team 2],$CK4,tblActuals[Team 1],CU$3)+SUMIFS(tblActuals[Team 1 Points],tblActuals[Team 1],$CK4,tblActuals[Team 2],CU$3)</f>
        <v>0</v>
      </c>
      <c r="CV4" s="56">
        <f>SUMIFS(tblActuals[Team 2 Points],tblActuals[Team 2],$CK4,tblActuals[Team 1],CV$3)+SUMIFS(tblActuals[Team 1 Points],tblActuals[Team 1],$CK4,tblActuals[Team 2],CV$3)</f>
        <v>0</v>
      </c>
      <c r="CW4" s="56">
        <f>SUMIFS(tblActuals[Team 2 Points],tblActuals[Team 2],$CK4,tblActuals[Team 1],CW$3)+SUMIFS(tblActuals[Team 1 Points],tblActuals[Team 1],$CK4,tblActuals[Team 2],CW$3)</f>
        <v>0</v>
      </c>
      <c r="CX4" s="56">
        <f>SUMIFS(tblActuals[Team 2 Points],tblActuals[Team 2],$CK4,tblActuals[Team 1],CX$3)+SUMIFS(tblActuals[Team 1 Points],tblActuals[Team 1],$CK4,tblActuals[Team 2],CX$3)</f>
        <v>0</v>
      </c>
      <c r="CY4" s="56">
        <f>SUMIFS(tblActuals[Team 2 Points],tblActuals[Team 2],$CK4,tblActuals[Team 1],CY$3)+SUMIFS(tblActuals[Team 1 Points],tblActuals[Team 1],$CK4,tblActuals[Team 2],CY$3)</f>
        <v>0</v>
      </c>
      <c r="CZ4" s="56">
        <f>SUMIFS(tblActuals[Team 2 Points],tblActuals[Team 2],$CK4,tblActuals[Team 1],CZ$3)+SUMIFS(tblActuals[Team 1 Points],tblActuals[Team 1],$CK4,tblActuals[Team 2],CZ$3)</f>
        <v>0</v>
      </c>
      <c r="DA4" s="56">
        <f>SUMIFS(tblActuals[Team 2 Points],tblActuals[Team 2],$CK4,tblActuals[Team 1],DA$3)+SUMIFS(tblActuals[Team 1 Points],tblActuals[Team 1],$CK4,tblActuals[Team 2],DA$3)</f>
        <v>0</v>
      </c>
      <c r="DB4" s="56">
        <f>SUMIFS(tblActuals[Team 2 Points],tblActuals[Team 2],$CK4,tblActuals[Team 1],DB$3)+SUMIFS(tblActuals[Team 1 Points],tblActuals[Team 1],$CK4,tblActuals[Team 2],DB$3)</f>
        <v>0</v>
      </c>
      <c r="DC4" s="56">
        <f>SUMIFS(tblActuals[Team 2 Points],tblActuals[Team 2],$CK4,tblActuals[Team 1],DC$3)+SUMIFS(tblActuals[Team 1 Points],tblActuals[Team 1],$CK4,tblActuals[Team 2],DC$3)</f>
        <v>0</v>
      </c>
      <c r="DD4" s="56">
        <f>SUMIFS(tblActuals[Team 2 Points],tblActuals[Team 2],$CK4,tblActuals[Team 1],DD$3)+SUMIFS(tblActuals[Team 1 Points],tblActuals[Team 1],$CK4,tblActuals[Team 2],DD$3)</f>
        <v>0</v>
      </c>
      <c r="DE4" s="56">
        <f>SUMIFS(tblActuals[Team 2 Points],tblActuals[Team 2],$CK4,tblActuals[Team 1],DE$3)+SUMIFS(tblActuals[Team 1 Points],tblActuals[Team 1],$CK4,tblActuals[Team 2],DE$3)</f>
        <v>0</v>
      </c>
      <c r="DF4" s="56">
        <f>SUMIFS(tblActuals[Team 2 Points],tblActuals[Team 2],$CK4,tblActuals[Team 1],DF$3)+SUMIFS(tblActuals[Team 1 Points],tblActuals[Team 1],$CK4,tblActuals[Team 2],DF$3)</f>
        <v>0</v>
      </c>
      <c r="DG4" s="56">
        <f>SUMIFS(tblActuals[Team 2 Points],tblActuals[Team 2],$CK4,tblActuals[Team 1],DG$3)+SUMIFS(tblActuals[Team 1 Points],tblActuals[Team 1],$CK4,tblActuals[Team 2],DG$3)</f>
        <v>0</v>
      </c>
      <c r="DH4" s="56">
        <f>SUMIFS(tblActuals[Team 2 Points],tblActuals[Team 2],$CK4,tblActuals[Team 1],DH$3)+SUMIFS(tblActuals[Team 1 Points],tblActuals[Team 1],$CK4,tblActuals[Team 2],DH$3)</f>
        <v>0</v>
      </c>
      <c r="DI4" s="56">
        <f>SUMIFS(tblActuals[Team 2 Points],tblActuals[Team 2],$CK4,tblActuals[Team 1],DI$3)+SUMIFS(tblActuals[Team 1 Points],tblActuals[Team 1],$CK4,tblActuals[Team 2],DI$3)</f>
        <v>0</v>
      </c>
      <c r="DJ4" s="57"/>
      <c r="DK4" s="57"/>
      <c r="DL4" s="57"/>
      <c r="DM4" s="57"/>
      <c r="DN4" s="57"/>
      <c r="DO4" s="57"/>
      <c r="DP4" s="57"/>
      <c r="DQ4" s="57"/>
      <c r="DR4" s="4"/>
      <c r="DS4" s="4" t="s">
        <v>27</v>
      </c>
      <c r="DT4" s="56">
        <f>SUMIFS(tblActuals[Team 2 GD],tblActuals[Team 2],$CK4,tblActuals[Team 1],DT$3)+SUMIFS(tblActuals[Team 1 GD],tblActuals[Team 1],$CK4,tblActuals[Team 2],DT$3)</f>
        <v>0</v>
      </c>
      <c r="DU4" s="56">
        <f>SUMIFS(tblActuals[Team 2 GD],tblActuals[Team 2],$CK4,tblActuals[Team 1],DU$3)+SUMIFS(tblActuals[Team 1 GD],tblActuals[Team 1],$CK4,tblActuals[Team 2],DU$3)</f>
        <v>0</v>
      </c>
      <c r="DV4" s="56">
        <f>SUMIFS(tblActuals[Team 2 GD],tblActuals[Team 2],$CK4,tblActuals[Team 1],DV$3)+SUMIFS(tblActuals[Team 1 GD],tblActuals[Team 1],$CK4,tblActuals[Team 2],DV$3)</f>
        <v>0</v>
      </c>
      <c r="DW4" s="56">
        <f>SUMIFS(tblActuals[Team 2 GD],tblActuals[Team 2],$CK4,tblActuals[Team 1],DW$3)+SUMIFS(tblActuals[Team 1 GD],tblActuals[Team 1],$CK4,tblActuals[Team 2],DW$3)</f>
        <v>0</v>
      </c>
      <c r="DX4" s="56">
        <f>SUMIFS(tblActuals[Team 2 GD],tblActuals[Team 2],$CK4,tblActuals[Team 1],DX$3)+SUMIFS(tblActuals[Team 1 GD],tblActuals[Team 1],$CK4,tblActuals[Team 2],DX$3)</f>
        <v>0</v>
      </c>
      <c r="DY4" s="56">
        <f>SUMIFS(tblActuals[Team 2 GD],tblActuals[Team 2],$CK4,tblActuals[Team 1],DY$3)+SUMIFS(tblActuals[Team 1 GD],tblActuals[Team 1],$CK4,tblActuals[Team 2],DY$3)</f>
        <v>0</v>
      </c>
      <c r="DZ4" s="56">
        <f>SUMIFS(tblActuals[Team 2 GD],tblActuals[Team 2],$CK4,tblActuals[Team 1],DZ$3)+SUMIFS(tblActuals[Team 1 GD],tblActuals[Team 1],$CK4,tblActuals[Team 2],DZ$3)</f>
        <v>0</v>
      </c>
      <c r="EA4" s="56">
        <f>SUMIFS(tblActuals[Team 2 GD],tblActuals[Team 2],$CK4,tblActuals[Team 1],EA$3)+SUMIFS(tblActuals[Team 1 GD],tblActuals[Team 1],$CK4,tblActuals[Team 2],EA$3)</f>
        <v>0</v>
      </c>
      <c r="EB4" s="56">
        <f>SUMIFS(tblActuals[Team 2 GD],tblActuals[Team 2],$CK4,tblActuals[Team 1],EB$3)+SUMIFS(tblActuals[Team 1 GD],tblActuals[Team 1],$CK4,tblActuals[Team 2],EB$3)</f>
        <v>0</v>
      </c>
      <c r="EC4" s="56">
        <f>SUMIFS(tblActuals[Team 2 GD],tblActuals[Team 2],$CK4,tblActuals[Team 1],EC$3)+SUMIFS(tblActuals[Team 1 GD],tblActuals[Team 1],$CK4,tblActuals[Team 2],EC$3)</f>
        <v>0</v>
      </c>
      <c r="ED4" s="56">
        <f>SUMIFS(tblActuals[Team 2 GD],tblActuals[Team 2],$CK4,tblActuals[Team 1],ED$3)+SUMIFS(tblActuals[Team 1 GD],tblActuals[Team 1],$CK4,tblActuals[Team 2],ED$3)</f>
        <v>0</v>
      </c>
      <c r="EE4" s="56">
        <f>SUMIFS(tblActuals[Team 2 GD],tblActuals[Team 2],$CK4,tblActuals[Team 1],EE$3)+SUMIFS(tblActuals[Team 1 GD],tblActuals[Team 1],$CK4,tblActuals[Team 2],EE$3)</f>
        <v>0</v>
      </c>
      <c r="EF4" s="56">
        <f>SUMIFS(tblActuals[Team 2 GD],tblActuals[Team 2],$CK4,tblActuals[Team 1],EF$3)+SUMIFS(tblActuals[Team 1 GD],tblActuals[Team 1],$CK4,tblActuals[Team 2],EF$3)</f>
        <v>0</v>
      </c>
      <c r="EG4" s="56">
        <f>SUMIFS(tblActuals[Team 2 GD],tblActuals[Team 2],$CK4,tblActuals[Team 1],EG$3)+SUMIFS(tblActuals[Team 1 GD],tblActuals[Team 1],$CK4,tblActuals[Team 2],EG$3)</f>
        <v>0</v>
      </c>
      <c r="EH4" s="56">
        <f>SUMIFS(tblActuals[Team 2 GD],tblActuals[Team 2],$CK4,tblActuals[Team 1],EH$3)+SUMIFS(tblActuals[Team 1 GD],tblActuals[Team 1],$CK4,tblActuals[Team 2],EH$3)</f>
        <v>0</v>
      </c>
      <c r="EI4" s="56">
        <f>SUMIFS(tblActuals[Team 2 GD],tblActuals[Team 2],$CK4,tblActuals[Team 1],EI$3)+SUMIFS(tblActuals[Team 1 GD],tblActuals[Team 1],$CK4,tblActuals[Team 2],EI$3)</f>
        <v>0</v>
      </c>
      <c r="EJ4" s="56">
        <f>SUMIFS(tblActuals[Team 2 GD],tblActuals[Team 2],$CK4,tblActuals[Team 1],EJ$3)+SUMIFS(tblActuals[Team 1 GD],tblActuals[Team 1],$CK4,tblActuals[Team 2],EJ$3)</f>
        <v>0</v>
      </c>
      <c r="EK4" s="56">
        <f>SUMIFS(tblActuals[Team 2 GD],tblActuals[Team 2],$CK4,tblActuals[Team 1],EK$3)+SUMIFS(tblActuals[Team 1 GD],tblActuals[Team 1],$CK4,tblActuals[Team 2],EK$3)</f>
        <v>0</v>
      </c>
      <c r="EL4" s="56">
        <f>SUMIFS(tblActuals[Team 2 GD],tblActuals[Team 2],$CK4,tblActuals[Team 1],EL$3)+SUMIFS(tblActuals[Team 1 GD],tblActuals[Team 1],$CK4,tblActuals[Team 2],EL$3)</f>
        <v>0</v>
      </c>
      <c r="EM4" s="56">
        <f>SUMIFS(tblActuals[Team 2 GD],tblActuals[Team 2],$CK4,tblActuals[Team 1],EM$3)+SUMIFS(tblActuals[Team 1 GD],tblActuals[Team 1],$CK4,tblActuals[Team 2],EM$3)</f>
        <v>0</v>
      </c>
      <c r="EN4" s="56">
        <f>SUMIFS(tblActuals[Team 2 GD],tblActuals[Team 2],$CK4,tblActuals[Team 1],EN$3)+SUMIFS(tblActuals[Team 1 GD],tblActuals[Team 1],$CK4,tblActuals[Team 2],EN$3)</f>
        <v>0</v>
      </c>
      <c r="EO4" s="56">
        <f>SUMIFS(tblActuals[Team 2 GD],tblActuals[Team 2],$CK4,tblActuals[Team 1],EO$3)+SUMIFS(tblActuals[Team 1 GD],tblActuals[Team 1],$CK4,tblActuals[Team 2],EO$3)</f>
        <v>0</v>
      </c>
      <c r="EP4" s="56">
        <f>SUMIFS(tblActuals[Team 2 GD],tblActuals[Team 2],$CK4,tblActuals[Team 1],EP$3)+SUMIFS(tblActuals[Team 1 GD],tblActuals[Team 1],$CK4,tblActuals[Team 2],EP$3)</f>
        <v>0</v>
      </c>
      <c r="EQ4" s="56">
        <f>SUMIFS(tblActuals[Team 2 GD],tblActuals[Team 2],$CK4,tblActuals[Team 1],EQ$3)+SUMIFS(tblActuals[Team 1 GD],tblActuals[Team 1],$CK4,tblActuals[Team 2],EQ$3)</f>
        <v>0</v>
      </c>
      <c r="ER4" s="57"/>
      <c r="ES4" s="57"/>
      <c r="ET4" s="57"/>
      <c r="EU4" s="57"/>
      <c r="EV4" s="57"/>
      <c r="EW4" s="57"/>
      <c r="EX4" s="57"/>
      <c r="EY4" s="57"/>
      <c r="EZ4" s="4"/>
      <c r="FA4" s="4" t="s">
        <v>27</v>
      </c>
      <c r="FB4" s="56">
        <f>SUMIFS(tblActuals[Team 2 Goals],tblActuals[Team 2],$CK4,tblActuals[Team 1],FB$3)+SUMIFS(tblActuals[Team 1 Goals],tblActuals[Team 1],$CK4,tblActuals[Team 2],FB$3)</f>
        <v>0</v>
      </c>
      <c r="FC4" s="56">
        <f>SUMIFS(tblActuals[Team 2 Goals],tblActuals[Team 2],$CK4,tblActuals[Team 1],FC$3)+SUMIFS(tblActuals[Team 1 Goals],tblActuals[Team 1],$CK4,tblActuals[Team 2],FC$3)</f>
        <v>0</v>
      </c>
      <c r="FD4" s="56">
        <f>SUMIFS(tblActuals[Team 2 Goals],tblActuals[Team 2],$CK4,tblActuals[Team 1],FD$3)+SUMIFS(tblActuals[Team 1 Goals],tblActuals[Team 1],$CK4,tblActuals[Team 2],FD$3)</f>
        <v>0</v>
      </c>
      <c r="FE4" s="56">
        <f>SUMIFS(tblActuals[Team 2 Goals],tblActuals[Team 2],$CK4,tblActuals[Team 1],FE$3)+SUMIFS(tblActuals[Team 1 Goals],tblActuals[Team 1],$CK4,tblActuals[Team 2],FE$3)</f>
        <v>0</v>
      </c>
      <c r="FF4" s="56">
        <f>SUMIFS(tblActuals[Team 2 Goals],tblActuals[Team 2],$CK4,tblActuals[Team 1],FF$3)+SUMIFS(tblActuals[Team 1 Goals],tblActuals[Team 1],$CK4,tblActuals[Team 2],FF$3)</f>
        <v>0</v>
      </c>
      <c r="FG4" s="56">
        <f>SUMIFS(tblActuals[Team 2 Goals],tblActuals[Team 2],$CK4,tblActuals[Team 1],FG$3)+SUMIFS(tblActuals[Team 1 Goals],tblActuals[Team 1],$CK4,tblActuals[Team 2],FG$3)</f>
        <v>0</v>
      </c>
      <c r="FH4" s="56">
        <f>SUMIFS(tblActuals[Team 2 Goals],tblActuals[Team 2],$CK4,tblActuals[Team 1],FH$3)+SUMIFS(tblActuals[Team 1 Goals],tblActuals[Team 1],$CK4,tblActuals[Team 2],FH$3)</f>
        <v>0</v>
      </c>
      <c r="FI4" s="56">
        <f>SUMIFS(tblActuals[Team 2 Goals],tblActuals[Team 2],$CK4,tblActuals[Team 1],FI$3)+SUMIFS(tblActuals[Team 1 Goals],tblActuals[Team 1],$CK4,tblActuals[Team 2],FI$3)</f>
        <v>0</v>
      </c>
      <c r="FJ4" s="56">
        <f>SUMIFS(tblActuals[Team 2 Goals],tblActuals[Team 2],$CK4,tblActuals[Team 1],FJ$3)+SUMIFS(tblActuals[Team 1 Goals],tblActuals[Team 1],$CK4,tblActuals[Team 2],FJ$3)</f>
        <v>0</v>
      </c>
      <c r="FK4" s="56">
        <f>SUMIFS(tblActuals[Team 2 Goals],tblActuals[Team 2],$CK4,tblActuals[Team 1],FK$3)+SUMIFS(tblActuals[Team 1 Goals],tblActuals[Team 1],$CK4,tblActuals[Team 2],FK$3)</f>
        <v>0</v>
      </c>
      <c r="FL4" s="56">
        <f>SUMIFS(tblActuals[Team 2 Goals],tblActuals[Team 2],$CK4,tblActuals[Team 1],FL$3)+SUMIFS(tblActuals[Team 1 Goals],tblActuals[Team 1],$CK4,tblActuals[Team 2],FL$3)</f>
        <v>0</v>
      </c>
      <c r="FM4" s="56">
        <f>SUMIFS(tblActuals[Team 2 Goals],tblActuals[Team 2],$CK4,tblActuals[Team 1],FM$3)+SUMIFS(tblActuals[Team 1 Goals],tblActuals[Team 1],$CK4,tblActuals[Team 2],FM$3)</f>
        <v>0</v>
      </c>
      <c r="FN4" s="56">
        <f>SUMIFS(tblActuals[Team 2 Goals],tblActuals[Team 2],$CK4,tblActuals[Team 1],FN$3)+SUMIFS(tblActuals[Team 1 Goals],tblActuals[Team 1],$CK4,tblActuals[Team 2],FN$3)</f>
        <v>0</v>
      </c>
      <c r="FO4" s="56">
        <f>SUMIFS(tblActuals[Team 2 Goals],tblActuals[Team 2],$CK4,tblActuals[Team 1],FO$3)+SUMIFS(tblActuals[Team 1 Goals],tblActuals[Team 1],$CK4,tblActuals[Team 2],FO$3)</f>
        <v>0</v>
      </c>
      <c r="FP4" s="56">
        <f>SUMIFS(tblActuals[Team 2 Goals],tblActuals[Team 2],$CK4,tblActuals[Team 1],FP$3)+SUMIFS(tblActuals[Team 1 Goals],tblActuals[Team 1],$CK4,tblActuals[Team 2],FP$3)</f>
        <v>0</v>
      </c>
      <c r="FQ4" s="56">
        <f>SUMIFS(tblActuals[Team 2 Goals],tblActuals[Team 2],$CK4,tblActuals[Team 1],FQ$3)+SUMIFS(tblActuals[Team 1 Goals],tblActuals[Team 1],$CK4,tblActuals[Team 2],FQ$3)</f>
        <v>0</v>
      </c>
      <c r="FR4" s="56">
        <f>SUMIFS(tblActuals[Team 2 Goals],tblActuals[Team 2],$CK4,tblActuals[Team 1],FR$3)+SUMIFS(tblActuals[Team 1 Goals],tblActuals[Team 1],$CK4,tblActuals[Team 2],FR$3)</f>
        <v>0</v>
      </c>
      <c r="FS4" s="56">
        <f>SUMIFS(tblActuals[Team 2 Goals],tblActuals[Team 2],$CK4,tblActuals[Team 1],FS$3)+SUMIFS(tblActuals[Team 1 Goals],tblActuals[Team 1],$CK4,tblActuals[Team 2],FS$3)</f>
        <v>0</v>
      </c>
      <c r="FT4" s="56">
        <f>SUMIFS(tblActuals[Team 2 Goals],tblActuals[Team 2],$CK4,tblActuals[Team 1],FT$3)+SUMIFS(tblActuals[Team 1 Goals],tblActuals[Team 1],$CK4,tblActuals[Team 2],FT$3)</f>
        <v>0</v>
      </c>
      <c r="FU4" s="56">
        <f>SUMIFS(tblActuals[Team 2 Goals],tblActuals[Team 2],$CK4,tblActuals[Team 1],FU$3)+SUMIFS(tblActuals[Team 1 Goals],tblActuals[Team 1],$CK4,tblActuals[Team 2],FU$3)</f>
        <v>0</v>
      </c>
      <c r="FV4" s="56">
        <f>SUMIFS(tblActuals[Team 2 Goals],tblActuals[Team 2],$CK4,tblActuals[Team 1],FV$3)+SUMIFS(tblActuals[Team 1 Goals],tblActuals[Team 1],$CK4,tblActuals[Team 2],FV$3)</f>
        <v>0</v>
      </c>
      <c r="FW4" s="56">
        <f>SUMIFS(tblActuals[Team 2 Goals],tblActuals[Team 2],$CK4,tblActuals[Team 1],FW$3)+SUMIFS(tblActuals[Team 1 Goals],tblActuals[Team 1],$CK4,tblActuals[Team 2],FW$3)</f>
        <v>0</v>
      </c>
      <c r="FX4" s="56">
        <f>SUMIFS(tblActuals[Team 2 Goals],tblActuals[Team 2],$CK4,tblActuals[Team 1],FX$3)+SUMIFS(tblActuals[Team 1 Goals],tblActuals[Team 1],$CK4,tblActuals[Team 2],FX$3)</f>
        <v>0</v>
      </c>
      <c r="FY4" s="56">
        <f>SUMIFS(tblActuals[Team 2 Goals],tblActuals[Team 2],$CK4,tblActuals[Team 1],FY$3)+SUMIFS(tblActuals[Team 1 Goals],tblActuals[Team 1],$CK4,tblActuals[Team 2],FY$3)</f>
        <v>0</v>
      </c>
      <c r="FZ4" s="57"/>
      <c r="GA4" s="57"/>
      <c r="GB4" s="37"/>
      <c r="GC4" s="37"/>
      <c r="GD4" s="37"/>
      <c r="GE4" s="37"/>
      <c r="GF4" s="37"/>
      <c r="GG4" s="37"/>
      <c r="GH4" s="75"/>
      <c r="GI4" s="156"/>
      <c r="GJ4" s="156"/>
      <c r="GK4" s="75"/>
      <c r="GL4" s="22"/>
      <c r="GM4" s="75"/>
      <c r="GN4" s="75"/>
      <c r="GO4" s="75"/>
      <c r="GP4" s="75"/>
      <c r="GR4" s="4" t="s">
        <v>0</v>
      </c>
      <c r="GS4" s="178" t="s">
        <v>143</v>
      </c>
      <c r="GT4" s="178"/>
      <c r="GU4" s="178"/>
      <c r="GV4" s="178"/>
      <c r="GW4" s="178"/>
      <c r="GX4" s="178"/>
      <c r="GY4" s="178"/>
      <c r="GZ4" s="43" t="s">
        <v>145</v>
      </c>
      <c r="HA4" s="43" t="s">
        <v>145</v>
      </c>
      <c r="HB4" s="43" t="s">
        <v>145</v>
      </c>
      <c r="HC4" s="43" t="s">
        <v>145</v>
      </c>
    </row>
    <row r="5" spans="1:211" s="11" customFormat="1" ht="30" customHeight="1" thickBot="1" x14ac:dyDescent="0.25">
      <c r="A5" s="28" t="s">
        <v>72</v>
      </c>
      <c r="B5" s="122">
        <v>2</v>
      </c>
      <c r="C5" s="122" t="s">
        <v>1</v>
      </c>
      <c r="D5" s="123">
        <v>45458</v>
      </c>
      <c r="E5" s="122" t="s">
        <v>79</v>
      </c>
      <c r="F5" s="124">
        <v>0.625</v>
      </c>
      <c r="G5" s="125">
        <f t="shared" ref="G5:G51" si="8">(D5+F5)+IF($A$7&gt;=0,TIMEVALUE($A$7&amp;":00"),-TIMEVALUE(ABS($A$7)&amp;":00"))</f>
        <v>45458.375</v>
      </c>
      <c r="H5" s="122" t="s">
        <v>90</v>
      </c>
      <c r="I5" s="126"/>
      <c r="J5" s="118"/>
      <c r="K5" s="118"/>
      <c r="L5" s="119" t="str">
        <f>IF(tblActuals[[#This Row],[SCORE]]="","",IF(Q5=R5,"Draw",IF(Q5&gt;R5,M5,N5)))</f>
        <v/>
      </c>
      <c r="M5" s="120" t="str">
        <f>IF(tblActuals[[#This Row],[TEAMS]]="","",LEFT(H5,FIND(" -",H5,1)-1))</f>
        <v>Hungary</v>
      </c>
      <c r="N5" s="120" t="str">
        <f>IF(tblActuals[[#This Row],[TEAMS]]="","",MID(H5,FIND("-",H5,1)+2,LEN(H5)-FIND("-",H5,1)+2))</f>
        <v>Switzerland</v>
      </c>
      <c r="O5" s="120" t="str">
        <f>IF(tblActuals[[#This Row],[Team 1 Goals]]&gt;tblActuals[[#This Row],[Team 2 Goals]],tblActuals[[#This Row],[Team 1]],IF(tblActuals[[#This Row],[Team 2 Goals]]&gt;tblActuals[[#This Row],[Team 1 Goals]],tblActuals[[#This Row],[Team 2]],""))</f>
        <v/>
      </c>
      <c r="P5" s="120" t="str">
        <f>IF(tblActuals[[#This Row],[Winner]]=tblActuals[[#This Row],[Team 1]],tblActuals[[#This Row],[Team 2]],IF(tblActuals[[#This Row],[Winner]]=tblActuals[[#This Row],[Team 2]],tblActuals[[#This Row],[Team 1]],""))</f>
        <v/>
      </c>
      <c r="Q5" s="120" t="str">
        <f>IF(tblActuals[[#This Row],[SCORE]]="","",LEFT(I5,FIND(":",I5,1)-1)*1)</f>
        <v/>
      </c>
      <c r="R5" s="120" t="str">
        <f>IF(tblActuals[[#This Row],[SCORE]]="","",MID(I5,FIND(":",I5,1)+1,LEN(I5)-FIND(":",I5,1)+1)*1)</f>
        <v/>
      </c>
      <c r="S5" s="120" t="str">
        <f>IF(OR(tblActuals[[#This Row],[Team 1 Goals]]="",tblActuals[[#This Row],[Team 2 Goals]]=""),"",tblActuals[[#This Row],[Team 1 Goals]]-tblActuals[[#This Row],[Team 2 Goals]])</f>
        <v/>
      </c>
      <c r="T5" s="120" t="str">
        <f>IF(OR(tblActuals[[#This Row],[Team 1 Goals]]="",tblActuals[[#This Row],[Team 2 Goals]]=""),"",tblActuals[[#This Row],[Team 2 Goals]]-tblActuals[[#This Row],[Team 1 Goals]])</f>
        <v/>
      </c>
      <c r="U5" s="120" t="str">
        <f>IF(tblActuals[[#This Row],[SCORE]]="","",IF(tblActuals[[#This Row],[WINNER / RESULT]]="Draw",1,IF(tblActuals[[#This Row],[WINNER / RESULT]]=tblActuals[[#This Row],[Team 1]],3,0)))</f>
        <v/>
      </c>
      <c r="V5" s="120" t="str">
        <f>IF(tblActuals[[#This Row],[SCORE]]="","",IF(tblActuals[[#This Row],[WINNER / RESULT]]="Draw",1,IF(tblActuals[[#This Row],[WINNER / RESULT]]=tblActuals[[#This Row],[Team 2]],3,0)))</f>
        <v/>
      </c>
      <c r="W5" s="121"/>
      <c r="X5" s="121"/>
      <c r="Y5" s="121"/>
      <c r="Z5" s="121"/>
      <c r="AA5" s="120" t="e">
        <f>tblActuals[[#This Row],[Team 1 Goals]]+tblActuals[[#This Row],[Team 1 ET Goals]]&amp;":"&amp;tblActuals[[#This Row],[Team 2 Goals]]+tblActuals[[#This Row],[Team 2 ET Goals]]</f>
        <v>#VALUE!</v>
      </c>
      <c r="AB5" s="120" t="e">
        <f>+tblActuals[[#This Row],[Team 1 Goals]]+tblActuals[[#This Row],[Team 2 Goals]]</f>
        <v>#VALUE!</v>
      </c>
      <c r="AC5" s="165">
        <f t="shared" si="0"/>
        <v>45458</v>
      </c>
      <c r="AD5" s="166">
        <f t="shared" ref="AD5:AD54" si="9">RANK(G5,$G$4:$G$54,1)+ROW(G5)/10</f>
        <v>2.5</v>
      </c>
      <c r="AF5" s="38" t="s">
        <v>80</v>
      </c>
      <c r="AJ5" s="76"/>
      <c r="AK5" s="179" t="s">
        <v>51</v>
      </c>
      <c r="AL5" s="180"/>
      <c r="AM5" s="133" t="s">
        <v>46</v>
      </c>
      <c r="AN5" s="134" t="s">
        <v>57</v>
      </c>
      <c r="AO5" s="135" t="s">
        <v>11</v>
      </c>
      <c r="AP5" s="75"/>
      <c r="AQ5" s="42"/>
      <c r="AR5" s="4"/>
      <c r="AS5" s="4" t="s">
        <v>1</v>
      </c>
      <c r="AT5" s="4" t="s">
        <v>125</v>
      </c>
      <c r="AU5" s="4">
        <f>COUNTIF(tblActuals[Winner],AT5)</f>
        <v>0</v>
      </c>
      <c r="AV5" s="4">
        <f>COUNTIFS(tblActuals[Team 2],AT5,tblActuals[WINNER / RESULT],"Draw")+COUNTIFS(tblActuals[Team 1],AT5,tblActuals[WINNER / RESULT],"Draw")</f>
        <v>0</v>
      </c>
      <c r="AW5" s="4">
        <f>COUNTIF(tblActuals[Loser],AT5)</f>
        <v>0</v>
      </c>
      <c r="AX5" s="4">
        <f>AV5+(3*AU5)</f>
        <v>0</v>
      </c>
      <c r="AY5" s="4">
        <f>SUMIFS(tblActuals[Team 1 Goals],tblActuals[Team 1],AT5)+SUMIFS(tblActuals[Team 2 Goals],tblActuals[Team 2],AT5)</f>
        <v>0</v>
      </c>
      <c r="AZ5" s="4">
        <f>SUMIFS(tblActuals[Team 2 Goals],tblActuals[Team 1],AT5)+SUMIFS(tblActuals[Team 1 Goals],tblActuals[Team 2],AT5)</f>
        <v>0</v>
      </c>
      <c r="BA5" s="4">
        <f>AY5-AZ5</f>
        <v>0</v>
      </c>
      <c r="BB5" s="4">
        <f ca="1">RANK(BO5,$BO$4:$BO$7,1)</f>
        <v>2</v>
      </c>
      <c r="BC5" s="4" t="str">
        <f t="shared" si="1"/>
        <v/>
      </c>
      <c r="BD5" s="4" t="str">
        <f ca="1">IF(BC5="",BB5&amp;AS5,BC5&amp;AS5)</f>
        <v>2A</v>
      </c>
      <c r="BE5" s="4">
        <f>RANK(AX5,$AX$4:$AX$7,0)</f>
        <v>1</v>
      </c>
      <c r="BF5" s="4" cm="1">
        <f t="array" aca="1" ref="BF5" ca="1">SUMPRODUCT((OFFSET($CL$3:$DQ$3,MATCH($AT5,$CK$4:$CK$35,0),0))*((IF($BE6=$BE5,$CL$3:$DQ$3=$AT6,0))+(IF($BE7=$BE5,$CL$3:$DQ$3=$AT7,0))+(IF($BE4=$BE5,$CL$3:$DQ$3=$AT4,0))))</f>
        <v>0</v>
      </c>
      <c r="BG5" s="4" cm="1">
        <f t="array" aca="1" ref="BG5" ca="1">SUMPRODUCT((OFFSET($DT$3:$EY$3,MATCH($AT5,$DS$4:$DS$35,0),0))*((IF($BE6=$BE5,$DT$3:$EY$3=$AT6,0))+(IF($BE7=$BE5,$DT$3:$EY$3=$AT7,0))+(IF($BE4=$BE5,$DT$3:$EY$3=$AT4,0))))</f>
        <v>0</v>
      </c>
      <c r="BH5" s="4" cm="1">
        <f t="array" aca="1" ref="BH5" ca="1">SUMPRODUCT((OFFSET($FB$3:$GG$3,MATCH($AT5,$FA$4:$FA$35,0),0))*((IF($BE6=$BE5,$FB$3:$GG$3=$AT6,0))+(IF($BE7=$BE5,$FB$3:$GG$3=$AT7,0))+(IF($BE4=$BE5,$FB$3:$GG$3=$AT4,0))))</f>
        <v>0</v>
      </c>
      <c r="BI5" s="4" cm="1">
        <f t="array" aca="1" ref="BI5" ca="1">SUMPRODUCT((OFFSET($CL$3:$DQ$3,MATCH($AT5,$CK$4:$CK$35,0),0))*((IF($BE6&lt;&gt;$BE5,$CL$3:$DQ$3=$AT6,0))+(IF($BE7&lt;&gt;$BE5,$CL$3:$DQ$3=$AT7,0))+(IF($BE4&lt;&gt;$BE5,$CL$3:$DQ$3=$AT4,0))))</f>
        <v>0</v>
      </c>
      <c r="BJ5" s="4" cm="1">
        <f t="array" aca="1" ref="BJ5" ca="1">SUMPRODUCT((OFFSET($DT$3:$EY$3,MATCH($AT5,$DS$4:$DS$35,0),0))*((IF($BE6&lt;&gt;$BE5,$DT$3:$EY$3=$AT6,0))+(IF($BE7&lt;&gt;$BE5,$DT$3:$EY$3=$AT7,0))+(IF($BE4&lt;&gt;$BE5,$DT$3:$EY$3=$AT4,0))))</f>
        <v>0</v>
      </c>
      <c r="BK5" s="4" cm="1">
        <f t="array" aca="1" ref="BK5" ca="1">SUMPRODUCT((OFFSET($FB$3:$GG$3,MATCH($AT5,$FA$4:$FA$35,0),0))*((IF($BE6&lt;&gt;$BE5,$FB$3:$GG$3=$AT6,0))+(IF($BE7&lt;&gt;$BE5,$FB$3:$GG$3=$AT7,0))+(IF($BE4&lt;&gt;$BE5,$FB$3:$GG$3=$AT4,0))))</f>
        <v>0</v>
      </c>
      <c r="BL5" s="4">
        <f t="shared" ref="BL5:BL32" si="10">BA5</f>
        <v>0</v>
      </c>
      <c r="BM5" s="4">
        <f t="shared" ref="BM5:BM32" si="11">AY5</f>
        <v>0</v>
      </c>
      <c r="BN5" s="4">
        <f ca="1">(BF5/10)+(BG5/100)+(BH5/1000)+(BJ5/10000)+(BK5/100000)+(BL5/1000000)+(BM5/10000000)+(ROW(BI6)/100000000)</f>
        <v>5.9999999999999995E-8</v>
      </c>
      <c r="BO5" s="4">
        <f ca="1">+BE5-BN5</f>
        <v>0.99999994000000003</v>
      </c>
      <c r="BP5" s="4"/>
      <c r="BQ5" s="4" t="s">
        <v>5</v>
      </c>
      <c r="BR5" s="4" t="str">
        <f ca="1">AL14</f>
        <v>Italy</v>
      </c>
      <c r="BS5" s="4">
        <f t="shared" ca="1" si="2"/>
        <v>0</v>
      </c>
      <c r="BT5" s="4">
        <f t="shared" ca="1" si="3"/>
        <v>0</v>
      </c>
      <c r="BU5" s="4">
        <f t="shared" ca="1" si="4"/>
        <v>0</v>
      </c>
      <c r="BV5" s="4">
        <f t="shared" ca="1" si="5"/>
        <v>0</v>
      </c>
      <c r="BW5" s="4">
        <f t="shared" ca="1" si="6"/>
        <v>4.9999999999999998E-7</v>
      </c>
      <c r="BX5" s="4">
        <f t="shared" ca="1" si="7"/>
        <v>5</v>
      </c>
      <c r="BY5" s="4"/>
      <c r="BZ5" s="4"/>
      <c r="CA5" s="4"/>
      <c r="CB5" s="4"/>
      <c r="CC5" s="4"/>
      <c r="CD5" s="4"/>
      <c r="CE5" s="4"/>
      <c r="CF5" s="4"/>
      <c r="CG5" s="4"/>
      <c r="CH5" s="4"/>
      <c r="CK5" s="4" t="s">
        <v>124</v>
      </c>
      <c r="CL5" s="56">
        <f>SUMIFS(tblActuals[Team 2 Points],tblActuals[Team 2],$CK5,tblActuals[Team 1],CL$3)+SUMIFS(tblActuals[Team 1 Points],tblActuals[Team 1],$CK5,tblActuals[Team 2],CL$3)</f>
        <v>0</v>
      </c>
      <c r="CM5" s="56">
        <f>SUMIFS(tblActuals[Team 2 Points],tblActuals[Team 2],$CK5,tblActuals[Team 1],CM$3)+SUMIFS(tblActuals[Team 1 Points],tblActuals[Team 1],$CK5,tblActuals[Team 2],CM$3)</f>
        <v>0</v>
      </c>
      <c r="CN5" s="56">
        <f>SUMIFS(tblActuals[Team 2 Points],tblActuals[Team 2],$CK5,tblActuals[Team 1],CN$3)+SUMIFS(tblActuals[Team 1 Points],tblActuals[Team 1],$CK5,tblActuals[Team 2],CN$3)</f>
        <v>0</v>
      </c>
      <c r="CO5" s="56">
        <f>SUMIFS(tblActuals[Team 2 Points],tblActuals[Team 2],$CK5,tblActuals[Team 1],CO$3)+SUMIFS(tblActuals[Team 1 Points],tblActuals[Team 1],$CK5,tblActuals[Team 2],CO$3)</f>
        <v>0</v>
      </c>
      <c r="CP5" s="56">
        <f>SUMIFS(tblActuals[Team 2 Points],tblActuals[Team 2],$CK5,tblActuals[Team 1],CP$3)+SUMIFS(tblActuals[Team 1 Points],tblActuals[Team 1],$CK5,tblActuals[Team 2],CP$3)</f>
        <v>0</v>
      </c>
      <c r="CQ5" s="56">
        <f>SUMIFS(tblActuals[Team 2 Points],tblActuals[Team 2],$CK5,tblActuals[Team 1],CQ$3)+SUMIFS(tblActuals[Team 1 Points],tblActuals[Team 1],$CK5,tblActuals[Team 2],CQ$3)</f>
        <v>0</v>
      </c>
      <c r="CR5" s="56">
        <f>SUMIFS(tblActuals[Team 2 Points],tblActuals[Team 2],$CK5,tblActuals[Team 1],CR$3)+SUMIFS(tblActuals[Team 1 Points],tblActuals[Team 1],$CK5,tblActuals[Team 2],CR$3)</f>
        <v>0</v>
      </c>
      <c r="CS5" s="56">
        <f>SUMIFS(tblActuals[Team 2 Points],tblActuals[Team 2],$CK5,tblActuals[Team 1],CS$3)+SUMIFS(tblActuals[Team 1 Points],tblActuals[Team 1],$CK5,tblActuals[Team 2],CS$3)</f>
        <v>0</v>
      </c>
      <c r="CT5" s="56">
        <f>SUMIFS(tblActuals[Team 2 Points],tblActuals[Team 2],$CK5,tblActuals[Team 1],CT$3)+SUMIFS(tblActuals[Team 1 Points],tblActuals[Team 1],$CK5,tblActuals[Team 2],CT$3)</f>
        <v>0</v>
      </c>
      <c r="CU5" s="56">
        <f>SUMIFS(tblActuals[Team 2 Points],tblActuals[Team 2],$CK5,tblActuals[Team 1],CU$3)+SUMIFS(tblActuals[Team 1 Points],tblActuals[Team 1],$CK5,tblActuals[Team 2],CU$3)</f>
        <v>0</v>
      </c>
      <c r="CV5" s="56">
        <f>SUMIFS(tblActuals[Team 2 Points],tblActuals[Team 2],$CK5,tblActuals[Team 1],CV$3)+SUMIFS(tblActuals[Team 1 Points],tblActuals[Team 1],$CK5,tblActuals[Team 2],CV$3)</f>
        <v>0</v>
      </c>
      <c r="CW5" s="56">
        <f>SUMIFS(tblActuals[Team 2 Points],tblActuals[Team 2],$CK5,tblActuals[Team 1],CW$3)+SUMIFS(tblActuals[Team 1 Points],tblActuals[Team 1],$CK5,tblActuals[Team 2],CW$3)</f>
        <v>0</v>
      </c>
      <c r="CX5" s="56">
        <f>SUMIFS(tblActuals[Team 2 Points],tblActuals[Team 2],$CK5,tblActuals[Team 1],CX$3)+SUMIFS(tblActuals[Team 1 Points],tblActuals[Team 1],$CK5,tblActuals[Team 2],CX$3)</f>
        <v>0</v>
      </c>
      <c r="CY5" s="56">
        <f>SUMIFS(tblActuals[Team 2 Points],tblActuals[Team 2],$CK5,tblActuals[Team 1],CY$3)+SUMIFS(tblActuals[Team 1 Points],tblActuals[Team 1],$CK5,tblActuals[Team 2],CY$3)</f>
        <v>0</v>
      </c>
      <c r="CZ5" s="56">
        <f>SUMIFS(tblActuals[Team 2 Points],tblActuals[Team 2],$CK5,tblActuals[Team 1],CZ$3)+SUMIFS(tblActuals[Team 1 Points],tblActuals[Team 1],$CK5,tblActuals[Team 2],CZ$3)</f>
        <v>0</v>
      </c>
      <c r="DA5" s="56">
        <f>SUMIFS(tblActuals[Team 2 Points],tblActuals[Team 2],$CK5,tblActuals[Team 1],DA$3)+SUMIFS(tblActuals[Team 1 Points],tblActuals[Team 1],$CK5,tblActuals[Team 2],DA$3)</f>
        <v>0</v>
      </c>
      <c r="DB5" s="56">
        <f>SUMIFS(tblActuals[Team 2 Points],tblActuals[Team 2],$CK5,tblActuals[Team 1],DB$3)+SUMIFS(tblActuals[Team 1 Points],tblActuals[Team 1],$CK5,tblActuals[Team 2],DB$3)</f>
        <v>0</v>
      </c>
      <c r="DC5" s="56">
        <f>SUMIFS(tblActuals[Team 2 Points],tblActuals[Team 2],$CK5,tblActuals[Team 1],DC$3)+SUMIFS(tblActuals[Team 1 Points],tblActuals[Team 1],$CK5,tblActuals[Team 2],DC$3)</f>
        <v>0</v>
      </c>
      <c r="DD5" s="56">
        <f>SUMIFS(tblActuals[Team 2 Points],tblActuals[Team 2],$CK5,tblActuals[Team 1],DD$3)+SUMIFS(tblActuals[Team 1 Points],tblActuals[Team 1],$CK5,tblActuals[Team 2],DD$3)</f>
        <v>0</v>
      </c>
      <c r="DE5" s="56">
        <f>SUMIFS(tblActuals[Team 2 Points],tblActuals[Team 2],$CK5,tblActuals[Team 1],DE$3)+SUMIFS(tblActuals[Team 1 Points],tblActuals[Team 1],$CK5,tblActuals[Team 2],DE$3)</f>
        <v>0</v>
      </c>
      <c r="DF5" s="56">
        <f>SUMIFS(tblActuals[Team 2 Points],tblActuals[Team 2],$CK5,tblActuals[Team 1],DF$3)+SUMIFS(tblActuals[Team 1 Points],tblActuals[Team 1],$CK5,tblActuals[Team 2],DF$3)</f>
        <v>0</v>
      </c>
      <c r="DG5" s="56">
        <f>SUMIFS(tblActuals[Team 2 Points],tblActuals[Team 2],$CK5,tblActuals[Team 1],DG$3)+SUMIFS(tblActuals[Team 1 Points],tblActuals[Team 1],$CK5,tblActuals[Team 2],DG$3)</f>
        <v>0</v>
      </c>
      <c r="DH5" s="56">
        <f>SUMIFS(tblActuals[Team 2 Points],tblActuals[Team 2],$CK5,tblActuals[Team 1],DH$3)+SUMIFS(tblActuals[Team 1 Points],tblActuals[Team 1],$CK5,tblActuals[Team 2],DH$3)</f>
        <v>0</v>
      </c>
      <c r="DI5" s="56">
        <f>SUMIFS(tblActuals[Team 2 Points],tblActuals[Team 2],$CK5,tblActuals[Team 1],DI$3)+SUMIFS(tblActuals[Team 1 Points],tblActuals[Team 1],$CK5,tblActuals[Team 2],DI$3)</f>
        <v>0</v>
      </c>
      <c r="DJ5" s="57"/>
      <c r="DK5" s="57"/>
      <c r="DL5" s="57"/>
      <c r="DM5" s="57"/>
      <c r="DN5" s="57"/>
      <c r="DO5" s="57"/>
      <c r="DP5" s="57"/>
      <c r="DQ5" s="57"/>
      <c r="DR5" s="4"/>
      <c r="DS5" s="4" t="s">
        <v>124</v>
      </c>
      <c r="DT5" s="56">
        <f>SUMIFS(tblActuals[Team 2 GD],tblActuals[Team 2],$CK5,tblActuals[Team 1],DT$3)+SUMIFS(tblActuals[Team 1 GD],tblActuals[Team 1],$CK5,tblActuals[Team 2],DT$3)</f>
        <v>0</v>
      </c>
      <c r="DU5" s="56">
        <f>SUMIFS(tblActuals[Team 2 GD],tblActuals[Team 2],$CK5,tblActuals[Team 1],DU$3)+SUMIFS(tblActuals[Team 1 GD],tblActuals[Team 1],$CK5,tblActuals[Team 2],DU$3)</f>
        <v>0</v>
      </c>
      <c r="DV5" s="56">
        <f>SUMIFS(tblActuals[Team 2 GD],tblActuals[Team 2],$CK5,tblActuals[Team 1],DV$3)+SUMIFS(tblActuals[Team 1 GD],tblActuals[Team 1],$CK5,tblActuals[Team 2],DV$3)</f>
        <v>0</v>
      </c>
      <c r="DW5" s="56">
        <f>SUMIFS(tblActuals[Team 2 GD],tblActuals[Team 2],$CK5,tblActuals[Team 1],DW$3)+SUMIFS(tblActuals[Team 1 GD],tblActuals[Team 1],$CK5,tblActuals[Team 2],DW$3)</f>
        <v>0</v>
      </c>
      <c r="DX5" s="56">
        <f>SUMIFS(tblActuals[Team 2 GD],tblActuals[Team 2],$CK5,tblActuals[Team 1],DX$3)+SUMIFS(tblActuals[Team 1 GD],tblActuals[Team 1],$CK5,tblActuals[Team 2],DX$3)</f>
        <v>0</v>
      </c>
      <c r="DY5" s="56">
        <f>SUMIFS(tblActuals[Team 2 GD],tblActuals[Team 2],$CK5,tblActuals[Team 1],DY$3)+SUMIFS(tblActuals[Team 1 GD],tblActuals[Team 1],$CK5,tblActuals[Team 2],DY$3)</f>
        <v>0</v>
      </c>
      <c r="DZ5" s="56">
        <f>SUMIFS(tblActuals[Team 2 GD],tblActuals[Team 2],$CK5,tblActuals[Team 1],DZ$3)+SUMIFS(tblActuals[Team 1 GD],tblActuals[Team 1],$CK5,tblActuals[Team 2],DZ$3)</f>
        <v>0</v>
      </c>
      <c r="EA5" s="56">
        <f>SUMIFS(tblActuals[Team 2 GD],tblActuals[Team 2],$CK5,tblActuals[Team 1],EA$3)+SUMIFS(tblActuals[Team 1 GD],tblActuals[Team 1],$CK5,tblActuals[Team 2],EA$3)</f>
        <v>0</v>
      </c>
      <c r="EB5" s="56">
        <f>SUMIFS(tblActuals[Team 2 GD],tblActuals[Team 2],$CK5,tblActuals[Team 1],EB$3)+SUMIFS(tblActuals[Team 1 GD],tblActuals[Team 1],$CK5,tblActuals[Team 2],EB$3)</f>
        <v>0</v>
      </c>
      <c r="EC5" s="56">
        <f>SUMIFS(tblActuals[Team 2 GD],tblActuals[Team 2],$CK5,tblActuals[Team 1],EC$3)+SUMIFS(tblActuals[Team 1 GD],tblActuals[Team 1],$CK5,tblActuals[Team 2],EC$3)</f>
        <v>0</v>
      </c>
      <c r="ED5" s="56">
        <f>SUMIFS(tblActuals[Team 2 GD],tblActuals[Team 2],$CK5,tblActuals[Team 1],ED$3)+SUMIFS(tblActuals[Team 1 GD],tblActuals[Team 1],$CK5,tblActuals[Team 2],ED$3)</f>
        <v>0</v>
      </c>
      <c r="EE5" s="56">
        <f>SUMIFS(tblActuals[Team 2 GD],tblActuals[Team 2],$CK5,tblActuals[Team 1],EE$3)+SUMIFS(tblActuals[Team 1 GD],tblActuals[Team 1],$CK5,tblActuals[Team 2],EE$3)</f>
        <v>0</v>
      </c>
      <c r="EF5" s="56">
        <f>SUMIFS(tblActuals[Team 2 GD],tblActuals[Team 2],$CK5,tblActuals[Team 1],EF$3)+SUMIFS(tblActuals[Team 1 GD],tblActuals[Team 1],$CK5,tblActuals[Team 2],EF$3)</f>
        <v>0</v>
      </c>
      <c r="EG5" s="56">
        <f>SUMIFS(tblActuals[Team 2 GD],tblActuals[Team 2],$CK5,tblActuals[Team 1],EG$3)+SUMIFS(tblActuals[Team 1 GD],tblActuals[Team 1],$CK5,tblActuals[Team 2],EG$3)</f>
        <v>0</v>
      </c>
      <c r="EH5" s="56">
        <f>SUMIFS(tblActuals[Team 2 GD],tblActuals[Team 2],$CK5,tblActuals[Team 1],EH$3)+SUMIFS(tblActuals[Team 1 GD],tblActuals[Team 1],$CK5,tblActuals[Team 2],EH$3)</f>
        <v>0</v>
      </c>
      <c r="EI5" s="56">
        <f>SUMIFS(tblActuals[Team 2 GD],tblActuals[Team 2],$CK5,tblActuals[Team 1],EI$3)+SUMIFS(tblActuals[Team 1 GD],tblActuals[Team 1],$CK5,tblActuals[Team 2],EI$3)</f>
        <v>0</v>
      </c>
      <c r="EJ5" s="56">
        <f>SUMIFS(tblActuals[Team 2 GD],tblActuals[Team 2],$CK5,tblActuals[Team 1],EJ$3)+SUMIFS(tblActuals[Team 1 GD],tblActuals[Team 1],$CK5,tblActuals[Team 2],EJ$3)</f>
        <v>0</v>
      </c>
      <c r="EK5" s="56">
        <f>SUMIFS(tblActuals[Team 2 GD],tblActuals[Team 2],$CK5,tblActuals[Team 1],EK$3)+SUMIFS(tblActuals[Team 1 GD],tblActuals[Team 1],$CK5,tblActuals[Team 2],EK$3)</f>
        <v>0</v>
      </c>
      <c r="EL5" s="56">
        <f>SUMIFS(tblActuals[Team 2 GD],tblActuals[Team 2],$CK5,tblActuals[Team 1],EL$3)+SUMIFS(tblActuals[Team 1 GD],tblActuals[Team 1],$CK5,tblActuals[Team 2],EL$3)</f>
        <v>0</v>
      </c>
      <c r="EM5" s="56">
        <f>SUMIFS(tblActuals[Team 2 GD],tblActuals[Team 2],$CK5,tblActuals[Team 1],EM$3)+SUMIFS(tblActuals[Team 1 GD],tblActuals[Team 1],$CK5,tblActuals[Team 2],EM$3)</f>
        <v>0</v>
      </c>
      <c r="EN5" s="56">
        <f>SUMIFS(tblActuals[Team 2 GD],tblActuals[Team 2],$CK5,tblActuals[Team 1],EN$3)+SUMIFS(tblActuals[Team 1 GD],tblActuals[Team 1],$CK5,tblActuals[Team 2],EN$3)</f>
        <v>0</v>
      </c>
      <c r="EO5" s="56">
        <f>SUMIFS(tblActuals[Team 2 GD],tblActuals[Team 2],$CK5,tblActuals[Team 1],EO$3)+SUMIFS(tblActuals[Team 1 GD],tblActuals[Team 1],$CK5,tblActuals[Team 2],EO$3)</f>
        <v>0</v>
      </c>
      <c r="EP5" s="56">
        <f>SUMIFS(tblActuals[Team 2 GD],tblActuals[Team 2],$CK5,tblActuals[Team 1],EP$3)+SUMIFS(tblActuals[Team 1 GD],tblActuals[Team 1],$CK5,tblActuals[Team 2],EP$3)</f>
        <v>0</v>
      </c>
      <c r="EQ5" s="56">
        <f>SUMIFS(tblActuals[Team 2 GD],tblActuals[Team 2],$CK5,tblActuals[Team 1],EQ$3)+SUMIFS(tblActuals[Team 1 GD],tblActuals[Team 1],$CK5,tblActuals[Team 2],EQ$3)</f>
        <v>0</v>
      </c>
      <c r="ER5" s="57"/>
      <c r="ES5" s="57"/>
      <c r="ET5" s="57"/>
      <c r="EU5" s="57"/>
      <c r="EV5" s="57"/>
      <c r="EW5" s="57"/>
      <c r="EX5" s="57"/>
      <c r="EY5" s="57"/>
      <c r="EZ5" s="4"/>
      <c r="FA5" s="4" t="s">
        <v>124</v>
      </c>
      <c r="FB5" s="56">
        <f>SUMIFS(tblActuals[Team 2 Goals],tblActuals[Team 2],$CK5,tblActuals[Team 1],FB$3)+SUMIFS(tblActuals[Team 1 Goals],tblActuals[Team 1],$CK5,tblActuals[Team 2],FB$3)</f>
        <v>0</v>
      </c>
      <c r="FC5" s="56">
        <f>SUMIFS(tblActuals[Team 2 Goals],tblActuals[Team 2],$CK5,tblActuals[Team 1],FC$3)+SUMIFS(tblActuals[Team 1 Goals],tblActuals[Team 1],$CK5,tblActuals[Team 2],FC$3)</f>
        <v>0</v>
      </c>
      <c r="FD5" s="56">
        <f>SUMIFS(tblActuals[Team 2 Goals],tblActuals[Team 2],$CK5,tblActuals[Team 1],FD$3)+SUMIFS(tblActuals[Team 1 Goals],tblActuals[Team 1],$CK5,tblActuals[Team 2],FD$3)</f>
        <v>0</v>
      </c>
      <c r="FE5" s="56">
        <f>SUMIFS(tblActuals[Team 2 Goals],tblActuals[Team 2],$CK5,tblActuals[Team 1],FE$3)+SUMIFS(tblActuals[Team 1 Goals],tblActuals[Team 1],$CK5,tblActuals[Team 2],FE$3)</f>
        <v>0</v>
      </c>
      <c r="FF5" s="56">
        <f>SUMIFS(tblActuals[Team 2 Goals],tblActuals[Team 2],$CK5,tblActuals[Team 1],FF$3)+SUMIFS(tblActuals[Team 1 Goals],tblActuals[Team 1],$CK5,tblActuals[Team 2],FF$3)</f>
        <v>0</v>
      </c>
      <c r="FG5" s="56">
        <f>SUMIFS(tblActuals[Team 2 Goals],tblActuals[Team 2],$CK5,tblActuals[Team 1],FG$3)+SUMIFS(tblActuals[Team 1 Goals],tblActuals[Team 1],$CK5,tblActuals[Team 2],FG$3)</f>
        <v>0</v>
      </c>
      <c r="FH5" s="56">
        <f>SUMIFS(tblActuals[Team 2 Goals],tblActuals[Team 2],$CK5,tblActuals[Team 1],FH$3)+SUMIFS(tblActuals[Team 1 Goals],tblActuals[Team 1],$CK5,tblActuals[Team 2],FH$3)</f>
        <v>0</v>
      </c>
      <c r="FI5" s="56">
        <f>SUMIFS(tblActuals[Team 2 Goals],tblActuals[Team 2],$CK5,tblActuals[Team 1],FI$3)+SUMIFS(tblActuals[Team 1 Goals],tblActuals[Team 1],$CK5,tblActuals[Team 2],FI$3)</f>
        <v>0</v>
      </c>
      <c r="FJ5" s="56">
        <f>SUMIFS(tblActuals[Team 2 Goals],tblActuals[Team 2],$CK5,tblActuals[Team 1],FJ$3)+SUMIFS(tblActuals[Team 1 Goals],tblActuals[Team 1],$CK5,tblActuals[Team 2],FJ$3)</f>
        <v>0</v>
      </c>
      <c r="FK5" s="56">
        <f>SUMIFS(tblActuals[Team 2 Goals],tblActuals[Team 2],$CK5,tblActuals[Team 1],FK$3)+SUMIFS(tblActuals[Team 1 Goals],tblActuals[Team 1],$CK5,tblActuals[Team 2],FK$3)</f>
        <v>0</v>
      </c>
      <c r="FL5" s="56">
        <f>SUMIFS(tblActuals[Team 2 Goals],tblActuals[Team 2],$CK5,tblActuals[Team 1],FL$3)+SUMIFS(tblActuals[Team 1 Goals],tblActuals[Team 1],$CK5,tblActuals[Team 2],FL$3)</f>
        <v>0</v>
      </c>
      <c r="FM5" s="56">
        <f>SUMIFS(tblActuals[Team 2 Goals],tblActuals[Team 2],$CK5,tblActuals[Team 1],FM$3)+SUMIFS(tblActuals[Team 1 Goals],tblActuals[Team 1],$CK5,tblActuals[Team 2],FM$3)</f>
        <v>0</v>
      </c>
      <c r="FN5" s="56">
        <f>SUMIFS(tblActuals[Team 2 Goals],tblActuals[Team 2],$CK5,tblActuals[Team 1],FN$3)+SUMIFS(tblActuals[Team 1 Goals],tblActuals[Team 1],$CK5,tblActuals[Team 2],FN$3)</f>
        <v>0</v>
      </c>
      <c r="FO5" s="56">
        <f>SUMIFS(tblActuals[Team 2 Goals],tblActuals[Team 2],$CK5,tblActuals[Team 1],FO$3)+SUMIFS(tblActuals[Team 1 Goals],tblActuals[Team 1],$CK5,tblActuals[Team 2],FO$3)</f>
        <v>0</v>
      </c>
      <c r="FP5" s="56">
        <f>SUMIFS(tblActuals[Team 2 Goals],tblActuals[Team 2],$CK5,tblActuals[Team 1],FP$3)+SUMIFS(tblActuals[Team 1 Goals],tblActuals[Team 1],$CK5,tblActuals[Team 2],FP$3)</f>
        <v>0</v>
      </c>
      <c r="FQ5" s="56">
        <f>SUMIFS(tblActuals[Team 2 Goals],tblActuals[Team 2],$CK5,tblActuals[Team 1],FQ$3)+SUMIFS(tblActuals[Team 1 Goals],tblActuals[Team 1],$CK5,tblActuals[Team 2],FQ$3)</f>
        <v>0</v>
      </c>
      <c r="FR5" s="56">
        <f>SUMIFS(tblActuals[Team 2 Goals],tblActuals[Team 2],$CK5,tblActuals[Team 1],FR$3)+SUMIFS(tblActuals[Team 1 Goals],tblActuals[Team 1],$CK5,tblActuals[Team 2],FR$3)</f>
        <v>0</v>
      </c>
      <c r="FS5" s="56">
        <f>SUMIFS(tblActuals[Team 2 Goals],tblActuals[Team 2],$CK5,tblActuals[Team 1],FS$3)+SUMIFS(tblActuals[Team 1 Goals],tblActuals[Team 1],$CK5,tblActuals[Team 2],FS$3)</f>
        <v>0</v>
      </c>
      <c r="FT5" s="56">
        <f>SUMIFS(tblActuals[Team 2 Goals],tblActuals[Team 2],$CK5,tblActuals[Team 1],FT$3)+SUMIFS(tblActuals[Team 1 Goals],tblActuals[Team 1],$CK5,tblActuals[Team 2],FT$3)</f>
        <v>0</v>
      </c>
      <c r="FU5" s="56">
        <f>SUMIFS(tblActuals[Team 2 Goals],tblActuals[Team 2],$CK5,tblActuals[Team 1],FU$3)+SUMIFS(tblActuals[Team 1 Goals],tblActuals[Team 1],$CK5,tblActuals[Team 2],FU$3)</f>
        <v>0</v>
      </c>
      <c r="FV5" s="56">
        <f>SUMIFS(tblActuals[Team 2 Goals],tblActuals[Team 2],$CK5,tblActuals[Team 1],FV$3)+SUMIFS(tblActuals[Team 1 Goals],tblActuals[Team 1],$CK5,tblActuals[Team 2],FV$3)</f>
        <v>0</v>
      </c>
      <c r="FW5" s="56">
        <f>SUMIFS(tblActuals[Team 2 Goals],tblActuals[Team 2],$CK5,tblActuals[Team 1],FW$3)+SUMIFS(tblActuals[Team 1 Goals],tblActuals[Team 1],$CK5,tblActuals[Team 2],FW$3)</f>
        <v>0</v>
      </c>
      <c r="FX5" s="56">
        <f>SUMIFS(tblActuals[Team 2 Goals],tblActuals[Team 2],$CK5,tblActuals[Team 1],FX$3)+SUMIFS(tblActuals[Team 1 Goals],tblActuals[Team 1],$CK5,tblActuals[Team 2],FX$3)</f>
        <v>0</v>
      </c>
      <c r="FY5" s="56">
        <f>SUMIFS(tblActuals[Team 2 Goals],tblActuals[Team 2],$CK5,tblActuals[Team 1],FY$3)+SUMIFS(tblActuals[Team 1 Goals],tblActuals[Team 1],$CK5,tblActuals[Team 2],FY$3)</f>
        <v>0</v>
      </c>
      <c r="FZ5" s="57"/>
      <c r="GA5" s="57"/>
      <c r="GB5" s="37"/>
      <c r="GC5" s="37"/>
      <c r="GD5" s="37"/>
      <c r="GE5" s="37"/>
      <c r="GF5" s="37"/>
      <c r="GG5" s="37"/>
      <c r="GH5" s="75"/>
      <c r="GI5" s="156"/>
      <c r="GJ5" s="156"/>
      <c r="GK5" s="75"/>
      <c r="GL5" s="22"/>
      <c r="GM5" s="75"/>
      <c r="GN5" s="75"/>
      <c r="GO5" s="75"/>
      <c r="GP5" s="75"/>
      <c r="GR5" s="4" t="str">
        <f>_xlfn.CONCAT(GS5:GX5)</f>
        <v>ABCD</v>
      </c>
      <c r="GS5" s="44" t="s">
        <v>1</v>
      </c>
      <c r="GT5" s="44" t="s">
        <v>5</v>
      </c>
      <c r="GU5" s="44" t="s">
        <v>6</v>
      </c>
      <c r="GV5" s="44" t="s">
        <v>7</v>
      </c>
      <c r="GW5" s="45"/>
      <c r="GX5" s="45"/>
      <c r="GY5" s="178"/>
      <c r="GZ5" s="45" t="s">
        <v>149</v>
      </c>
      <c r="HA5" s="45" t="s">
        <v>150</v>
      </c>
      <c r="HB5" s="45" t="s">
        <v>151</v>
      </c>
      <c r="HC5" s="45" t="s">
        <v>152</v>
      </c>
    </row>
    <row r="6" spans="1:211" s="11" customFormat="1" ht="30" customHeight="1" x14ac:dyDescent="0.2">
      <c r="A6" s="29">
        <v>-4</v>
      </c>
      <c r="B6" s="122">
        <v>3</v>
      </c>
      <c r="C6" s="122" t="s">
        <v>5</v>
      </c>
      <c r="D6" s="123">
        <v>45458</v>
      </c>
      <c r="E6" s="122" t="s">
        <v>80</v>
      </c>
      <c r="F6" s="124">
        <v>0.75</v>
      </c>
      <c r="G6" s="125">
        <f t="shared" si="8"/>
        <v>45458.5</v>
      </c>
      <c r="H6" s="122" t="s">
        <v>91</v>
      </c>
      <c r="I6" s="126"/>
      <c r="J6" s="118"/>
      <c r="K6" s="118"/>
      <c r="L6" s="119" t="str">
        <f>IF(tblActuals[[#This Row],[SCORE]]="","",IF(Q6=R6,"Draw",IF(Q6&gt;R6,M6,N6)))</f>
        <v/>
      </c>
      <c r="M6" s="120" t="str">
        <f>IF(tblActuals[[#This Row],[TEAMS]]="","",LEFT(H6,FIND(" -",H6,1)-1))</f>
        <v>Spain</v>
      </c>
      <c r="N6" s="120" t="str">
        <f>IF(tblActuals[[#This Row],[TEAMS]]="","",MID(H6,FIND("-",H6,1)+2,LEN(H6)-FIND("-",H6,1)+2))</f>
        <v>Croatia</v>
      </c>
      <c r="O6" s="120" t="str">
        <f>IF(tblActuals[[#This Row],[Team 1 Goals]]&gt;tblActuals[[#This Row],[Team 2 Goals]],tblActuals[[#This Row],[Team 1]],IF(tblActuals[[#This Row],[Team 2 Goals]]&gt;tblActuals[[#This Row],[Team 1 Goals]],tblActuals[[#This Row],[Team 2]],""))</f>
        <v/>
      </c>
      <c r="P6" s="120" t="str">
        <f>IF(tblActuals[[#This Row],[Winner]]=tblActuals[[#This Row],[Team 1]],tblActuals[[#This Row],[Team 2]],IF(tblActuals[[#This Row],[Winner]]=tblActuals[[#This Row],[Team 2]],tblActuals[[#This Row],[Team 1]],""))</f>
        <v/>
      </c>
      <c r="Q6" s="120" t="str">
        <f>IF(tblActuals[[#This Row],[SCORE]]="","",LEFT(I6,FIND(":",I6,1)-1)*1)</f>
        <v/>
      </c>
      <c r="R6" s="120" t="str">
        <f>IF(tblActuals[[#This Row],[SCORE]]="","",MID(I6,FIND(":",I6,1)+1,LEN(I6)-FIND(":",I6,1)+1)*1)</f>
        <v/>
      </c>
      <c r="S6" s="120" t="str">
        <f>IF(OR(tblActuals[[#This Row],[Team 1 Goals]]="",tblActuals[[#This Row],[Team 2 Goals]]=""),"",tblActuals[[#This Row],[Team 1 Goals]]-tblActuals[[#This Row],[Team 2 Goals]])</f>
        <v/>
      </c>
      <c r="T6" s="120" t="str">
        <f>IF(OR(tblActuals[[#This Row],[Team 1 Goals]]="",tblActuals[[#This Row],[Team 2 Goals]]=""),"",tblActuals[[#This Row],[Team 2 Goals]]-tblActuals[[#This Row],[Team 1 Goals]])</f>
        <v/>
      </c>
      <c r="U6" s="120" t="str">
        <f>IF(tblActuals[[#This Row],[SCORE]]="","",IF(tblActuals[[#This Row],[WINNER / RESULT]]="Draw",1,IF(tblActuals[[#This Row],[WINNER / RESULT]]=tblActuals[[#This Row],[Team 1]],3,0)))</f>
        <v/>
      </c>
      <c r="V6" s="120" t="str">
        <f>IF(tblActuals[[#This Row],[SCORE]]="","",IF(tblActuals[[#This Row],[WINNER / RESULT]]="Draw",1,IF(tblActuals[[#This Row],[WINNER / RESULT]]=tblActuals[[#This Row],[Team 2]],3,0)))</f>
        <v/>
      </c>
      <c r="W6" s="121"/>
      <c r="X6" s="121"/>
      <c r="Y6" s="121"/>
      <c r="Z6" s="121"/>
      <c r="AA6" s="120" t="e">
        <f>tblActuals[[#This Row],[Team 1 Goals]]+tblActuals[[#This Row],[Team 1 ET Goals]]&amp;":"&amp;tblActuals[[#This Row],[Team 2 Goals]]+tblActuals[[#This Row],[Team 2 ET Goals]]</f>
        <v>#VALUE!</v>
      </c>
      <c r="AB6" s="120" t="e">
        <f>+tblActuals[[#This Row],[Team 1 Goals]]+tblActuals[[#This Row],[Team 2 Goals]]</f>
        <v>#VALUE!</v>
      </c>
      <c r="AC6" s="165">
        <f t="shared" si="0"/>
        <v>45458</v>
      </c>
      <c r="AD6" s="166">
        <f t="shared" si="9"/>
        <v>3.6</v>
      </c>
      <c r="AF6" s="38" t="s">
        <v>79</v>
      </c>
      <c r="AJ6" s="77" t="s">
        <v>1</v>
      </c>
      <c r="AK6" s="136">
        <v>1</v>
      </c>
      <c r="AL6" s="137" t="str">
        <f ca="1">IFERROR(INDEX(AT:AT,MATCH("1"&amp;AJ6,BD:BD,0),1),"")</f>
        <v>Germany</v>
      </c>
      <c r="AM6" s="137" t="str">
        <f ca="1">IF(AL6="","",VLOOKUP(AL6,AT:AY,2,FALSE)&amp;"-"&amp;VLOOKUP(AL6,AT:AY,3,FALSE)&amp;"-"&amp;VLOOKUP(AL6,AT:AY,4,FALSE))</f>
        <v>0-0-0</v>
      </c>
      <c r="AN6" s="137">
        <f ca="1">IF(AL6="","",VLOOKUP(AL6,AT:BA,8,FALSE))</f>
        <v>0</v>
      </c>
      <c r="AO6" s="138">
        <f ca="1">IF(AL6="","",VLOOKUP(AL6,AT:BD,5,FALSE))</f>
        <v>0</v>
      </c>
      <c r="AP6" s="75"/>
      <c r="AQ6" s="42"/>
      <c r="AR6" s="4"/>
      <c r="AS6" s="4" t="s">
        <v>1</v>
      </c>
      <c r="AT6" s="4" t="s">
        <v>124</v>
      </c>
      <c r="AU6" s="4">
        <f>COUNTIF(tblActuals[Winner],AT6)</f>
        <v>0</v>
      </c>
      <c r="AV6" s="4">
        <f>COUNTIFS(tblActuals[Team 2],AT6,tblActuals[WINNER / RESULT],"Draw")+COUNTIFS(tblActuals[Team 1],AT6,tblActuals[WINNER / RESULT],"Draw")</f>
        <v>0</v>
      </c>
      <c r="AW6" s="4">
        <f>COUNTIF(tblActuals[Loser],AT6)</f>
        <v>0</v>
      </c>
      <c r="AX6" s="4">
        <f>AV6+(3*AU6)</f>
        <v>0</v>
      </c>
      <c r="AY6" s="4">
        <f>SUMIFS(tblActuals[Team 1 Goals],tblActuals[Team 1],AT6)+SUMIFS(tblActuals[Team 2 Goals],tblActuals[Team 2],AT6)</f>
        <v>0</v>
      </c>
      <c r="AZ6" s="4">
        <f>SUMIFS(tblActuals[Team 2 Goals],tblActuals[Team 1],AT6)+SUMIFS(tblActuals[Team 1 Goals],tblActuals[Team 2],AT6)</f>
        <v>0</v>
      </c>
      <c r="BA6" s="4">
        <f>AY6-AZ6</f>
        <v>0</v>
      </c>
      <c r="BB6" s="4">
        <f ca="1">RANK(BO6,$BO$4:$BO$7,1)</f>
        <v>3</v>
      </c>
      <c r="BC6" s="4" t="str">
        <f t="shared" si="1"/>
        <v/>
      </c>
      <c r="BD6" s="4" t="str">
        <f ca="1">IF(BC6="",BB6&amp;AS6,BC6&amp;AS6)</f>
        <v>3A</v>
      </c>
      <c r="BE6" s="4">
        <f>RANK(AX6,$AX$4:$AX$7,0)</f>
        <v>1</v>
      </c>
      <c r="BF6" s="4" cm="1">
        <f t="array" aca="1" ref="BF6" ca="1">SUMPRODUCT((OFFSET($CL$3:$DQ$3,MATCH($AT6,$CK$4:$CK$35,0),0))*((IF($BE4=$BE6,$CL$3:$DQ$3=$AT4,0))+(IF($BE7=$BE6,$CL$3:$DQ$3=$AT7,0))+(IF($BE5=$BE6,$CL$3:$DQ$3=$AT5,0))))</f>
        <v>0</v>
      </c>
      <c r="BG6" s="4" cm="1">
        <f t="array" aca="1" ref="BG6" ca="1">SUMPRODUCT((OFFSET($DT$3:$EY$3,MATCH($AT6,$DS$4:$DS$35,0),0))*((IF($BE4=$BE6,$DT$3:$EY$3=$AT4,0))+(IF($BE7=$BE6,$DT$3:$EY$3=$AT7,0))+(IF($BE5=$BE6,$DT$3:$EY$3=$AT5,0))))</f>
        <v>0</v>
      </c>
      <c r="BH6" s="4" cm="1">
        <f t="array" aca="1" ref="BH6" ca="1">SUMPRODUCT((OFFSET($FB$3:$GG$3,MATCH($AT6,$FA$4:$FA$35,0),0))*((IF($BE4=$BE6,$FB$3:$GG$3=$AT4,0))+(IF($BE7=$BE6,$FB$3:$GG$3=$AT7,0))+(IF($BE5=$BE6,$FB$3:$GG$3=$AT5,0))))</f>
        <v>0</v>
      </c>
      <c r="BI6" s="4" cm="1">
        <f t="array" aca="1" ref="BI6" ca="1">SUMPRODUCT((OFFSET($CL$3:$DQ$3,MATCH($AT6,$CK$4:$CK$35,0),0))*((IF($BE4&lt;&gt;$BE6,$CL$3:$DQ$3=$AT4,0))+(IF($BE7&lt;&gt;$BE6,$CL$3:$DQ$3=$AT7,0))+(IF($BE5&lt;&gt;$BE6,$CL$3:$DQ$3=$AT5,0))))</f>
        <v>0</v>
      </c>
      <c r="BJ6" s="4" cm="1">
        <f t="array" aca="1" ref="BJ6" ca="1">SUMPRODUCT((OFFSET($DT$3:$EY$3,MATCH($AT6,$DS$4:$DS$35,0),0))*((IF($BE4&lt;&gt;$BE6,$DT$3:$EY$3=$AT4,0))+(IF($BE7&lt;&gt;$BE6,$DT$3:$EY$3=$AT7,0))+(IF($BE5&lt;&gt;$BE6,$DT$3:$EY$3=$AT5,0))))</f>
        <v>0</v>
      </c>
      <c r="BK6" s="4" cm="1">
        <f t="array" aca="1" ref="BK6" ca="1">SUMPRODUCT((OFFSET($FB$3:$GG$3,MATCH($AT6,$FA$4:$FA$35,0),0))*((IF($BE4&lt;&gt;$BE6,$FB$3:$GG$3=$AT4,0))+(IF($BE7&lt;&gt;$BE6,$FB$3:$GG$3=$AT7,0))+(IF($BE5&lt;&gt;$BE6,$FB$3:$GG$3=$AT5,0))))</f>
        <v>0</v>
      </c>
      <c r="BL6" s="4">
        <f t="shared" si="10"/>
        <v>0</v>
      </c>
      <c r="BM6" s="4">
        <f t="shared" si="11"/>
        <v>0</v>
      </c>
      <c r="BN6" s="4">
        <f ca="1">(BF6/10)+(BG6/100)+(BH6/1000)+(BJ6/10000)+(BK6/100000)+(BL6/1000000)+(BM6/10000000)+(ROW(BI5)/100000000)</f>
        <v>4.9999999999999998E-8</v>
      </c>
      <c r="BO6" s="4">
        <f ca="1">+BE6-BN6</f>
        <v>0.99999994999999997</v>
      </c>
      <c r="BP6" s="4"/>
      <c r="BQ6" s="4" t="s">
        <v>6</v>
      </c>
      <c r="BR6" s="4" t="str">
        <f ca="1">AL20</f>
        <v>Serbia</v>
      </c>
      <c r="BS6" s="4">
        <f t="shared" ca="1" si="2"/>
        <v>0</v>
      </c>
      <c r="BT6" s="4">
        <f t="shared" ca="1" si="3"/>
        <v>0</v>
      </c>
      <c r="BU6" s="4">
        <f t="shared" ca="1" si="4"/>
        <v>0</v>
      </c>
      <c r="BV6" s="4">
        <f t="shared" ca="1" si="5"/>
        <v>0</v>
      </c>
      <c r="BW6" s="4">
        <f t="shared" ca="1" si="6"/>
        <v>5.9999999999999997E-7</v>
      </c>
      <c r="BX6" s="4">
        <f t="shared" ca="1" si="7"/>
        <v>4</v>
      </c>
      <c r="BY6" s="4"/>
      <c r="BZ6" s="4"/>
      <c r="CA6" s="4"/>
      <c r="CB6" s="4"/>
      <c r="CC6" s="4"/>
      <c r="CD6" s="4"/>
      <c r="CE6" s="4"/>
      <c r="CF6" s="4"/>
      <c r="CG6" s="4"/>
      <c r="CH6" s="4"/>
      <c r="CK6" s="4" t="s">
        <v>125</v>
      </c>
      <c r="CL6" s="56">
        <f>SUMIFS(tblActuals[Team 2 Points],tblActuals[Team 2],$CK6,tblActuals[Team 1],CL$3)+SUMIFS(tblActuals[Team 1 Points],tblActuals[Team 1],$CK6,tblActuals[Team 2],CL$3)</f>
        <v>0</v>
      </c>
      <c r="CM6" s="56">
        <f>SUMIFS(tblActuals[Team 2 Points],tblActuals[Team 2],$CK6,tblActuals[Team 1],CM$3)+SUMIFS(tblActuals[Team 1 Points],tblActuals[Team 1],$CK6,tblActuals[Team 2],CM$3)</f>
        <v>0</v>
      </c>
      <c r="CN6" s="56">
        <f>SUMIFS(tblActuals[Team 2 Points],tblActuals[Team 2],$CK6,tblActuals[Team 1],CN$3)+SUMIFS(tblActuals[Team 1 Points],tblActuals[Team 1],$CK6,tblActuals[Team 2],CN$3)</f>
        <v>0</v>
      </c>
      <c r="CO6" s="56">
        <f>SUMIFS(tblActuals[Team 2 Points],tblActuals[Team 2],$CK6,tblActuals[Team 1],CO$3)+SUMIFS(tblActuals[Team 1 Points],tblActuals[Team 1],$CK6,tblActuals[Team 2],CO$3)</f>
        <v>0</v>
      </c>
      <c r="CP6" s="56">
        <f>SUMIFS(tblActuals[Team 2 Points],tblActuals[Team 2],$CK6,tblActuals[Team 1],CP$3)+SUMIFS(tblActuals[Team 1 Points],tblActuals[Team 1],$CK6,tblActuals[Team 2],CP$3)</f>
        <v>0</v>
      </c>
      <c r="CQ6" s="56">
        <f>SUMIFS(tblActuals[Team 2 Points],tblActuals[Team 2],$CK6,tblActuals[Team 1],CQ$3)+SUMIFS(tblActuals[Team 1 Points],tblActuals[Team 1],$CK6,tblActuals[Team 2],CQ$3)</f>
        <v>0</v>
      </c>
      <c r="CR6" s="56">
        <f>SUMIFS(tblActuals[Team 2 Points],tblActuals[Team 2],$CK6,tblActuals[Team 1],CR$3)+SUMIFS(tblActuals[Team 1 Points],tblActuals[Team 1],$CK6,tblActuals[Team 2],CR$3)</f>
        <v>0</v>
      </c>
      <c r="CS6" s="56">
        <f>SUMIFS(tblActuals[Team 2 Points],tblActuals[Team 2],$CK6,tblActuals[Team 1],CS$3)+SUMIFS(tblActuals[Team 1 Points],tblActuals[Team 1],$CK6,tblActuals[Team 2],CS$3)</f>
        <v>0</v>
      </c>
      <c r="CT6" s="56">
        <f>SUMIFS(tblActuals[Team 2 Points],tblActuals[Team 2],$CK6,tblActuals[Team 1],CT$3)+SUMIFS(tblActuals[Team 1 Points],tblActuals[Team 1],$CK6,tblActuals[Team 2],CT$3)</f>
        <v>0</v>
      </c>
      <c r="CU6" s="56">
        <f>SUMIFS(tblActuals[Team 2 Points],tblActuals[Team 2],$CK6,tblActuals[Team 1],CU$3)+SUMIFS(tblActuals[Team 1 Points],tblActuals[Team 1],$CK6,tblActuals[Team 2],CU$3)</f>
        <v>0</v>
      </c>
      <c r="CV6" s="56">
        <f>SUMIFS(tblActuals[Team 2 Points],tblActuals[Team 2],$CK6,tblActuals[Team 1],CV$3)+SUMIFS(tblActuals[Team 1 Points],tblActuals[Team 1],$CK6,tblActuals[Team 2],CV$3)</f>
        <v>0</v>
      </c>
      <c r="CW6" s="56">
        <f>SUMIFS(tblActuals[Team 2 Points],tblActuals[Team 2],$CK6,tblActuals[Team 1],CW$3)+SUMIFS(tblActuals[Team 1 Points],tblActuals[Team 1],$CK6,tblActuals[Team 2],CW$3)</f>
        <v>0</v>
      </c>
      <c r="CX6" s="56">
        <f>SUMIFS(tblActuals[Team 2 Points],tblActuals[Team 2],$CK6,tblActuals[Team 1],CX$3)+SUMIFS(tblActuals[Team 1 Points],tblActuals[Team 1],$CK6,tblActuals[Team 2],CX$3)</f>
        <v>0</v>
      </c>
      <c r="CY6" s="56">
        <f>SUMIFS(tblActuals[Team 2 Points],tblActuals[Team 2],$CK6,tblActuals[Team 1],CY$3)+SUMIFS(tblActuals[Team 1 Points],tblActuals[Team 1],$CK6,tblActuals[Team 2],CY$3)</f>
        <v>0</v>
      </c>
      <c r="CZ6" s="56">
        <f>SUMIFS(tblActuals[Team 2 Points],tblActuals[Team 2],$CK6,tblActuals[Team 1],CZ$3)+SUMIFS(tblActuals[Team 1 Points],tblActuals[Team 1],$CK6,tblActuals[Team 2],CZ$3)</f>
        <v>0</v>
      </c>
      <c r="DA6" s="56">
        <f>SUMIFS(tblActuals[Team 2 Points],tblActuals[Team 2],$CK6,tblActuals[Team 1],DA$3)+SUMIFS(tblActuals[Team 1 Points],tblActuals[Team 1],$CK6,tblActuals[Team 2],DA$3)</f>
        <v>0</v>
      </c>
      <c r="DB6" s="56">
        <f>SUMIFS(tblActuals[Team 2 Points],tblActuals[Team 2],$CK6,tblActuals[Team 1],DB$3)+SUMIFS(tblActuals[Team 1 Points],tblActuals[Team 1],$CK6,tblActuals[Team 2],DB$3)</f>
        <v>0</v>
      </c>
      <c r="DC6" s="56">
        <f>SUMIFS(tblActuals[Team 2 Points],tblActuals[Team 2],$CK6,tblActuals[Team 1],DC$3)+SUMIFS(tblActuals[Team 1 Points],tblActuals[Team 1],$CK6,tblActuals[Team 2],DC$3)</f>
        <v>0</v>
      </c>
      <c r="DD6" s="56">
        <f>SUMIFS(tblActuals[Team 2 Points],tblActuals[Team 2],$CK6,tblActuals[Team 1],DD$3)+SUMIFS(tblActuals[Team 1 Points],tblActuals[Team 1],$CK6,tblActuals[Team 2],DD$3)</f>
        <v>0</v>
      </c>
      <c r="DE6" s="56">
        <f>SUMIFS(tblActuals[Team 2 Points],tblActuals[Team 2],$CK6,tblActuals[Team 1],DE$3)+SUMIFS(tblActuals[Team 1 Points],tblActuals[Team 1],$CK6,tblActuals[Team 2],DE$3)</f>
        <v>0</v>
      </c>
      <c r="DF6" s="56">
        <f>SUMIFS(tblActuals[Team 2 Points],tblActuals[Team 2],$CK6,tblActuals[Team 1],DF$3)+SUMIFS(tblActuals[Team 1 Points],tblActuals[Team 1],$CK6,tblActuals[Team 2],DF$3)</f>
        <v>0</v>
      </c>
      <c r="DG6" s="56">
        <f>SUMIFS(tblActuals[Team 2 Points],tblActuals[Team 2],$CK6,tblActuals[Team 1],DG$3)+SUMIFS(tblActuals[Team 1 Points],tblActuals[Team 1],$CK6,tblActuals[Team 2],DG$3)</f>
        <v>0</v>
      </c>
      <c r="DH6" s="56">
        <f>SUMIFS(tblActuals[Team 2 Points],tblActuals[Team 2],$CK6,tblActuals[Team 1],DH$3)+SUMIFS(tblActuals[Team 1 Points],tblActuals[Team 1],$CK6,tblActuals[Team 2],DH$3)</f>
        <v>0</v>
      </c>
      <c r="DI6" s="56">
        <f>SUMIFS(tblActuals[Team 2 Points],tblActuals[Team 2],$CK6,tblActuals[Team 1],DI$3)+SUMIFS(tblActuals[Team 1 Points],tblActuals[Team 1],$CK6,tblActuals[Team 2],DI$3)</f>
        <v>0</v>
      </c>
      <c r="DJ6" s="57"/>
      <c r="DK6" s="57"/>
      <c r="DL6" s="57"/>
      <c r="DM6" s="57"/>
      <c r="DN6" s="57"/>
      <c r="DO6" s="57"/>
      <c r="DP6" s="57"/>
      <c r="DQ6" s="57"/>
      <c r="DR6" s="4"/>
      <c r="DS6" s="4" t="s">
        <v>125</v>
      </c>
      <c r="DT6" s="56">
        <f>SUMIFS(tblActuals[Team 2 GD],tblActuals[Team 2],$CK6,tblActuals[Team 1],DT$3)+SUMIFS(tblActuals[Team 1 GD],tblActuals[Team 1],$CK6,tblActuals[Team 2],DT$3)</f>
        <v>0</v>
      </c>
      <c r="DU6" s="56">
        <f>SUMIFS(tblActuals[Team 2 GD],tblActuals[Team 2],$CK6,tblActuals[Team 1],DU$3)+SUMIFS(tblActuals[Team 1 GD],tblActuals[Team 1],$CK6,tblActuals[Team 2],DU$3)</f>
        <v>0</v>
      </c>
      <c r="DV6" s="56">
        <f>SUMIFS(tblActuals[Team 2 GD],tblActuals[Team 2],$CK6,tblActuals[Team 1],DV$3)+SUMIFS(tblActuals[Team 1 GD],tblActuals[Team 1],$CK6,tblActuals[Team 2],DV$3)</f>
        <v>0</v>
      </c>
      <c r="DW6" s="56">
        <f>SUMIFS(tblActuals[Team 2 GD],tblActuals[Team 2],$CK6,tblActuals[Team 1],DW$3)+SUMIFS(tblActuals[Team 1 GD],tblActuals[Team 1],$CK6,tblActuals[Team 2],DW$3)</f>
        <v>0</v>
      </c>
      <c r="DX6" s="56">
        <f>SUMIFS(tblActuals[Team 2 GD],tblActuals[Team 2],$CK6,tblActuals[Team 1],DX$3)+SUMIFS(tblActuals[Team 1 GD],tblActuals[Team 1],$CK6,tblActuals[Team 2],DX$3)</f>
        <v>0</v>
      </c>
      <c r="DY6" s="56">
        <f>SUMIFS(tblActuals[Team 2 GD],tblActuals[Team 2],$CK6,tblActuals[Team 1],DY$3)+SUMIFS(tblActuals[Team 1 GD],tblActuals[Team 1],$CK6,tblActuals[Team 2],DY$3)</f>
        <v>0</v>
      </c>
      <c r="DZ6" s="56">
        <f>SUMIFS(tblActuals[Team 2 GD],tblActuals[Team 2],$CK6,tblActuals[Team 1],DZ$3)+SUMIFS(tblActuals[Team 1 GD],tblActuals[Team 1],$CK6,tblActuals[Team 2],DZ$3)</f>
        <v>0</v>
      </c>
      <c r="EA6" s="56">
        <f>SUMIFS(tblActuals[Team 2 GD],tblActuals[Team 2],$CK6,tblActuals[Team 1],EA$3)+SUMIFS(tblActuals[Team 1 GD],tblActuals[Team 1],$CK6,tblActuals[Team 2],EA$3)</f>
        <v>0</v>
      </c>
      <c r="EB6" s="56">
        <f>SUMIFS(tblActuals[Team 2 GD],tblActuals[Team 2],$CK6,tblActuals[Team 1],EB$3)+SUMIFS(tblActuals[Team 1 GD],tblActuals[Team 1],$CK6,tblActuals[Team 2],EB$3)</f>
        <v>0</v>
      </c>
      <c r="EC6" s="56">
        <f>SUMIFS(tblActuals[Team 2 GD],tblActuals[Team 2],$CK6,tblActuals[Team 1],EC$3)+SUMIFS(tblActuals[Team 1 GD],tblActuals[Team 1],$CK6,tblActuals[Team 2],EC$3)</f>
        <v>0</v>
      </c>
      <c r="ED6" s="56">
        <f>SUMIFS(tblActuals[Team 2 GD],tblActuals[Team 2],$CK6,tblActuals[Team 1],ED$3)+SUMIFS(tblActuals[Team 1 GD],tblActuals[Team 1],$CK6,tblActuals[Team 2],ED$3)</f>
        <v>0</v>
      </c>
      <c r="EE6" s="56">
        <f>SUMIFS(tblActuals[Team 2 GD],tblActuals[Team 2],$CK6,tblActuals[Team 1],EE$3)+SUMIFS(tblActuals[Team 1 GD],tblActuals[Team 1],$CK6,tblActuals[Team 2],EE$3)</f>
        <v>0</v>
      </c>
      <c r="EF6" s="56">
        <f>SUMIFS(tblActuals[Team 2 GD],tblActuals[Team 2],$CK6,tblActuals[Team 1],EF$3)+SUMIFS(tblActuals[Team 1 GD],tblActuals[Team 1],$CK6,tblActuals[Team 2],EF$3)</f>
        <v>0</v>
      </c>
      <c r="EG6" s="56">
        <f>SUMIFS(tblActuals[Team 2 GD],tblActuals[Team 2],$CK6,tblActuals[Team 1],EG$3)+SUMIFS(tblActuals[Team 1 GD],tblActuals[Team 1],$CK6,tblActuals[Team 2],EG$3)</f>
        <v>0</v>
      </c>
      <c r="EH6" s="56">
        <f>SUMIFS(tblActuals[Team 2 GD],tblActuals[Team 2],$CK6,tblActuals[Team 1],EH$3)+SUMIFS(tblActuals[Team 1 GD],tblActuals[Team 1],$CK6,tblActuals[Team 2],EH$3)</f>
        <v>0</v>
      </c>
      <c r="EI6" s="56">
        <f>SUMIFS(tblActuals[Team 2 GD],tblActuals[Team 2],$CK6,tblActuals[Team 1],EI$3)+SUMIFS(tblActuals[Team 1 GD],tblActuals[Team 1],$CK6,tblActuals[Team 2],EI$3)</f>
        <v>0</v>
      </c>
      <c r="EJ6" s="56">
        <f>SUMIFS(tblActuals[Team 2 GD],tblActuals[Team 2],$CK6,tblActuals[Team 1],EJ$3)+SUMIFS(tblActuals[Team 1 GD],tblActuals[Team 1],$CK6,tblActuals[Team 2],EJ$3)</f>
        <v>0</v>
      </c>
      <c r="EK6" s="56">
        <f>SUMIFS(tblActuals[Team 2 GD],tblActuals[Team 2],$CK6,tblActuals[Team 1],EK$3)+SUMIFS(tblActuals[Team 1 GD],tblActuals[Team 1],$CK6,tblActuals[Team 2],EK$3)</f>
        <v>0</v>
      </c>
      <c r="EL6" s="56">
        <f>SUMIFS(tblActuals[Team 2 GD],tblActuals[Team 2],$CK6,tblActuals[Team 1],EL$3)+SUMIFS(tblActuals[Team 1 GD],tblActuals[Team 1],$CK6,tblActuals[Team 2],EL$3)</f>
        <v>0</v>
      </c>
      <c r="EM6" s="56">
        <f>SUMIFS(tblActuals[Team 2 GD],tblActuals[Team 2],$CK6,tblActuals[Team 1],EM$3)+SUMIFS(tblActuals[Team 1 GD],tblActuals[Team 1],$CK6,tblActuals[Team 2],EM$3)</f>
        <v>0</v>
      </c>
      <c r="EN6" s="56">
        <f>SUMIFS(tblActuals[Team 2 GD],tblActuals[Team 2],$CK6,tblActuals[Team 1],EN$3)+SUMIFS(tblActuals[Team 1 GD],tblActuals[Team 1],$CK6,tblActuals[Team 2],EN$3)</f>
        <v>0</v>
      </c>
      <c r="EO6" s="56">
        <f>SUMIFS(tblActuals[Team 2 GD],tblActuals[Team 2],$CK6,tblActuals[Team 1],EO$3)+SUMIFS(tblActuals[Team 1 GD],tblActuals[Team 1],$CK6,tblActuals[Team 2],EO$3)</f>
        <v>0</v>
      </c>
      <c r="EP6" s="56">
        <f>SUMIFS(tblActuals[Team 2 GD],tblActuals[Team 2],$CK6,tblActuals[Team 1],EP$3)+SUMIFS(tblActuals[Team 1 GD],tblActuals[Team 1],$CK6,tblActuals[Team 2],EP$3)</f>
        <v>0</v>
      </c>
      <c r="EQ6" s="56">
        <f>SUMIFS(tblActuals[Team 2 GD],tblActuals[Team 2],$CK6,tblActuals[Team 1],EQ$3)+SUMIFS(tblActuals[Team 1 GD],tblActuals[Team 1],$CK6,tblActuals[Team 2],EQ$3)</f>
        <v>0</v>
      </c>
      <c r="ER6" s="57"/>
      <c r="ES6" s="57"/>
      <c r="ET6" s="57"/>
      <c r="EU6" s="57"/>
      <c r="EV6" s="57"/>
      <c r="EW6" s="57"/>
      <c r="EX6" s="57"/>
      <c r="EY6" s="57"/>
      <c r="EZ6" s="4"/>
      <c r="FA6" s="4" t="s">
        <v>125</v>
      </c>
      <c r="FB6" s="56">
        <f>SUMIFS(tblActuals[Team 2 Goals],tblActuals[Team 2],$CK6,tblActuals[Team 1],FB$3)+SUMIFS(tblActuals[Team 1 Goals],tblActuals[Team 1],$CK6,tblActuals[Team 2],FB$3)</f>
        <v>0</v>
      </c>
      <c r="FC6" s="56">
        <f>SUMIFS(tblActuals[Team 2 Goals],tblActuals[Team 2],$CK6,tblActuals[Team 1],FC$3)+SUMIFS(tblActuals[Team 1 Goals],tblActuals[Team 1],$CK6,tblActuals[Team 2],FC$3)</f>
        <v>0</v>
      </c>
      <c r="FD6" s="56">
        <f>SUMIFS(tblActuals[Team 2 Goals],tblActuals[Team 2],$CK6,tblActuals[Team 1],FD$3)+SUMIFS(tblActuals[Team 1 Goals],tblActuals[Team 1],$CK6,tblActuals[Team 2],FD$3)</f>
        <v>0</v>
      </c>
      <c r="FE6" s="56">
        <f>SUMIFS(tblActuals[Team 2 Goals],tblActuals[Team 2],$CK6,tblActuals[Team 1],FE$3)+SUMIFS(tblActuals[Team 1 Goals],tblActuals[Team 1],$CK6,tblActuals[Team 2],FE$3)</f>
        <v>0</v>
      </c>
      <c r="FF6" s="56">
        <f>SUMIFS(tblActuals[Team 2 Goals],tblActuals[Team 2],$CK6,tblActuals[Team 1],FF$3)+SUMIFS(tblActuals[Team 1 Goals],tblActuals[Team 1],$CK6,tblActuals[Team 2],FF$3)</f>
        <v>0</v>
      </c>
      <c r="FG6" s="56">
        <f>SUMIFS(tblActuals[Team 2 Goals],tblActuals[Team 2],$CK6,tblActuals[Team 1],FG$3)+SUMIFS(tblActuals[Team 1 Goals],tblActuals[Team 1],$CK6,tblActuals[Team 2],FG$3)</f>
        <v>0</v>
      </c>
      <c r="FH6" s="56">
        <f>SUMIFS(tblActuals[Team 2 Goals],tblActuals[Team 2],$CK6,tblActuals[Team 1],FH$3)+SUMIFS(tblActuals[Team 1 Goals],tblActuals[Team 1],$CK6,tblActuals[Team 2],FH$3)</f>
        <v>0</v>
      </c>
      <c r="FI6" s="56">
        <f>SUMIFS(tblActuals[Team 2 Goals],tblActuals[Team 2],$CK6,tblActuals[Team 1],FI$3)+SUMIFS(tblActuals[Team 1 Goals],tblActuals[Team 1],$CK6,tblActuals[Team 2],FI$3)</f>
        <v>0</v>
      </c>
      <c r="FJ6" s="56">
        <f>SUMIFS(tblActuals[Team 2 Goals],tblActuals[Team 2],$CK6,tblActuals[Team 1],FJ$3)+SUMIFS(tblActuals[Team 1 Goals],tblActuals[Team 1],$CK6,tblActuals[Team 2],FJ$3)</f>
        <v>0</v>
      </c>
      <c r="FK6" s="56">
        <f>SUMIFS(tblActuals[Team 2 Goals],tblActuals[Team 2],$CK6,tblActuals[Team 1],FK$3)+SUMIFS(tblActuals[Team 1 Goals],tblActuals[Team 1],$CK6,tblActuals[Team 2],FK$3)</f>
        <v>0</v>
      </c>
      <c r="FL6" s="56">
        <f>SUMIFS(tblActuals[Team 2 Goals],tblActuals[Team 2],$CK6,tblActuals[Team 1],FL$3)+SUMIFS(tblActuals[Team 1 Goals],tblActuals[Team 1],$CK6,tblActuals[Team 2],FL$3)</f>
        <v>0</v>
      </c>
      <c r="FM6" s="56">
        <f>SUMIFS(tblActuals[Team 2 Goals],tblActuals[Team 2],$CK6,tblActuals[Team 1],FM$3)+SUMIFS(tblActuals[Team 1 Goals],tblActuals[Team 1],$CK6,tblActuals[Team 2],FM$3)</f>
        <v>0</v>
      </c>
      <c r="FN6" s="56">
        <f>SUMIFS(tblActuals[Team 2 Goals],tblActuals[Team 2],$CK6,tblActuals[Team 1],FN$3)+SUMIFS(tblActuals[Team 1 Goals],tblActuals[Team 1],$CK6,tblActuals[Team 2],FN$3)</f>
        <v>0</v>
      </c>
      <c r="FO6" s="56">
        <f>SUMIFS(tblActuals[Team 2 Goals],tblActuals[Team 2],$CK6,tblActuals[Team 1],FO$3)+SUMIFS(tblActuals[Team 1 Goals],tblActuals[Team 1],$CK6,tblActuals[Team 2],FO$3)</f>
        <v>0</v>
      </c>
      <c r="FP6" s="56">
        <f>SUMIFS(tblActuals[Team 2 Goals],tblActuals[Team 2],$CK6,tblActuals[Team 1],FP$3)+SUMIFS(tblActuals[Team 1 Goals],tblActuals[Team 1],$CK6,tblActuals[Team 2],FP$3)</f>
        <v>0</v>
      </c>
      <c r="FQ6" s="56">
        <f>SUMIFS(tblActuals[Team 2 Goals],tblActuals[Team 2],$CK6,tblActuals[Team 1],FQ$3)+SUMIFS(tblActuals[Team 1 Goals],tblActuals[Team 1],$CK6,tblActuals[Team 2],FQ$3)</f>
        <v>0</v>
      </c>
      <c r="FR6" s="56">
        <f>SUMIFS(tblActuals[Team 2 Goals],tblActuals[Team 2],$CK6,tblActuals[Team 1],FR$3)+SUMIFS(tblActuals[Team 1 Goals],tblActuals[Team 1],$CK6,tblActuals[Team 2],FR$3)</f>
        <v>0</v>
      </c>
      <c r="FS6" s="56">
        <f>SUMIFS(tblActuals[Team 2 Goals],tblActuals[Team 2],$CK6,tblActuals[Team 1],FS$3)+SUMIFS(tblActuals[Team 1 Goals],tblActuals[Team 1],$CK6,tblActuals[Team 2],FS$3)</f>
        <v>0</v>
      </c>
      <c r="FT6" s="56">
        <f>SUMIFS(tblActuals[Team 2 Goals],tblActuals[Team 2],$CK6,tblActuals[Team 1],FT$3)+SUMIFS(tblActuals[Team 1 Goals],tblActuals[Team 1],$CK6,tblActuals[Team 2],FT$3)</f>
        <v>0</v>
      </c>
      <c r="FU6" s="56">
        <f>SUMIFS(tblActuals[Team 2 Goals],tblActuals[Team 2],$CK6,tblActuals[Team 1],FU$3)+SUMIFS(tblActuals[Team 1 Goals],tblActuals[Team 1],$CK6,tblActuals[Team 2],FU$3)</f>
        <v>0</v>
      </c>
      <c r="FV6" s="56">
        <f>SUMIFS(tblActuals[Team 2 Goals],tblActuals[Team 2],$CK6,tblActuals[Team 1],FV$3)+SUMIFS(tblActuals[Team 1 Goals],tblActuals[Team 1],$CK6,tblActuals[Team 2],FV$3)</f>
        <v>0</v>
      </c>
      <c r="FW6" s="56">
        <f>SUMIFS(tblActuals[Team 2 Goals],tblActuals[Team 2],$CK6,tblActuals[Team 1],FW$3)+SUMIFS(tblActuals[Team 1 Goals],tblActuals[Team 1],$CK6,tblActuals[Team 2],FW$3)</f>
        <v>0</v>
      </c>
      <c r="FX6" s="56">
        <f>SUMIFS(tblActuals[Team 2 Goals],tblActuals[Team 2],$CK6,tblActuals[Team 1],FX$3)+SUMIFS(tblActuals[Team 1 Goals],tblActuals[Team 1],$CK6,tblActuals[Team 2],FX$3)</f>
        <v>0</v>
      </c>
      <c r="FY6" s="56">
        <f>SUMIFS(tblActuals[Team 2 Goals],tblActuals[Team 2],$CK6,tblActuals[Team 1],FY$3)+SUMIFS(tblActuals[Team 1 Goals],tblActuals[Team 1],$CK6,tblActuals[Team 2],FY$3)</f>
        <v>0</v>
      </c>
      <c r="FZ6" s="57"/>
      <c r="GA6" s="57"/>
      <c r="GB6" s="37"/>
      <c r="GC6" s="37"/>
      <c r="GD6" s="37"/>
      <c r="GE6" s="37"/>
      <c r="GF6" s="37"/>
      <c r="GG6" s="37"/>
      <c r="GH6" s="75"/>
      <c r="GI6" s="156"/>
      <c r="GJ6" s="156"/>
      <c r="GK6" s="75"/>
      <c r="GL6" s="22"/>
      <c r="GM6" s="75"/>
      <c r="GN6" s="75"/>
      <c r="GO6" s="75"/>
      <c r="GP6" s="75"/>
      <c r="GR6" s="4" t="str">
        <f t="shared" ref="GR6:GR19" si="12">_xlfn.CONCAT(GS6:GX6)</f>
        <v>ABCE</v>
      </c>
      <c r="GS6" s="44" t="s">
        <v>1</v>
      </c>
      <c r="GT6" s="44" t="s">
        <v>5</v>
      </c>
      <c r="GU6" s="44" t="s">
        <v>6</v>
      </c>
      <c r="GV6" s="45"/>
      <c r="GW6" s="44" t="s">
        <v>12</v>
      </c>
      <c r="GX6" s="45"/>
      <c r="GY6" s="178"/>
      <c r="GZ6" s="45" t="s">
        <v>149</v>
      </c>
      <c r="HA6" s="45" t="s">
        <v>153</v>
      </c>
      <c r="HB6" s="45" t="s">
        <v>151</v>
      </c>
      <c r="HC6" s="45" t="s">
        <v>152</v>
      </c>
    </row>
    <row r="7" spans="1:211" s="11" customFormat="1" ht="30" customHeight="1" x14ac:dyDescent="0.3">
      <c r="A7" s="6">
        <f>A6-2</f>
        <v>-6</v>
      </c>
      <c r="B7" s="122">
        <v>4</v>
      </c>
      <c r="C7" s="122" t="s">
        <v>5</v>
      </c>
      <c r="D7" s="123">
        <v>45458</v>
      </c>
      <c r="E7" s="122" t="s">
        <v>81</v>
      </c>
      <c r="F7" s="124">
        <v>0.875</v>
      </c>
      <c r="G7" s="125">
        <f t="shared" si="8"/>
        <v>45458.625</v>
      </c>
      <c r="H7" s="122" t="s">
        <v>92</v>
      </c>
      <c r="I7" s="126"/>
      <c r="J7" s="118"/>
      <c r="K7" s="118"/>
      <c r="L7" s="119" t="str">
        <f>IF(tblActuals[[#This Row],[SCORE]]="","",IF(Q7=R7,"Draw",IF(Q7&gt;R7,M7,N7)))</f>
        <v/>
      </c>
      <c r="M7" s="120" t="str">
        <f>IF(tblActuals[[#This Row],[TEAMS]]="","",LEFT(H7,FIND(" -",H7,1)-1))</f>
        <v>Italy</v>
      </c>
      <c r="N7" s="120" t="str">
        <f>IF(tblActuals[[#This Row],[TEAMS]]="","",MID(H7,FIND("-",H7,1)+2,LEN(H7)-FIND("-",H7,1)+2))</f>
        <v>Albania</v>
      </c>
      <c r="O7" s="120" t="str">
        <f>IF(tblActuals[[#This Row],[Team 1 Goals]]&gt;tblActuals[[#This Row],[Team 2 Goals]],tblActuals[[#This Row],[Team 1]],IF(tblActuals[[#This Row],[Team 2 Goals]]&gt;tblActuals[[#This Row],[Team 1 Goals]],tblActuals[[#This Row],[Team 2]],""))</f>
        <v/>
      </c>
      <c r="P7" s="120" t="str">
        <f>IF(tblActuals[[#This Row],[Winner]]=tblActuals[[#This Row],[Team 1]],tblActuals[[#This Row],[Team 2]],IF(tblActuals[[#This Row],[Winner]]=tblActuals[[#This Row],[Team 2]],tblActuals[[#This Row],[Team 1]],""))</f>
        <v/>
      </c>
      <c r="Q7" s="120" t="str">
        <f>IF(tblActuals[[#This Row],[SCORE]]="","",LEFT(I7,FIND(":",I7,1)-1)*1)</f>
        <v/>
      </c>
      <c r="R7" s="120" t="str">
        <f>IF(tblActuals[[#This Row],[SCORE]]="","",MID(I7,FIND(":",I7,1)+1,LEN(I7)-FIND(":",I7,1)+1)*1)</f>
        <v/>
      </c>
      <c r="S7" s="120" t="str">
        <f>IF(OR(tblActuals[[#This Row],[Team 1 Goals]]="",tblActuals[[#This Row],[Team 2 Goals]]=""),"",tblActuals[[#This Row],[Team 1 Goals]]-tblActuals[[#This Row],[Team 2 Goals]])</f>
        <v/>
      </c>
      <c r="T7" s="120" t="str">
        <f>IF(OR(tblActuals[[#This Row],[Team 1 Goals]]="",tblActuals[[#This Row],[Team 2 Goals]]=""),"",tblActuals[[#This Row],[Team 2 Goals]]-tblActuals[[#This Row],[Team 1 Goals]])</f>
        <v/>
      </c>
      <c r="U7" s="120" t="str">
        <f>IF(tblActuals[[#This Row],[SCORE]]="","",IF(tblActuals[[#This Row],[WINNER / RESULT]]="Draw",1,IF(tblActuals[[#This Row],[WINNER / RESULT]]=tblActuals[[#This Row],[Team 1]],3,0)))</f>
        <v/>
      </c>
      <c r="V7" s="120" t="str">
        <f>IF(tblActuals[[#This Row],[SCORE]]="","",IF(tblActuals[[#This Row],[WINNER / RESULT]]="Draw",1,IF(tblActuals[[#This Row],[WINNER / RESULT]]=tblActuals[[#This Row],[Team 2]],3,0)))</f>
        <v/>
      </c>
      <c r="W7" s="121"/>
      <c r="X7" s="121"/>
      <c r="Y7" s="121"/>
      <c r="Z7" s="121"/>
      <c r="AA7" s="120" t="e">
        <f>tblActuals[[#This Row],[Team 1 Goals]]+tblActuals[[#This Row],[Team 1 ET Goals]]&amp;":"&amp;tblActuals[[#This Row],[Team 2 Goals]]+tblActuals[[#This Row],[Team 2 ET Goals]]</f>
        <v>#VALUE!</v>
      </c>
      <c r="AB7" s="120" t="e">
        <f>+tblActuals[[#This Row],[Team 1 Goals]]+tblActuals[[#This Row],[Team 2 Goals]]</f>
        <v>#VALUE!</v>
      </c>
      <c r="AC7" s="165">
        <f t="shared" si="0"/>
        <v>45458</v>
      </c>
      <c r="AD7" s="166">
        <f t="shared" si="9"/>
        <v>4.7</v>
      </c>
      <c r="AF7" s="38" t="s">
        <v>81</v>
      </c>
      <c r="AJ7" s="77" t="s">
        <v>1</v>
      </c>
      <c r="AK7" s="139">
        <v>2</v>
      </c>
      <c r="AL7" s="140" t="str">
        <f ca="1">IFERROR(INDEX(AT:AT,MATCH("2"&amp;AJ7,BD:BD,0),1),"")</f>
        <v>Hungary</v>
      </c>
      <c r="AM7" s="140" t="str">
        <f ca="1">IF(AL7="","",VLOOKUP(AL7,AT:AY,2,FALSE)&amp;"-"&amp;VLOOKUP(AL7,AT:AY,3,FALSE)&amp;"-"&amp;VLOOKUP(AL7,AT:AY,4,FALSE))</f>
        <v>0-0-0</v>
      </c>
      <c r="AN7" s="140">
        <f ca="1">IF(AL7="","",VLOOKUP(AL7,AT:BA,8,FALSE))</f>
        <v>0</v>
      </c>
      <c r="AO7" s="141">
        <f ca="1">IF(AL7="","",VLOOKUP(AL7,AT:BD,5,FALSE))</f>
        <v>0</v>
      </c>
      <c r="AP7" s="75"/>
      <c r="AQ7" s="42"/>
      <c r="AR7" s="4"/>
      <c r="AS7" s="4" t="s">
        <v>1</v>
      </c>
      <c r="AT7" s="4" t="s">
        <v>31</v>
      </c>
      <c r="AU7" s="4">
        <f>COUNTIF(tblActuals[Winner],AT7)</f>
        <v>0</v>
      </c>
      <c r="AV7" s="4">
        <f>COUNTIFS(tblActuals[Team 2],AT7,tblActuals[WINNER / RESULT],"Draw")+COUNTIFS(tblActuals[Team 1],AT7,tblActuals[WINNER / RESULT],"Draw")</f>
        <v>0</v>
      </c>
      <c r="AW7" s="4">
        <f>COUNTIF(tblActuals[Loser],AT7)</f>
        <v>0</v>
      </c>
      <c r="AX7" s="4">
        <f>AV7+(3*AU7)</f>
        <v>0</v>
      </c>
      <c r="AY7" s="4">
        <f>SUMIFS(tblActuals[Team 1 Goals],tblActuals[Team 1],AT7)+SUMIFS(tblActuals[Team 2 Goals],tblActuals[Team 2],AT7)</f>
        <v>0</v>
      </c>
      <c r="AZ7" s="4">
        <f>SUMIFS(tblActuals[Team 2 Goals],tblActuals[Team 1],AT7)+SUMIFS(tblActuals[Team 1 Goals],tblActuals[Team 2],AT7)</f>
        <v>0</v>
      </c>
      <c r="BA7" s="4">
        <f>AY7-AZ7</f>
        <v>0</v>
      </c>
      <c r="BB7" s="4">
        <f ca="1">RANK(BO7,$BO$4:$BO$7,1)</f>
        <v>4</v>
      </c>
      <c r="BC7" s="4" t="str">
        <f t="shared" si="1"/>
        <v/>
      </c>
      <c r="BD7" s="4" t="str">
        <f ca="1">IF(BC7="",BB7&amp;AS7,BC7&amp;AS7)</f>
        <v>4A</v>
      </c>
      <c r="BE7" s="4">
        <f>RANK(AX7,$AX$4:$AX$7,0)</f>
        <v>1</v>
      </c>
      <c r="BF7" s="4" cm="1">
        <f t="array" aca="1" ref="BF7" ca="1">SUMPRODUCT((OFFSET($CL$3:$DQ$3,MATCH($AT7,$CK$4:$CK$35,0),0))*((IF($BE5=$BE7,$CL$3:$DQ$3=$AT5,0))+(IF($BE4=$BE7,$CL$3:$DQ$3=$AT4,0))+(IF($BE6=$BE7,$CL$3:$DQ$3=$AT6,0))))</f>
        <v>0</v>
      </c>
      <c r="BG7" s="4" cm="1">
        <f t="array" aca="1" ref="BG7" ca="1">SUMPRODUCT((OFFSET($DT$3:$EY$3,MATCH($AT7,$DS$4:$DS$35,0),0))*((IF($BE5=$BE7,$DT$3:$EY$3=$AT5,0))+(IF($BE4=$BE7,$DT$3:$EY$3=$AT4,0))+(IF($BE6=$BE7,$DT$3:$EY$3=$AT6,0))))</f>
        <v>0</v>
      </c>
      <c r="BH7" s="4" cm="1">
        <f t="array" aca="1" ref="BH7" ca="1">SUMPRODUCT((OFFSET($FB$3:$GG$3,MATCH($AT7,$FA$4:$FA$35,0),0))*((IF($BE5=$BE7,$FB$3:$GG$3=$AT5,0))+(IF($BE4=$BE7,$FB$3:$GG$3=$AT4,0))+(IF($BE6=$BE7,$FB$3:$GG$3=$AT6,0))))</f>
        <v>0</v>
      </c>
      <c r="BI7" s="4" cm="1">
        <f t="array" aca="1" ref="BI7" ca="1">SUMPRODUCT((OFFSET($CL$3:$DQ$3,MATCH($AT7,$CK$4:$CK$35,0),0))*((IF($BE5&lt;&gt;$BE7,$CL$3:$DQ$3=$AT5,0))+(IF($BE4&lt;&gt;$BE7,$CL$3:$DQ$3=$AT4,0))+(IF($BE6&lt;&gt;$BE7,$CL$3:$DQ$3=$AT6,0))))</f>
        <v>0</v>
      </c>
      <c r="BJ7" s="4" cm="1">
        <f t="array" aca="1" ref="BJ7" ca="1">SUMPRODUCT((OFFSET($DT$3:$EY$3,MATCH($AT7,$DS$4:$DS$35,0),0))*((IF($BE5&lt;&gt;$BE7,$DT$3:$EY$3=$AT5,0))+(IF($BE4&lt;&gt;$BE7,$DT$3:$EY$3=$AT4,0))+(IF($BE6&lt;&gt;$BE7,$DT$3:$EY$3=$AT6,0))))</f>
        <v>0</v>
      </c>
      <c r="BK7" s="4" cm="1">
        <f t="array" aca="1" ref="BK7" ca="1">SUMPRODUCT((OFFSET($FB$3:$GG$3,MATCH($AT7,$FA$4:$FA$35,0),0))*((IF($BE5&lt;&gt;$BE7,$FB$3:$GG$3=$AT5,0))+(IF($BE4&lt;&gt;$BE7,$FB$3:$GG$3=$AT4,0))+(IF($BE6&lt;&gt;$BE7,$FB$3:$GG$3=$AT6,0))))</f>
        <v>0</v>
      </c>
      <c r="BL7" s="4">
        <f t="shared" si="10"/>
        <v>0</v>
      </c>
      <c r="BM7" s="4">
        <f t="shared" si="11"/>
        <v>0</v>
      </c>
      <c r="BN7" s="4">
        <f ca="1">(BF7/10)+(BG7/100)+(BH7/1000)+(BJ7/10000)+(BK7/100000)+(BL7/1000000)+(BM7/10000000)+(ROW(BI4)/100000000)</f>
        <v>4.0000000000000001E-8</v>
      </c>
      <c r="BO7" s="4">
        <f ca="1">+BE7-BN7</f>
        <v>0.99999996000000002</v>
      </c>
      <c r="BP7" s="4"/>
      <c r="BQ7" s="4" t="s">
        <v>7</v>
      </c>
      <c r="BR7" s="4" t="str">
        <f ca="1">AL26</f>
        <v>Netherlands</v>
      </c>
      <c r="BS7" s="4">
        <f t="shared" ca="1" si="2"/>
        <v>0</v>
      </c>
      <c r="BT7" s="4">
        <f t="shared" ca="1" si="3"/>
        <v>0</v>
      </c>
      <c r="BU7" s="4">
        <f t="shared" ca="1" si="4"/>
        <v>0</v>
      </c>
      <c r="BV7" s="4">
        <f t="shared" ca="1" si="5"/>
        <v>0</v>
      </c>
      <c r="BW7" s="4">
        <f t="shared" ca="1" si="6"/>
        <v>6.9999999999999997E-7</v>
      </c>
      <c r="BX7" s="4">
        <f t="shared" ca="1" si="7"/>
        <v>3</v>
      </c>
      <c r="BY7" s="4"/>
      <c r="BZ7" s="4"/>
      <c r="CA7" s="4"/>
      <c r="CB7" s="4"/>
      <c r="CC7" s="4"/>
      <c r="CD7" s="4"/>
      <c r="CE7" s="4"/>
      <c r="CF7" s="4"/>
      <c r="CG7" s="4"/>
      <c r="CH7" s="4"/>
      <c r="CK7" s="4" t="s">
        <v>31</v>
      </c>
      <c r="CL7" s="56">
        <f>SUMIFS(tblActuals[Team 2 Points],tblActuals[Team 2],$CK7,tblActuals[Team 1],CL$3)+SUMIFS(tblActuals[Team 1 Points],tblActuals[Team 1],$CK7,tblActuals[Team 2],CL$3)</f>
        <v>0</v>
      </c>
      <c r="CM7" s="56">
        <f>SUMIFS(tblActuals[Team 2 Points],tblActuals[Team 2],$CK7,tblActuals[Team 1],CM$3)+SUMIFS(tblActuals[Team 1 Points],tblActuals[Team 1],$CK7,tblActuals[Team 2],CM$3)</f>
        <v>0</v>
      </c>
      <c r="CN7" s="56">
        <f>SUMIFS(tblActuals[Team 2 Points],tblActuals[Team 2],$CK7,tblActuals[Team 1],CN$3)+SUMIFS(tblActuals[Team 1 Points],tblActuals[Team 1],$CK7,tblActuals[Team 2],CN$3)</f>
        <v>0</v>
      </c>
      <c r="CO7" s="56">
        <f>SUMIFS(tblActuals[Team 2 Points],tblActuals[Team 2],$CK7,tblActuals[Team 1],CO$3)+SUMIFS(tblActuals[Team 1 Points],tblActuals[Team 1],$CK7,tblActuals[Team 2],CO$3)</f>
        <v>0</v>
      </c>
      <c r="CP7" s="56">
        <f>SUMIFS(tblActuals[Team 2 Points],tblActuals[Team 2],$CK7,tblActuals[Team 1],CP$3)+SUMIFS(tblActuals[Team 1 Points],tblActuals[Team 1],$CK7,tblActuals[Team 2],CP$3)</f>
        <v>0</v>
      </c>
      <c r="CQ7" s="56">
        <f>SUMIFS(tblActuals[Team 2 Points],tblActuals[Team 2],$CK7,tblActuals[Team 1],CQ$3)+SUMIFS(tblActuals[Team 1 Points],tblActuals[Team 1],$CK7,tblActuals[Team 2],CQ$3)</f>
        <v>0</v>
      </c>
      <c r="CR7" s="56">
        <f>SUMIFS(tblActuals[Team 2 Points],tblActuals[Team 2],$CK7,tblActuals[Team 1],CR$3)+SUMIFS(tblActuals[Team 1 Points],tblActuals[Team 1],$CK7,tblActuals[Team 2],CR$3)</f>
        <v>0</v>
      </c>
      <c r="CS7" s="56">
        <f>SUMIFS(tblActuals[Team 2 Points],tblActuals[Team 2],$CK7,tblActuals[Team 1],CS$3)+SUMIFS(tblActuals[Team 1 Points],tblActuals[Team 1],$CK7,tblActuals[Team 2],CS$3)</f>
        <v>0</v>
      </c>
      <c r="CT7" s="56">
        <f>SUMIFS(tblActuals[Team 2 Points],tblActuals[Team 2],$CK7,tblActuals[Team 1],CT$3)+SUMIFS(tblActuals[Team 1 Points],tblActuals[Team 1],$CK7,tblActuals[Team 2],CT$3)</f>
        <v>0</v>
      </c>
      <c r="CU7" s="56">
        <f>SUMIFS(tblActuals[Team 2 Points],tblActuals[Team 2],$CK7,tblActuals[Team 1],CU$3)+SUMIFS(tblActuals[Team 1 Points],tblActuals[Team 1],$CK7,tblActuals[Team 2],CU$3)</f>
        <v>0</v>
      </c>
      <c r="CV7" s="56">
        <f>SUMIFS(tblActuals[Team 2 Points],tblActuals[Team 2],$CK7,tblActuals[Team 1],CV$3)+SUMIFS(tblActuals[Team 1 Points],tblActuals[Team 1],$CK7,tblActuals[Team 2],CV$3)</f>
        <v>0</v>
      </c>
      <c r="CW7" s="56">
        <f>SUMIFS(tblActuals[Team 2 Points],tblActuals[Team 2],$CK7,tblActuals[Team 1],CW$3)+SUMIFS(tblActuals[Team 1 Points],tblActuals[Team 1],$CK7,tblActuals[Team 2],CW$3)</f>
        <v>0</v>
      </c>
      <c r="CX7" s="56">
        <f>SUMIFS(tblActuals[Team 2 Points],tblActuals[Team 2],$CK7,tblActuals[Team 1],CX$3)+SUMIFS(tblActuals[Team 1 Points],tblActuals[Team 1],$CK7,tblActuals[Team 2],CX$3)</f>
        <v>0</v>
      </c>
      <c r="CY7" s="56">
        <f>SUMIFS(tblActuals[Team 2 Points],tblActuals[Team 2],$CK7,tblActuals[Team 1],CY$3)+SUMIFS(tblActuals[Team 1 Points],tblActuals[Team 1],$CK7,tblActuals[Team 2],CY$3)</f>
        <v>0</v>
      </c>
      <c r="CZ7" s="56">
        <f>SUMIFS(tblActuals[Team 2 Points],tblActuals[Team 2],$CK7,tblActuals[Team 1],CZ$3)+SUMIFS(tblActuals[Team 1 Points],tblActuals[Team 1],$CK7,tblActuals[Team 2],CZ$3)</f>
        <v>0</v>
      </c>
      <c r="DA7" s="56">
        <f>SUMIFS(tblActuals[Team 2 Points],tblActuals[Team 2],$CK7,tblActuals[Team 1],DA$3)+SUMIFS(tblActuals[Team 1 Points],tblActuals[Team 1],$CK7,tblActuals[Team 2],DA$3)</f>
        <v>0</v>
      </c>
      <c r="DB7" s="56">
        <f>SUMIFS(tblActuals[Team 2 Points],tblActuals[Team 2],$CK7,tblActuals[Team 1],DB$3)+SUMIFS(tblActuals[Team 1 Points],tblActuals[Team 1],$CK7,tblActuals[Team 2],DB$3)</f>
        <v>0</v>
      </c>
      <c r="DC7" s="56">
        <f>SUMIFS(tblActuals[Team 2 Points],tblActuals[Team 2],$CK7,tblActuals[Team 1],DC$3)+SUMIFS(tblActuals[Team 1 Points],tblActuals[Team 1],$CK7,tblActuals[Team 2],DC$3)</f>
        <v>0</v>
      </c>
      <c r="DD7" s="56">
        <f>SUMIFS(tblActuals[Team 2 Points],tblActuals[Team 2],$CK7,tblActuals[Team 1],DD$3)+SUMIFS(tblActuals[Team 1 Points],tblActuals[Team 1],$CK7,tblActuals[Team 2],DD$3)</f>
        <v>0</v>
      </c>
      <c r="DE7" s="56">
        <f>SUMIFS(tblActuals[Team 2 Points],tblActuals[Team 2],$CK7,tblActuals[Team 1],DE$3)+SUMIFS(tblActuals[Team 1 Points],tblActuals[Team 1],$CK7,tblActuals[Team 2],DE$3)</f>
        <v>0</v>
      </c>
      <c r="DF7" s="56">
        <f>SUMIFS(tblActuals[Team 2 Points],tblActuals[Team 2],$CK7,tblActuals[Team 1],DF$3)+SUMIFS(tblActuals[Team 1 Points],tblActuals[Team 1],$CK7,tblActuals[Team 2],DF$3)</f>
        <v>0</v>
      </c>
      <c r="DG7" s="56">
        <f>SUMIFS(tblActuals[Team 2 Points],tblActuals[Team 2],$CK7,tblActuals[Team 1],DG$3)+SUMIFS(tblActuals[Team 1 Points],tblActuals[Team 1],$CK7,tblActuals[Team 2],DG$3)</f>
        <v>0</v>
      </c>
      <c r="DH7" s="56">
        <f>SUMIFS(tblActuals[Team 2 Points],tblActuals[Team 2],$CK7,tblActuals[Team 1],DH$3)+SUMIFS(tblActuals[Team 1 Points],tblActuals[Team 1],$CK7,tblActuals[Team 2],DH$3)</f>
        <v>0</v>
      </c>
      <c r="DI7" s="56">
        <f>SUMIFS(tblActuals[Team 2 Points],tblActuals[Team 2],$CK7,tblActuals[Team 1],DI$3)+SUMIFS(tblActuals[Team 1 Points],tblActuals[Team 1],$CK7,tblActuals[Team 2],DI$3)</f>
        <v>0</v>
      </c>
      <c r="DJ7" s="57"/>
      <c r="DK7" s="57"/>
      <c r="DL7" s="57"/>
      <c r="DM7" s="57"/>
      <c r="DN7" s="57"/>
      <c r="DO7" s="57"/>
      <c r="DP7" s="57"/>
      <c r="DQ7" s="57"/>
      <c r="DR7" s="4"/>
      <c r="DS7" s="4" t="s">
        <v>31</v>
      </c>
      <c r="DT7" s="56">
        <f>SUMIFS(tblActuals[Team 2 GD],tblActuals[Team 2],$CK7,tblActuals[Team 1],DT$3)+SUMIFS(tblActuals[Team 1 GD],tblActuals[Team 1],$CK7,tblActuals[Team 2],DT$3)</f>
        <v>0</v>
      </c>
      <c r="DU7" s="56">
        <f>SUMIFS(tblActuals[Team 2 GD],tblActuals[Team 2],$CK7,tblActuals[Team 1],DU$3)+SUMIFS(tblActuals[Team 1 GD],tblActuals[Team 1],$CK7,tblActuals[Team 2],DU$3)</f>
        <v>0</v>
      </c>
      <c r="DV7" s="56">
        <f>SUMIFS(tblActuals[Team 2 GD],tblActuals[Team 2],$CK7,tblActuals[Team 1],DV$3)+SUMIFS(tblActuals[Team 1 GD],tblActuals[Team 1],$CK7,tblActuals[Team 2],DV$3)</f>
        <v>0</v>
      </c>
      <c r="DW7" s="56">
        <f>SUMIFS(tblActuals[Team 2 GD],tblActuals[Team 2],$CK7,tblActuals[Team 1],DW$3)+SUMIFS(tblActuals[Team 1 GD],tblActuals[Team 1],$CK7,tblActuals[Team 2],DW$3)</f>
        <v>0</v>
      </c>
      <c r="DX7" s="56">
        <f>SUMIFS(tblActuals[Team 2 GD],tblActuals[Team 2],$CK7,tblActuals[Team 1],DX$3)+SUMIFS(tblActuals[Team 1 GD],tblActuals[Team 1],$CK7,tblActuals[Team 2],DX$3)</f>
        <v>0</v>
      </c>
      <c r="DY7" s="56">
        <f>SUMIFS(tblActuals[Team 2 GD],tblActuals[Team 2],$CK7,tblActuals[Team 1],DY$3)+SUMIFS(tblActuals[Team 1 GD],tblActuals[Team 1],$CK7,tblActuals[Team 2],DY$3)</f>
        <v>0</v>
      </c>
      <c r="DZ7" s="56">
        <f>SUMIFS(tblActuals[Team 2 GD],tblActuals[Team 2],$CK7,tblActuals[Team 1],DZ$3)+SUMIFS(tblActuals[Team 1 GD],tblActuals[Team 1],$CK7,tblActuals[Team 2],DZ$3)</f>
        <v>0</v>
      </c>
      <c r="EA7" s="56">
        <f>SUMIFS(tblActuals[Team 2 GD],tblActuals[Team 2],$CK7,tblActuals[Team 1],EA$3)+SUMIFS(tblActuals[Team 1 GD],tblActuals[Team 1],$CK7,tblActuals[Team 2],EA$3)</f>
        <v>0</v>
      </c>
      <c r="EB7" s="56">
        <f>SUMIFS(tblActuals[Team 2 GD],tblActuals[Team 2],$CK7,tblActuals[Team 1],EB$3)+SUMIFS(tblActuals[Team 1 GD],tblActuals[Team 1],$CK7,tblActuals[Team 2],EB$3)</f>
        <v>0</v>
      </c>
      <c r="EC7" s="56">
        <f>SUMIFS(tblActuals[Team 2 GD],tblActuals[Team 2],$CK7,tblActuals[Team 1],EC$3)+SUMIFS(tblActuals[Team 1 GD],tblActuals[Team 1],$CK7,tblActuals[Team 2],EC$3)</f>
        <v>0</v>
      </c>
      <c r="ED7" s="56">
        <f>SUMIFS(tblActuals[Team 2 GD],tblActuals[Team 2],$CK7,tblActuals[Team 1],ED$3)+SUMIFS(tblActuals[Team 1 GD],tblActuals[Team 1],$CK7,tblActuals[Team 2],ED$3)</f>
        <v>0</v>
      </c>
      <c r="EE7" s="56">
        <f>SUMIFS(tblActuals[Team 2 GD],tblActuals[Team 2],$CK7,tblActuals[Team 1],EE$3)+SUMIFS(tblActuals[Team 1 GD],tblActuals[Team 1],$CK7,tblActuals[Team 2],EE$3)</f>
        <v>0</v>
      </c>
      <c r="EF7" s="56">
        <f>SUMIFS(tblActuals[Team 2 GD],tblActuals[Team 2],$CK7,tblActuals[Team 1],EF$3)+SUMIFS(tblActuals[Team 1 GD],tblActuals[Team 1],$CK7,tblActuals[Team 2],EF$3)</f>
        <v>0</v>
      </c>
      <c r="EG7" s="56">
        <f>SUMIFS(tblActuals[Team 2 GD],tblActuals[Team 2],$CK7,tblActuals[Team 1],EG$3)+SUMIFS(tblActuals[Team 1 GD],tblActuals[Team 1],$CK7,tblActuals[Team 2],EG$3)</f>
        <v>0</v>
      </c>
      <c r="EH7" s="56">
        <f>SUMIFS(tblActuals[Team 2 GD],tblActuals[Team 2],$CK7,tblActuals[Team 1],EH$3)+SUMIFS(tblActuals[Team 1 GD],tblActuals[Team 1],$CK7,tblActuals[Team 2],EH$3)</f>
        <v>0</v>
      </c>
      <c r="EI7" s="56">
        <f>SUMIFS(tblActuals[Team 2 GD],tblActuals[Team 2],$CK7,tblActuals[Team 1],EI$3)+SUMIFS(tblActuals[Team 1 GD],tblActuals[Team 1],$CK7,tblActuals[Team 2],EI$3)</f>
        <v>0</v>
      </c>
      <c r="EJ7" s="56">
        <f>SUMIFS(tblActuals[Team 2 GD],tblActuals[Team 2],$CK7,tblActuals[Team 1],EJ$3)+SUMIFS(tblActuals[Team 1 GD],tblActuals[Team 1],$CK7,tblActuals[Team 2],EJ$3)</f>
        <v>0</v>
      </c>
      <c r="EK7" s="56">
        <f>SUMIFS(tblActuals[Team 2 GD],tblActuals[Team 2],$CK7,tblActuals[Team 1],EK$3)+SUMIFS(tblActuals[Team 1 GD],tblActuals[Team 1],$CK7,tblActuals[Team 2],EK$3)</f>
        <v>0</v>
      </c>
      <c r="EL7" s="56">
        <f>SUMIFS(tblActuals[Team 2 GD],tblActuals[Team 2],$CK7,tblActuals[Team 1],EL$3)+SUMIFS(tblActuals[Team 1 GD],tblActuals[Team 1],$CK7,tblActuals[Team 2],EL$3)</f>
        <v>0</v>
      </c>
      <c r="EM7" s="56">
        <f>SUMIFS(tblActuals[Team 2 GD],tblActuals[Team 2],$CK7,tblActuals[Team 1],EM$3)+SUMIFS(tblActuals[Team 1 GD],tblActuals[Team 1],$CK7,tblActuals[Team 2],EM$3)</f>
        <v>0</v>
      </c>
      <c r="EN7" s="56">
        <f>SUMIFS(tblActuals[Team 2 GD],tblActuals[Team 2],$CK7,tblActuals[Team 1],EN$3)+SUMIFS(tblActuals[Team 1 GD],tblActuals[Team 1],$CK7,tblActuals[Team 2],EN$3)</f>
        <v>0</v>
      </c>
      <c r="EO7" s="56">
        <f>SUMIFS(tblActuals[Team 2 GD],tblActuals[Team 2],$CK7,tblActuals[Team 1],EO$3)+SUMIFS(tblActuals[Team 1 GD],tblActuals[Team 1],$CK7,tblActuals[Team 2],EO$3)</f>
        <v>0</v>
      </c>
      <c r="EP7" s="56">
        <f>SUMIFS(tblActuals[Team 2 GD],tblActuals[Team 2],$CK7,tblActuals[Team 1],EP$3)+SUMIFS(tblActuals[Team 1 GD],tblActuals[Team 1],$CK7,tblActuals[Team 2],EP$3)</f>
        <v>0</v>
      </c>
      <c r="EQ7" s="56">
        <f>SUMIFS(tblActuals[Team 2 GD],tblActuals[Team 2],$CK7,tblActuals[Team 1],EQ$3)+SUMIFS(tblActuals[Team 1 GD],tblActuals[Team 1],$CK7,tblActuals[Team 2],EQ$3)</f>
        <v>0</v>
      </c>
      <c r="ER7" s="57"/>
      <c r="ES7" s="57"/>
      <c r="ET7" s="57"/>
      <c r="EU7" s="57"/>
      <c r="EV7" s="57"/>
      <c r="EW7" s="57"/>
      <c r="EX7" s="57"/>
      <c r="EY7" s="57"/>
      <c r="EZ7" s="4"/>
      <c r="FA7" s="4" t="s">
        <v>31</v>
      </c>
      <c r="FB7" s="56">
        <f>SUMIFS(tblActuals[Team 2 Goals],tblActuals[Team 2],$CK7,tblActuals[Team 1],FB$3)+SUMIFS(tblActuals[Team 1 Goals],tblActuals[Team 1],$CK7,tblActuals[Team 2],FB$3)</f>
        <v>0</v>
      </c>
      <c r="FC7" s="56">
        <f>SUMIFS(tblActuals[Team 2 Goals],tblActuals[Team 2],$CK7,tblActuals[Team 1],FC$3)+SUMIFS(tblActuals[Team 1 Goals],tblActuals[Team 1],$CK7,tblActuals[Team 2],FC$3)</f>
        <v>0</v>
      </c>
      <c r="FD7" s="56">
        <f>SUMIFS(tblActuals[Team 2 Goals],tblActuals[Team 2],$CK7,tblActuals[Team 1],FD$3)+SUMIFS(tblActuals[Team 1 Goals],tblActuals[Team 1],$CK7,tblActuals[Team 2],FD$3)</f>
        <v>0</v>
      </c>
      <c r="FE7" s="56">
        <f>SUMIFS(tblActuals[Team 2 Goals],tblActuals[Team 2],$CK7,tblActuals[Team 1],FE$3)+SUMIFS(tblActuals[Team 1 Goals],tblActuals[Team 1],$CK7,tblActuals[Team 2],FE$3)</f>
        <v>0</v>
      </c>
      <c r="FF7" s="56">
        <f>SUMIFS(tblActuals[Team 2 Goals],tblActuals[Team 2],$CK7,tblActuals[Team 1],FF$3)+SUMIFS(tblActuals[Team 1 Goals],tblActuals[Team 1],$CK7,tblActuals[Team 2],FF$3)</f>
        <v>0</v>
      </c>
      <c r="FG7" s="56">
        <f>SUMIFS(tblActuals[Team 2 Goals],tblActuals[Team 2],$CK7,tblActuals[Team 1],FG$3)+SUMIFS(tblActuals[Team 1 Goals],tblActuals[Team 1],$CK7,tblActuals[Team 2],FG$3)</f>
        <v>0</v>
      </c>
      <c r="FH7" s="56">
        <f>SUMIFS(tblActuals[Team 2 Goals],tblActuals[Team 2],$CK7,tblActuals[Team 1],FH$3)+SUMIFS(tblActuals[Team 1 Goals],tblActuals[Team 1],$CK7,tblActuals[Team 2],FH$3)</f>
        <v>0</v>
      </c>
      <c r="FI7" s="56">
        <f>SUMIFS(tblActuals[Team 2 Goals],tblActuals[Team 2],$CK7,tblActuals[Team 1],FI$3)+SUMIFS(tblActuals[Team 1 Goals],tblActuals[Team 1],$CK7,tblActuals[Team 2],FI$3)</f>
        <v>0</v>
      </c>
      <c r="FJ7" s="56">
        <f>SUMIFS(tblActuals[Team 2 Goals],tblActuals[Team 2],$CK7,tblActuals[Team 1],FJ$3)+SUMIFS(tblActuals[Team 1 Goals],tblActuals[Team 1],$CK7,tblActuals[Team 2],FJ$3)</f>
        <v>0</v>
      </c>
      <c r="FK7" s="56">
        <f>SUMIFS(tblActuals[Team 2 Goals],tblActuals[Team 2],$CK7,tblActuals[Team 1],FK$3)+SUMIFS(tblActuals[Team 1 Goals],tblActuals[Team 1],$CK7,tblActuals[Team 2],FK$3)</f>
        <v>0</v>
      </c>
      <c r="FL7" s="56">
        <f>SUMIFS(tblActuals[Team 2 Goals],tblActuals[Team 2],$CK7,tblActuals[Team 1],FL$3)+SUMIFS(tblActuals[Team 1 Goals],tblActuals[Team 1],$CK7,tblActuals[Team 2],FL$3)</f>
        <v>0</v>
      </c>
      <c r="FM7" s="56">
        <f>SUMIFS(tblActuals[Team 2 Goals],tblActuals[Team 2],$CK7,tblActuals[Team 1],FM$3)+SUMIFS(tblActuals[Team 1 Goals],tblActuals[Team 1],$CK7,tblActuals[Team 2],FM$3)</f>
        <v>0</v>
      </c>
      <c r="FN7" s="56">
        <f>SUMIFS(tblActuals[Team 2 Goals],tblActuals[Team 2],$CK7,tblActuals[Team 1],FN$3)+SUMIFS(tblActuals[Team 1 Goals],tblActuals[Team 1],$CK7,tblActuals[Team 2],FN$3)</f>
        <v>0</v>
      </c>
      <c r="FO7" s="56">
        <f>SUMIFS(tblActuals[Team 2 Goals],tblActuals[Team 2],$CK7,tblActuals[Team 1],FO$3)+SUMIFS(tblActuals[Team 1 Goals],tblActuals[Team 1],$CK7,tblActuals[Team 2],FO$3)</f>
        <v>0</v>
      </c>
      <c r="FP7" s="56">
        <f>SUMIFS(tblActuals[Team 2 Goals],tblActuals[Team 2],$CK7,tblActuals[Team 1],FP$3)+SUMIFS(tblActuals[Team 1 Goals],tblActuals[Team 1],$CK7,tblActuals[Team 2],FP$3)</f>
        <v>0</v>
      </c>
      <c r="FQ7" s="56">
        <f>SUMIFS(tblActuals[Team 2 Goals],tblActuals[Team 2],$CK7,tblActuals[Team 1],FQ$3)+SUMIFS(tblActuals[Team 1 Goals],tblActuals[Team 1],$CK7,tblActuals[Team 2],FQ$3)</f>
        <v>0</v>
      </c>
      <c r="FR7" s="56">
        <f>SUMIFS(tblActuals[Team 2 Goals],tblActuals[Team 2],$CK7,tblActuals[Team 1],FR$3)+SUMIFS(tblActuals[Team 1 Goals],tblActuals[Team 1],$CK7,tblActuals[Team 2],FR$3)</f>
        <v>0</v>
      </c>
      <c r="FS7" s="56">
        <f>SUMIFS(tblActuals[Team 2 Goals],tblActuals[Team 2],$CK7,tblActuals[Team 1],FS$3)+SUMIFS(tblActuals[Team 1 Goals],tblActuals[Team 1],$CK7,tblActuals[Team 2],FS$3)</f>
        <v>0</v>
      </c>
      <c r="FT7" s="56">
        <f>SUMIFS(tblActuals[Team 2 Goals],tblActuals[Team 2],$CK7,tblActuals[Team 1],FT$3)+SUMIFS(tblActuals[Team 1 Goals],tblActuals[Team 1],$CK7,tblActuals[Team 2],FT$3)</f>
        <v>0</v>
      </c>
      <c r="FU7" s="56">
        <f>SUMIFS(tblActuals[Team 2 Goals],tblActuals[Team 2],$CK7,tblActuals[Team 1],FU$3)+SUMIFS(tblActuals[Team 1 Goals],tblActuals[Team 1],$CK7,tblActuals[Team 2],FU$3)</f>
        <v>0</v>
      </c>
      <c r="FV7" s="56">
        <f>SUMIFS(tblActuals[Team 2 Goals],tblActuals[Team 2],$CK7,tblActuals[Team 1],FV$3)+SUMIFS(tblActuals[Team 1 Goals],tblActuals[Team 1],$CK7,tblActuals[Team 2],FV$3)</f>
        <v>0</v>
      </c>
      <c r="FW7" s="56">
        <f>SUMIFS(tblActuals[Team 2 Goals],tblActuals[Team 2],$CK7,tblActuals[Team 1],FW$3)+SUMIFS(tblActuals[Team 1 Goals],tblActuals[Team 1],$CK7,tblActuals[Team 2],FW$3)</f>
        <v>0</v>
      </c>
      <c r="FX7" s="56">
        <f>SUMIFS(tblActuals[Team 2 Goals],tblActuals[Team 2],$CK7,tblActuals[Team 1],FX$3)+SUMIFS(tblActuals[Team 1 Goals],tblActuals[Team 1],$CK7,tblActuals[Team 2],FX$3)</f>
        <v>0</v>
      </c>
      <c r="FY7" s="56">
        <f>SUMIFS(tblActuals[Team 2 Goals],tblActuals[Team 2],$CK7,tblActuals[Team 1],FY$3)+SUMIFS(tblActuals[Team 1 Goals],tblActuals[Team 1],$CK7,tblActuals[Team 2],FY$3)</f>
        <v>0</v>
      </c>
      <c r="FZ7" s="57"/>
      <c r="GA7" s="57"/>
      <c r="GB7" s="37"/>
      <c r="GC7" s="37"/>
      <c r="GD7" s="37"/>
      <c r="GE7" s="37"/>
      <c r="GF7" s="37"/>
      <c r="GG7" s="37"/>
      <c r="GH7" s="75"/>
      <c r="GI7" s="156"/>
      <c r="GJ7" s="156"/>
      <c r="GK7" s="75"/>
      <c r="GL7" s="22"/>
      <c r="GM7" s="75"/>
      <c r="GN7" s="75"/>
      <c r="GO7" s="75"/>
      <c r="GP7" s="75"/>
      <c r="GR7" s="4" t="str">
        <f t="shared" si="12"/>
        <v>ABCF</v>
      </c>
      <c r="GS7" s="44" t="s">
        <v>1</v>
      </c>
      <c r="GT7" s="44" t="s">
        <v>5</v>
      </c>
      <c r="GU7" s="44" t="s">
        <v>6</v>
      </c>
      <c r="GV7" s="45"/>
      <c r="GW7" s="45"/>
      <c r="GX7" s="44" t="s">
        <v>45</v>
      </c>
      <c r="GY7" s="178"/>
      <c r="GZ7" s="45" t="s">
        <v>149</v>
      </c>
      <c r="HA7" s="45" t="s">
        <v>154</v>
      </c>
      <c r="HB7" s="45" t="s">
        <v>151</v>
      </c>
      <c r="HC7" s="45" t="s">
        <v>152</v>
      </c>
    </row>
    <row r="8" spans="1:211" s="11" customFormat="1" ht="30" customHeight="1" x14ac:dyDescent="0.2">
      <c r="A8" s="30" t="s">
        <v>49</v>
      </c>
      <c r="B8" s="122">
        <v>5</v>
      </c>
      <c r="C8" s="122" t="s">
        <v>6</v>
      </c>
      <c r="D8" s="123">
        <v>45459</v>
      </c>
      <c r="E8" s="122" t="s">
        <v>82</v>
      </c>
      <c r="F8" s="124">
        <v>0.875</v>
      </c>
      <c r="G8" s="125">
        <f t="shared" si="8"/>
        <v>45459.625</v>
      </c>
      <c r="H8" s="122" t="s">
        <v>93</v>
      </c>
      <c r="I8" s="126"/>
      <c r="J8" s="118"/>
      <c r="K8" s="118"/>
      <c r="L8" s="119" t="str">
        <f>IF(tblActuals[[#This Row],[SCORE]]="","",IF(Q8=R8,"Draw",IF(Q8&gt;R8,M8,N8)))</f>
        <v/>
      </c>
      <c r="M8" s="120" t="str">
        <f>IF(tblActuals[[#This Row],[TEAMS]]="","",LEFT(H8,FIND(" -",H8,1)-1))</f>
        <v>Serbia</v>
      </c>
      <c r="N8" s="120" t="str">
        <f>IF(tblActuals[[#This Row],[TEAMS]]="","",MID(H8,FIND("-",H8,1)+2,LEN(H8)-FIND("-",H8,1)+2))</f>
        <v>England</v>
      </c>
      <c r="O8" s="120" t="str">
        <f>IF(tblActuals[[#This Row],[Team 1 Goals]]&gt;tblActuals[[#This Row],[Team 2 Goals]],tblActuals[[#This Row],[Team 1]],IF(tblActuals[[#This Row],[Team 2 Goals]]&gt;tblActuals[[#This Row],[Team 1 Goals]],tblActuals[[#This Row],[Team 2]],""))</f>
        <v/>
      </c>
      <c r="P8" s="120" t="str">
        <f>IF(tblActuals[[#This Row],[Winner]]=tblActuals[[#This Row],[Team 1]],tblActuals[[#This Row],[Team 2]],IF(tblActuals[[#This Row],[Winner]]=tblActuals[[#This Row],[Team 2]],tblActuals[[#This Row],[Team 1]],""))</f>
        <v/>
      </c>
      <c r="Q8" s="120" t="str">
        <f>IF(tblActuals[[#This Row],[SCORE]]="","",LEFT(I8,FIND(":",I8,1)-1)*1)</f>
        <v/>
      </c>
      <c r="R8" s="120" t="str">
        <f>IF(tblActuals[[#This Row],[SCORE]]="","",MID(I8,FIND(":",I8,1)+1,LEN(I8)-FIND(":",I8,1)+1)*1)</f>
        <v/>
      </c>
      <c r="S8" s="120" t="str">
        <f>IF(OR(tblActuals[[#This Row],[Team 1 Goals]]="",tblActuals[[#This Row],[Team 2 Goals]]=""),"",tblActuals[[#This Row],[Team 1 Goals]]-tblActuals[[#This Row],[Team 2 Goals]])</f>
        <v/>
      </c>
      <c r="T8" s="120" t="str">
        <f>IF(OR(tblActuals[[#This Row],[Team 1 Goals]]="",tblActuals[[#This Row],[Team 2 Goals]]=""),"",tblActuals[[#This Row],[Team 2 Goals]]-tblActuals[[#This Row],[Team 1 Goals]])</f>
        <v/>
      </c>
      <c r="U8" s="120" t="str">
        <f>IF(tblActuals[[#This Row],[SCORE]]="","",IF(tblActuals[[#This Row],[WINNER / RESULT]]="Draw",1,IF(tblActuals[[#This Row],[WINNER / RESULT]]=tblActuals[[#This Row],[Team 1]],3,0)))</f>
        <v/>
      </c>
      <c r="V8" s="120" t="str">
        <f>IF(tblActuals[[#This Row],[SCORE]]="","",IF(tblActuals[[#This Row],[WINNER / RESULT]]="Draw",1,IF(tblActuals[[#This Row],[WINNER / RESULT]]=tblActuals[[#This Row],[Team 2]],3,0)))</f>
        <v/>
      </c>
      <c r="W8" s="121"/>
      <c r="X8" s="121"/>
      <c r="Y8" s="121"/>
      <c r="Z8" s="121"/>
      <c r="AA8" s="120" t="e">
        <f>tblActuals[[#This Row],[Team 1 Goals]]+tblActuals[[#This Row],[Team 1 ET Goals]]&amp;":"&amp;tblActuals[[#This Row],[Team 2 Goals]]+tblActuals[[#This Row],[Team 2 ET Goals]]</f>
        <v>#VALUE!</v>
      </c>
      <c r="AB8" s="120" t="e">
        <f>+tblActuals[[#This Row],[Team 1 Goals]]+tblActuals[[#This Row],[Team 2 Goals]]</f>
        <v>#VALUE!</v>
      </c>
      <c r="AC8" s="165">
        <f t="shared" si="0"/>
        <v>45459</v>
      </c>
      <c r="AD8" s="166">
        <f t="shared" si="9"/>
        <v>7.8</v>
      </c>
      <c r="AF8" s="38" t="s">
        <v>85</v>
      </c>
      <c r="AJ8" s="77" t="s">
        <v>1</v>
      </c>
      <c r="AK8" s="142">
        <v>3</v>
      </c>
      <c r="AL8" s="143" t="str">
        <f ca="1">IFERROR(INDEX(AT:AT,MATCH("3"&amp;AJ8,BD:BD,0),1),"")</f>
        <v>Scotland</v>
      </c>
      <c r="AM8" s="143" t="str">
        <f ca="1">IF(AL8="","",VLOOKUP(AL8,AT:AY,2,FALSE)&amp;"-"&amp;VLOOKUP(AL8,AT:AY,3,FALSE)&amp;"-"&amp;VLOOKUP(AL8,AT:AY,4,FALSE))</f>
        <v>0-0-0</v>
      </c>
      <c r="AN8" s="143">
        <f ca="1">IF(AL8="","",VLOOKUP(AL8,AT:BA,8,FALSE))</f>
        <v>0</v>
      </c>
      <c r="AO8" s="144">
        <f ca="1">IF(AL8="","",VLOOKUP(AL8,AT:BD,5,FALSE))</f>
        <v>0</v>
      </c>
      <c r="AP8" s="75" t="str">
        <f ca="1">IF(INDEX($AK$43:$AK$48,MATCH(AL8,$AL$43:$AL$48,0),1)&lt;=4,"X","")</f>
        <v/>
      </c>
      <c r="AQ8" s="42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 t="str">
        <f t="shared" si="1"/>
        <v/>
      </c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 t="s">
        <v>12</v>
      </c>
      <c r="BR8" s="4" t="str">
        <f ca="1">AL32</f>
        <v>Slovakia</v>
      </c>
      <c r="BS8" s="4">
        <f t="shared" ca="1" si="2"/>
        <v>0</v>
      </c>
      <c r="BT8" s="4">
        <f t="shared" ca="1" si="3"/>
        <v>0</v>
      </c>
      <c r="BU8" s="4">
        <f t="shared" ca="1" si="4"/>
        <v>0</v>
      </c>
      <c r="BV8" s="4">
        <f t="shared" ca="1" si="5"/>
        <v>0</v>
      </c>
      <c r="BW8" s="4">
        <f t="shared" ca="1" si="6"/>
        <v>7.9999999999999996E-7</v>
      </c>
      <c r="BX8" s="4">
        <f t="shared" ca="1" si="7"/>
        <v>2</v>
      </c>
      <c r="BY8" s="4"/>
      <c r="BZ8" s="4"/>
      <c r="CA8" s="4"/>
      <c r="CB8" s="4"/>
      <c r="CC8" s="4"/>
      <c r="CD8" s="4"/>
      <c r="CE8" s="4"/>
      <c r="CF8" s="4"/>
      <c r="CG8" s="4"/>
      <c r="CH8" s="4"/>
      <c r="CK8" s="4" t="s">
        <v>28</v>
      </c>
      <c r="CL8" s="56">
        <f>SUMIFS(tblActuals[Team 2 Points],tblActuals[Team 2],$CK8,tblActuals[Team 1],CL$3)+SUMIFS(tblActuals[Team 1 Points],tblActuals[Team 1],$CK8,tblActuals[Team 2],CL$3)</f>
        <v>0</v>
      </c>
      <c r="CM8" s="56">
        <f>SUMIFS(tblActuals[Team 2 Points],tblActuals[Team 2],$CK8,tblActuals[Team 1],CM$3)+SUMIFS(tblActuals[Team 1 Points],tblActuals[Team 1],$CK8,tblActuals[Team 2],CM$3)</f>
        <v>0</v>
      </c>
      <c r="CN8" s="56">
        <f>SUMIFS(tblActuals[Team 2 Points],tblActuals[Team 2],$CK8,tblActuals[Team 1],CN$3)+SUMIFS(tblActuals[Team 1 Points],tblActuals[Team 1],$CK8,tblActuals[Team 2],CN$3)</f>
        <v>0</v>
      </c>
      <c r="CO8" s="56">
        <f>SUMIFS(tblActuals[Team 2 Points],tblActuals[Team 2],$CK8,tblActuals[Team 1],CO$3)+SUMIFS(tblActuals[Team 1 Points],tblActuals[Team 1],$CK8,tblActuals[Team 2],CO$3)</f>
        <v>0</v>
      </c>
      <c r="CP8" s="56">
        <f>SUMIFS(tblActuals[Team 2 Points],tblActuals[Team 2],$CK8,tblActuals[Team 1],CP$3)+SUMIFS(tblActuals[Team 1 Points],tblActuals[Team 1],$CK8,tblActuals[Team 2],CP$3)</f>
        <v>0</v>
      </c>
      <c r="CQ8" s="56">
        <f>SUMIFS(tblActuals[Team 2 Points],tblActuals[Team 2],$CK8,tblActuals[Team 1],CQ$3)+SUMIFS(tblActuals[Team 1 Points],tblActuals[Team 1],$CK8,tblActuals[Team 2],CQ$3)</f>
        <v>0</v>
      </c>
      <c r="CR8" s="56">
        <f>SUMIFS(tblActuals[Team 2 Points],tblActuals[Team 2],$CK8,tblActuals[Team 1],CR$3)+SUMIFS(tblActuals[Team 1 Points],tblActuals[Team 1],$CK8,tblActuals[Team 2],CR$3)</f>
        <v>0</v>
      </c>
      <c r="CS8" s="56">
        <f>SUMIFS(tblActuals[Team 2 Points],tblActuals[Team 2],$CK8,tblActuals[Team 1],CS$3)+SUMIFS(tblActuals[Team 1 Points],tblActuals[Team 1],$CK8,tblActuals[Team 2],CS$3)</f>
        <v>0</v>
      </c>
      <c r="CT8" s="56">
        <f>SUMIFS(tblActuals[Team 2 Points],tblActuals[Team 2],$CK8,tblActuals[Team 1],CT$3)+SUMIFS(tblActuals[Team 1 Points],tblActuals[Team 1],$CK8,tblActuals[Team 2],CT$3)</f>
        <v>0</v>
      </c>
      <c r="CU8" s="56">
        <f>SUMIFS(tblActuals[Team 2 Points],tblActuals[Team 2],$CK8,tblActuals[Team 1],CU$3)+SUMIFS(tblActuals[Team 1 Points],tblActuals[Team 1],$CK8,tblActuals[Team 2],CU$3)</f>
        <v>0</v>
      </c>
      <c r="CV8" s="56">
        <f>SUMIFS(tblActuals[Team 2 Points],tblActuals[Team 2],$CK8,tblActuals[Team 1],CV$3)+SUMIFS(tblActuals[Team 1 Points],tblActuals[Team 1],$CK8,tblActuals[Team 2],CV$3)</f>
        <v>0</v>
      </c>
      <c r="CW8" s="56">
        <f>SUMIFS(tblActuals[Team 2 Points],tblActuals[Team 2],$CK8,tblActuals[Team 1],CW$3)+SUMIFS(tblActuals[Team 1 Points],tblActuals[Team 1],$CK8,tblActuals[Team 2],CW$3)</f>
        <v>0</v>
      </c>
      <c r="CX8" s="56">
        <f>SUMIFS(tblActuals[Team 2 Points],tblActuals[Team 2],$CK8,tblActuals[Team 1],CX$3)+SUMIFS(tblActuals[Team 1 Points],tblActuals[Team 1],$CK8,tblActuals[Team 2],CX$3)</f>
        <v>0</v>
      </c>
      <c r="CY8" s="56">
        <f>SUMIFS(tblActuals[Team 2 Points],tblActuals[Team 2],$CK8,tblActuals[Team 1],CY$3)+SUMIFS(tblActuals[Team 1 Points],tblActuals[Team 1],$CK8,tblActuals[Team 2],CY$3)</f>
        <v>0</v>
      </c>
      <c r="CZ8" s="56">
        <f>SUMIFS(tblActuals[Team 2 Points],tblActuals[Team 2],$CK8,tblActuals[Team 1],CZ$3)+SUMIFS(tblActuals[Team 1 Points],tblActuals[Team 1],$CK8,tblActuals[Team 2],CZ$3)</f>
        <v>0</v>
      </c>
      <c r="DA8" s="56">
        <f>SUMIFS(tblActuals[Team 2 Points],tblActuals[Team 2],$CK8,tblActuals[Team 1],DA$3)+SUMIFS(tblActuals[Team 1 Points],tblActuals[Team 1],$CK8,tblActuals[Team 2],DA$3)</f>
        <v>0</v>
      </c>
      <c r="DB8" s="56">
        <f>SUMIFS(tblActuals[Team 2 Points],tblActuals[Team 2],$CK8,tblActuals[Team 1],DB$3)+SUMIFS(tblActuals[Team 1 Points],tblActuals[Team 1],$CK8,tblActuals[Team 2],DB$3)</f>
        <v>0</v>
      </c>
      <c r="DC8" s="56">
        <f>SUMIFS(tblActuals[Team 2 Points],tblActuals[Team 2],$CK8,tblActuals[Team 1],DC$3)+SUMIFS(tblActuals[Team 1 Points],tblActuals[Team 1],$CK8,tblActuals[Team 2],DC$3)</f>
        <v>0</v>
      </c>
      <c r="DD8" s="56">
        <f>SUMIFS(tblActuals[Team 2 Points],tblActuals[Team 2],$CK8,tblActuals[Team 1],DD$3)+SUMIFS(tblActuals[Team 1 Points],tblActuals[Team 1],$CK8,tblActuals[Team 2],DD$3)</f>
        <v>0</v>
      </c>
      <c r="DE8" s="56">
        <f>SUMIFS(tblActuals[Team 2 Points],tblActuals[Team 2],$CK8,tblActuals[Team 1],DE$3)+SUMIFS(tblActuals[Team 1 Points],tblActuals[Team 1],$CK8,tblActuals[Team 2],DE$3)</f>
        <v>0</v>
      </c>
      <c r="DF8" s="56">
        <f>SUMIFS(tblActuals[Team 2 Points],tblActuals[Team 2],$CK8,tblActuals[Team 1],DF$3)+SUMIFS(tblActuals[Team 1 Points],tblActuals[Team 1],$CK8,tblActuals[Team 2],DF$3)</f>
        <v>0</v>
      </c>
      <c r="DG8" s="56">
        <f>SUMIFS(tblActuals[Team 2 Points],tblActuals[Team 2],$CK8,tblActuals[Team 1],DG$3)+SUMIFS(tblActuals[Team 1 Points],tblActuals[Team 1],$CK8,tblActuals[Team 2],DG$3)</f>
        <v>0</v>
      </c>
      <c r="DH8" s="56">
        <f>SUMIFS(tblActuals[Team 2 Points],tblActuals[Team 2],$CK8,tblActuals[Team 1],DH$3)+SUMIFS(tblActuals[Team 1 Points],tblActuals[Team 1],$CK8,tblActuals[Team 2],DH$3)</f>
        <v>0</v>
      </c>
      <c r="DI8" s="56">
        <f>SUMIFS(tblActuals[Team 2 Points],tblActuals[Team 2],$CK8,tblActuals[Team 1],DI$3)+SUMIFS(tblActuals[Team 1 Points],tblActuals[Team 1],$CK8,tblActuals[Team 2],DI$3)</f>
        <v>0</v>
      </c>
      <c r="DJ8" s="57"/>
      <c r="DK8" s="57"/>
      <c r="DL8" s="57"/>
      <c r="DM8" s="57"/>
      <c r="DN8" s="57"/>
      <c r="DO8" s="57"/>
      <c r="DP8" s="57"/>
      <c r="DQ8" s="57"/>
      <c r="DR8" s="4"/>
      <c r="DS8" s="4" t="s">
        <v>28</v>
      </c>
      <c r="DT8" s="56">
        <f>SUMIFS(tblActuals[Team 2 GD],tblActuals[Team 2],$CK8,tblActuals[Team 1],DT$3)+SUMIFS(tblActuals[Team 1 GD],tblActuals[Team 1],$CK8,tblActuals[Team 2],DT$3)</f>
        <v>0</v>
      </c>
      <c r="DU8" s="56">
        <f>SUMIFS(tblActuals[Team 2 GD],tblActuals[Team 2],$CK8,tblActuals[Team 1],DU$3)+SUMIFS(tblActuals[Team 1 GD],tblActuals[Team 1],$CK8,tblActuals[Team 2],DU$3)</f>
        <v>0</v>
      </c>
      <c r="DV8" s="56">
        <f>SUMIFS(tblActuals[Team 2 GD],tblActuals[Team 2],$CK8,tblActuals[Team 1],DV$3)+SUMIFS(tblActuals[Team 1 GD],tblActuals[Team 1],$CK8,tblActuals[Team 2],DV$3)</f>
        <v>0</v>
      </c>
      <c r="DW8" s="56">
        <f>SUMIFS(tblActuals[Team 2 GD],tblActuals[Team 2],$CK8,tblActuals[Team 1],DW$3)+SUMIFS(tblActuals[Team 1 GD],tblActuals[Team 1],$CK8,tblActuals[Team 2],DW$3)</f>
        <v>0</v>
      </c>
      <c r="DX8" s="56">
        <f>SUMIFS(tblActuals[Team 2 GD],tblActuals[Team 2],$CK8,tblActuals[Team 1],DX$3)+SUMIFS(tblActuals[Team 1 GD],tblActuals[Team 1],$CK8,tblActuals[Team 2],DX$3)</f>
        <v>0</v>
      </c>
      <c r="DY8" s="56">
        <f>SUMIFS(tblActuals[Team 2 GD],tblActuals[Team 2],$CK8,tblActuals[Team 1],DY$3)+SUMIFS(tblActuals[Team 1 GD],tblActuals[Team 1],$CK8,tblActuals[Team 2],DY$3)</f>
        <v>0</v>
      </c>
      <c r="DZ8" s="56">
        <f>SUMIFS(tblActuals[Team 2 GD],tblActuals[Team 2],$CK8,tblActuals[Team 1],DZ$3)+SUMIFS(tblActuals[Team 1 GD],tblActuals[Team 1],$CK8,tblActuals[Team 2],DZ$3)</f>
        <v>0</v>
      </c>
      <c r="EA8" s="56">
        <f>SUMIFS(tblActuals[Team 2 GD],tblActuals[Team 2],$CK8,tblActuals[Team 1],EA$3)+SUMIFS(tblActuals[Team 1 GD],tblActuals[Team 1],$CK8,tblActuals[Team 2],EA$3)</f>
        <v>0</v>
      </c>
      <c r="EB8" s="56">
        <f>SUMIFS(tblActuals[Team 2 GD],tblActuals[Team 2],$CK8,tblActuals[Team 1],EB$3)+SUMIFS(tblActuals[Team 1 GD],tblActuals[Team 1],$CK8,tblActuals[Team 2],EB$3)</f>
        <v>0</v>
      </c>
      <c r="EC8" s="56">
        <f>SUMIFS(tblActuals[Team 2 GD],tblActuals[Team 2],$CK8,tblActuals[Team 1],EC$3)+SUMIFS(tblActuals[Team 1 GD],tblActuals[Team 1],$CK8,tblActuals[Team 2],EC$3)</f>
        <v>0</v>
      </c>
      <c r="ED8" s="56">
        <f>SUMIFS(tblActuals[Team 2 GD],tblActuals[Team 2],$CK8,tblActuals[Team 1],ED$3)+SUMIFS(tblActuals[Team 1 GD],tblActuals[Team 1],$CK8,tblActuals[Team 2],ED$3)</f>
        <v>0</v>
      </c>
      <c r="EE8" s="56">
        <f>SUMIFS(tblActuals[Team 2 GD],tblActuals[Team 2],$CK8,tblActuals[Team 1],EE$3)+SUMIFS(tblActuals[Team 1 GD],tblActuals[Team 1],$CK8,tblActuals[Team 2],EE$3)</f>
        <v>0</v>
      </c>
      <c r="EF8" s="56">
        <f>SUMIFS(tblActuals[Team 2 GD],tblActuals[Team 2],$CK8,tblActuals[Team 1],EF$3)+SUMIFS(tblActuals[Team 1 GD],tblActuals[Team 1],$CK8,tblActuals[Team 2],EF$3)</f>
        <v>0</v>
      </c>
      <c r="EG8" s="56">
        <f>SUMIFS(tblActuals[Team 2 GD],tblActuals[Team 2],$CK8,tblActuals[Team 1],EG$3)+SUMIFS(tblActuals[Team 1 GD],tblActuals[Team 1],$CK8,tblActuals[Team 2],EG$3)</f>
        <v>0</v>
      </c>
      <c r="EH8" s="56">
        <f>SUMIFS(tblActuals[Team 2 GD],tblActuals[Team 2],$CK8,tblActuals[Team 1],EH$3)+SUMIFS(tblActuals[Team 1 GD],tblActuals[Team 1],$CK8,tblActuals[Team 2],EH$3)</f>
        <v>0</v>
      </c>
      <c r="EI8" s="56">
        <f>SUMIFS(tblActuals[Team 2 GD],tblActuals[Team 2],$CK8,tblActuals[Team 1],EI$3)+SUMIFS(tblActuals[Team 1 GD],tblActuals[Team 1],$CK8,tblActuals[Team 2],EI$3)</f>
        <v>0</v>
      </c>
      <c r="EJ8" s="56">
        <f>SUMIFS(tblActuals[Team 2 GD],tblActuals[Team 2],$CK8,tblActuals[Team 1],EJ$3)+SUMIFS(tblActuals[Team 1 GD],tblActuals[Team 1],$CK8,tblActuals[Team 2],EJ$3)</f>
        <v>0</v>
      </c>
      <c r="EK8" s="56">
        <f>SUMIFS(tblActuals[Team 2 GD],tblActuals[Team 2],$CK8,tblActuals[Team 1],EK$3)+SUMIFS(tblActuals[Team 1 GD],tblActuals[Team 1],$CK8,tblActuals[Team 2],EK$3)</f>
        <v>0</v>
      </c>
      <c r="EL8" s="56">
        <f>SUMIFS(tblActuals[Team 2 GD],tblActuals[Team 2],$CK8,tblActuals[Team 1],EL$3)+SUMIFS(tblActuals[Team 1 GD],tblActuals[Team 1],$CK8,tblActuals[Team 2],EL$3)</f>
        <v>0</v>
      </c>
      <c r="EM8" s="56">
        <f>SUMIFS(tblActuals[Team 2 GD],tblActuals[Team 2],$CK8,tblActuals[Team 1],EM$3)+SUMIFS(tblActuals[Team 1 GD],tblActuals[Team 1],$CK8,tblActuals[Team 2],EM$3)</f>
        <v>0</v>
      </c>
      <c r="EN8" s="56">
        <f>SUMIFS(tblActuals[Team 2 GD],tblActuals[Team 2],$CK8,tblActuals[Team 1],EN$3)+SUMIFS(tblActuals[Team 1 GD],tblActuals[Team 1],$CK8,tblActuals[Team 2],EN$3)</f>
        <v>0</v>
      </c>
      <c r="EO8" s="56">
        <f>SUMIFS(tblActuals[Team 2 GD],tblActuals[Team 2],$CK8,tblActuals[Team 1],EO$3)+SUMIFS(tblActuals[Team 1 GD],tblActuals[Team 1],$CK8,tblActuals[Team 2],EO$3)</f>
        <v>0</v>
      </c>
      <c r="EP8" s="56">
        <f>SUMIFS(tblActuals[Team 2 GD],tblActuals[Team 2],$CK8,tblActuals[Team 1],EP$3)+SUMIFS(tblActuals[Team 1 GD],tblActuals[Team 1],$CK8,tblActuals[Team 2],EP$3)</f>
        <v>0</v>
      </c>
      <c r="EQ8" s="56">
        <f>SUMIFS(tblActuals[Team 2 GD],tblActuals[Team 2],$CK8,tblActuals[Team 1],EQ$3)+SUMIFS(tblActuals[Team 1 GD],tblActuals[Team 1],$CK8,tblActuals[Team 2],EQ$3)</f>
        <v>0</v>
      </c>
      <c r="ER8" s="57"/>
      <c r="ES8" s="57"/>
      <c r="ET8" s="57"/>
      <c r="EU8" s="57"/>
      <c r="EV8" s="57"/>
      <c r="EW8" s="57"/>
      <c r="EX8" s="57"/>
      <c r="EY8" s="57"/>
      <c r="EZ8" s="4"/>
      <c r="FA8" s="4" t="s">
        <v>28</v>
      </c>
      <c r="FB8" s="56">
        <f>SUMIFS(tblActuals[Team 2 Goals],tblActuals[Team 2],$CK8,tblActuals[Team 1],FB$3)+SUMIFS(tblActuals[Team 1 Goals],tblActuals[Team 1],$CK8,tblActuals[Team 2],FB$3)</f>
        <v>0</v>
      </c>
      <c r="FC8" s="56">
        <f>SUMIFS(tblActuals[Team 2 Goals],tblActuals[Team 2],$CK8,tblActuals[Team 1],FC$3)+SUMIFS(tblActuals[Team 1 Goals],tblActuals[Team 1],$CK8,tblActuals[Team 2],FC$3)</f>
        <v>0</v>
      </c>
      <c r="FD8" s="56">
        <f>SUMIFS(tblActuals[Team 2 Goals],tblActuals[Team 2],$CK8,tblActuals[Team 1],FD$3)+SUMIFS(tblActuals[Team 1 Goals],tblActuals[Team 1],$CK8,tblActuals[Team 2],FD$3)</f>
        <v>0</v>
      </c>
      <c r="FE8" s="56">
        <f>SUMIFS(tblActuals[Team 2 Goals],tblActuals[Team 2],$CK8,tblActuals[Team 1],FE$3)+SUMIFS(tblActuals[Team 1 Goals],tblActuals[Team 1],$CK8,tblActuals[Team 2],FE$3)</f>
        <v>0</v>
      </c>
      <c r="FF8" s="56">
        <f>SUMIFS(tblActuals[Team 2 Goals],tblActuals[Team 2],$CK8,tblActuals[Team 1],FF$3)+SUMIFS(tblActuals[Team 1 Goals],tblActuals[Team 1],$CK8,tblActuals[Team 2],FF$3)</f>
        <v>0</v>
      </c>
      <c r="FG8" s="56">
        <f>SUMIFS(tblActuals[Team 2 Goals],tblActuals[Team 2],$CK8,tblActuals[Team 1],FG$3)+SUMIFS(tblActuals[Team 1 Goals],tblActuals[Team 1],$CK8,tblActuals[Team 2],FG$3)</f>
        <v>0</v>
      </c>
      <c r="FH8" s="56">
        <f>SUMIFS(tblActuals[Team 2 Goals],tblActuals[Team 2],$CK8,tblActuals[Team 1],FH$3)+SUMIFS(tblActuals[Team 1 Goals],tblActuals[Team 1],$CK8,tblActuals[Team 2],FH$3)</f>
        <v>0</v>
      </c>
      <c r="FI8" s="56">
        <f>SUMIFS(tblActuals[Team 2 Goals],tblActuals[Team 2],$CK8,tblActuals[Team 1],FI$3)+SUMIFS(tblActuals[Team 1 Goals],tblActuals[Team 1],$CK8,tblActuals[Team 2],FI$3)</f>
        <v>0</v>
      </c>
      <c r="FJ8" s="56">
        <f>SUMIFS(tblActuals[Team 2 Goals],tblActuals[Team 2],$CK8,tblActuals[Team 1],FJ$3)+SUMIFS(tblActuals[Team 1 Goals],tblActuals[Team 1],$CK8,tblActuals[Team 2],FJ$3)</f>
        <v>0</v>
      </c>
      <c r="FK8" s="56">
        <f>SUMIFS(tblActuals[Team 2 Goals],tblActuals[Team 2],$CK8,tblActuals[Team 1],FK$3)+SUMIFS(tblActuals[Team 1 Goals],tblActuals[Team 1],$CK8,tblActuals[Team 2],FK$3)</f>
        <v>0</v>
      </c>
      <c r="FL8" s="56">
        <f>SUMIFS(tblActuals[Team 2 Goals],tblActuals[Team 2],$CK8,tblActuals[Team 1],FL$3)+SUMIFS(tblActuals[Team 1 Goals],tblActuals[Team 1],$CK8,tblActuals[Team 2],FL$3)</f>
        <v>0</v>
      </c>
      <c r="FM8" s="56">
        <f>SUMIFS(tblActuals[Team 2 Goals],tblActuals[Team 2],$CK8,tblActuals[Team 1],FM$3)+SUMIFS(tblActuals[Team 1 Goals],tblActuals[Team 1],$CK8,tblActuals[Team 2],FM$3)</f>
        <v>0</v>
      </c>
      <c r="FN8" s="56">
        <f>SUMIFS(tblActuals[Team 2 Goals],tblActuals[Team 2],$CK8,tblActuals[Team 1],FN$3)+SUMIFS(tblActuals[Team 1 Goals],tblActuals[Team 1],$CK8,tblActuals[Team 2],FN$3)</f>
        <v>0</v>
      </c>
      <c r="FO8" s="56">
        <f>SUMIFS(tblActuals[Team 2 Goals],tblActuals[Team 2],$CK8,tblActuals[Team 1],FO$3)+SUMIFS(tblActuals[Team 1 Goals],tblActuals[Team 1],$CK8,tblActuals[Team 2],FO$3)</f>
        <v>0</v>
      </c>
      <c r="FP8" s="56">
        <f>SUMIFS(tblActuals[Team 2 Goals],tblActuals[Team 2],$CK8,tblActuals[Team 1],FP$3)+SUMIFS(tblActuals[Team 1 Goals],tblActuals[Team 1],$CK8,tblActuals[Team 2],FP$3)</f>
        <v>0</v>
      </c>
      <c r="FQ8" s="56">
        <f>SUMIFS(tblActuals[Team 2 Goals],tblActuals[Team 2],$CK8,tblActuals[Team 1],FQ$3)+SUMIFS(tblActuals[Team 1 Goals],tblActuals[Team 1],$CK8,tblActuals[Team 2],FQ$3)</f>
        <v>0</v>
      </c>
      <c r="FR8" s="56">
        <f>SUMIFS(tblActuals[Team 2 Goals],tblActuals[Team 2],$CK8,tblActuals[Team 1],FR$3)+SUMIFS(tblActuals[Team 1 Goals],tblActuals[Team 1],$CK8,tblActuals[Team 2],FR$3)</f>
        <v>0</v>
      </c>
      <c r="FS8" s="56">
        <f>SUMIFS(tblActuals[Team 2 Goals],tblActuals[Team 2],$CK8,tblActuals[Team 1],FS$3)+SUMIFS(tblActuals[Team 1 Goals],tblActuals[Team 1],$CK8,tblActuals[Team 2],FS$3)</f>
        <v>0</v>
      </c>
      <c r="FT8" s="56">
        <f>SUMIFS(tblActuals[Team 2 Goals],tblActuals[Team 2],$CK8,tblActuals[Team 1],FT$3)+SUMIFS(tblActuals[Team 1 Goals],tblActuals[Team 1],$CK8,tblActuals[Team 2],FT$3)</f>
        <v>0</v>
      </c>
      <c r="FU8" s="56">
        <f>SUMIFS(tblActuals[Team 2 Goals],tblActuals[Team 2],$CK8,tblActuals[Team 1],FU$3)+SUMIFS(tblActuals[Team 1 Goals],tblActuals[Team 1],$CK8,tblActuals[Team 2],FU$3)</f>
        <v>0</v>
      </c>
      <c r="FV8" s="56">
        <f>SUMIFS(tblActuals[Team 2 Goals],tblActuals[Team 2],$CK8,tblActuals[Team 1],FV$3)+SUMIFS(tblActuals[Team 1 Goals],tblActuals[Team 1],$CK8,tblActuals[Team 2],FV$3)</f>
        <v>0</v>
      </c>
      <c r="FW8" s="56">
        <f>SUMIFS(tblActuals[Team 2 Goals],tblActuals[Team 2],$CK8,tblActuals[Team 1],FW$3)+SUMIFS(tblActuals[Team 1 Goals],tblActuals[Team 1],$CK8,tblActuals[Team 2],FW$3)</f>
        <v>0</v>
      </c>
      <c r="FX8" s="56">
        <f>SUMIFS(tblActuals[Team 2 Goals],tblActuals[Team 2],$CK8,tblActuals[Team 1],FX$3)+SUMIFS(tblActuals[Team 1 Goals],tblActuals[Team 1],$CK8,tblActuals[Team 2],FX$3)</f>
        <v>0</v>
      </c>
      <c r="FY8" s="56">
        <f>SUMIFS(tblActuals[Team 2 Goals],tblActuals[Team 2],$CK8,tblActuals[Team 1],FY$3)+SUMIFS(tblActuals[Team 1 Goals],tblActuals[Team 1],$CK8,tblActuals[Team 2],FY$3)</f>
        <v>0</v>
      </c>
      <c r="FZ8" s="57"/>
      <c r="GA8" s="57"/>
      <c r="GB8" s="37"/>
      <c r="GC8" s="37"/>
      <c r="GD8" s="37"/>
      <c r="GE8" s="37"/>
      <c r="GF8" s="37"/>
      <c r="GG8" s="37"/>
      <c r="GH8" s="75"/>
      <c r="GI8" s="156"/>
      <c r="GJ8" s="156"/>
      <c r="GK8" s="75"/>
      <c r="GL8" s="22"/>
      <c r="GM8" s="75"/>
      <c r="GN8" s="75"/>
      <c r="GO8" s="75"/>
      <c r="GP8" s="75"/>
      <c r="GR8" s="4" t="str">
        <f t="shared" si="12"/>
        <v>ABDE</v>
      </c>
      <c r="GS8" s="44" t="s">
        <v>1</v>
      </c>
      <c r="GT8" s="44" t="s">
        <v>5</v>
      </c>
      <c r="GU8" s="45"/>
      <c r="GV8" s="44" t="s">
        <v>7</v>
      </c>
      <c r="GW8" s="44" t="s">
        <v>12</v>
      </c>
      <c r="GX8" s="45"/>
      <c r="GY8" s="178"/>
      <c r="GZ8" s="45" t="s">
        <v>150</v>
      </c>
      <c r="HA8" s="45" t="s">
        <v>153</v>
      </c>
      <c r="HB8" s="45" t="s">
        <v>149</v>
      </c>
      <c r="HC8" s="45" t="s">
        <v>151</v>
      </c>
    </row>
    <row r="9" spans="1:211" s="11" customFormat="1" ht="30" customHeight="1" thickBot="1" x14ac:dyDescent="0.25">
      <c r="A9" s="20"/>
      <c r="B9" s="122">
        <v>6</v>
      </c>
      <c r="C9" s="122" t="s">
        <v>6</v>
      </c>
      <c r="D9" s="123">
        <v>45459</v>
      </c>
      <c r="E9" s="122" t="s">
        <v>83</v>
      </c>
      <c r="F9" s="124">
        <v>0.75</v>
      </c>
      <c r="G9" s="125">
        <f t="shared" si="8"/>
        <v>45459.5</v>
      </c>
      <c r="H9" s="122" t="s">
        <v>94</v>
      </c>
      <c r="I9" s="126"/>
      <c r="J9" s="118"/>
      <c r="K9" s="118"/>
      <c r="L9" s="119" t="str">
        <f>IF(tblActuals[[#This Row],[SCORE]]="","",IF(Q9=R9,"Draw",IF(Q9&gt;R9,M9,N9)))</f>
        <v/>
      </c>
      <c r="M9" s="120" t="str">
        <f>IF(tblActuals[[#This Row],[TEAMS]]="","",LEFT(H9,FIND(" -",H9,1)-1))</f>
        <v>Slovenia</v>
      </c>
      <c r="N9" s="120" t="str">
        <f>IF(tblActuals[[#This Row],[TEAMS]]="","",MID(H9,FIND("-",H9,1)+2,LEN(H9)-FIND("-",H9,1)+2))</f>
        <v>Denmark</v>
      </c>
      <c r="O9" s="120" t="str">
        <f>IF(tblActuals[[#This Row],[Team 1 Goals]]&gt;tblActuals[[#This Row],[Team 2 Goals]],tblActuals[[#This Row],[Team 1]],IF(tblActuals[[#This Row],[Team 2 Goals]]&gt;tblActuals[[#This Row],[Team 1 Goals]],tblActuals[[#This Row],[Team 2]],""))</f>
        <v/>
      </c>
      <c r="P9" s="120" t="str">
        <f>IF(tblActuals[[#This Row],[Winner]]=tblActuals[[#This Row],[Team 1]],tblActuals[[#This Row],[Team 2]],IF(tblActuals[[#This Row],[Winner]]=tblActuals[[#This Row],[Team 2]],tblActuals[[#This Row],[Team 1]],""))</f>
        <v/>
      </c>
      <c r="Q9" s="120" t="str">
        <f>IF(tblActuals[[#This Row],[SCORE]]="","",LEFT(I9,FIND(":",I9,1)-1)*1)</f>
        <v/>
      </c>
      <c r="R9" s="120" t="str">
        <f>IF(tblActuals[[#This Row],[SCORE]]="","",MID(I9,FIND(":",I9,1)+1,LEN(I9)-FIND(":",I9,1)+1)*1)</f>
        <v/>
      </c>
      <c r="S9" s="120" t="str">
        <f>IF(OR(tblActuals[[#This Row],[Team 1 Goals]]="",tblActuals[[#This Row],[Team 2 Goals]]=""),"",tblActuals[[#This Row],[Team 1 Goals]]-tblActuals[[#This Row],[Team 2 Goals]])</f>
        <v/>
      </c>
      <c r="T9" s="120" t="str">
        <f>IF(OR(tblActuals[[#This Row],[Team 1 Goals]]="",tblActuals[[#This Row],[Team 2 Goals]]=""),"",tblActuals[[#This Row],[Team 2 Goals]]-tblActuals[[#This Row],[Team 1 Goals]])</f>
        <v/>
      </c>
      <c r="U9" s="120" t="str">
        <f>IF(tblActuals[[#This Row],[SCORE]]="","",IF(tblActuals[[#This Row],[WINNER / RESULT]]="Draw",1,IF(tblActuals[[#This Row],[WINNER / RESULT]]=tblActuals[[#This Row],[Team 1]],3,0)))</f>
        <v/>
      </c>
      <c r="V9" s="120" t="str">
        <f>IF(tblActuals[[#This Row],[SCORE]]="","",IF(tblActuals[[#This Row],[WINNER / RESULT]]="Draw",1,IF(tblActuals[[#This Row],[WINNER / RESULT]]=tblActuals[[#This Row],[Team 2]],3,0)))</f>
        <v/>
      </c>
      <c r="W9" s="121"/>
      <c r="X9" s="121"/>
      <c r="Y9" s="121"/>
      <c r="Z9" s="121"/>
      <c r="AA9" s="120" t="e">
        <f>tblActuals[[#This Row],[Team 1 Goals]]+tblActuals[[#This Row],[Team 1 ET Goals]]&amp;":"&amp;tblActuals[[#This Row],[Team 2 Goals]]+tblActuals[[#This Row],[Team 2 ET Goals]]</f>
        <v>#VALUE!</v>
      </c>
      <c r="AB9" s="120" t="e">
        <f>+tblActuals[[#This Row],[Team 1 Goals]]+tblActuals[[#This Row],[Team 2 Goals]]</f>
        <v>#VALUE!</v>
      </c>
      <c r="AC9" s="165">
        <f t="shared" si="0"/>
        <v>45459</v>
      </c>
      <c r="AD9" s="166">
        <f t="shared" si="9"/>
        <v>6.9</v>
      </c>
      <c r="AF9" s="38" t="s">
        <v>86</v>
      </c>
      <c r="AJ9" s="77" t="s">
        <v>1</v>
      </c>
      <c r="AK9" s="145">
        <v>4</v>
      </c>
      <c r="AL9" s="146" t="str">
        <f ca="1">IFERROR(INDEX(AT:AT,MATCH("4"&amp;AJ9,BD:BD,0),1),"")</f>
        <v>Switzerland</v>
      </c>
      <c r="AM9" s="146" t="str">
        <f ca="1">IF(AL9="","",VLOOKUP(AL9,AT:AY,2,FALSE)&amp;"-"&amp;VLOOKUP(AL9,AT:AY,3,FALSE)&amp;"-"&amp;VLOOKUP(AL9,AT:AY,4,FALSE))</f>
        <v>0-0-0</v>
      </c>
      <c r="AN9" s="146">
        <f ca="1">IF(AL9="","",VLOOKUP(AL9,AT:BA,8,FALSE))</f>
        <v>0</v>
      </c>
      <c r="AO9" s="147">
        <f ca="1">IF(AL9="","",VLOOKUP(AL9,AT:BD,5,FALSE))</f>
        <v>0</v>
      </c>
      <c r="AP9" s="75"/>
      <c r="AQ9" s="42"/>
      <c r="AR9" s="4"/>
      <c r="AS9" s="4" t="s">
        <v>5</v>
      </c>
      <c r="AT9" s="4" t="s">
        <v>127</v>
      </c>
      <c r="AU9" s="4">
        <f>COUNTIF(tblActuals[Winner],AT9)</f>
        <v>0</v>
      </c>
      <c r="AV9" s="4">
        <f>COUNTIFS(tblActuals[Team 2],AT9,tblActuals[WINNER / RESULT],"Draw")+COUNTIFS(tblActuals[Team 1],AT9,tblActuals[WINNER / RESULT],"Draw")</f>
        <v>0</v>
      </c>
      <c r="AW9" s="4">
        <f>COUNTIF(tblActuals[Loser],AT9)</f>
        <v>0</v>
      </c>
      <c r="AX9" s="4">
        <f>AV9+(3*AU9)</f>
        <v>0</v>
      </c>
      <c r="AY9" s="4">
        <f>SUMIFS(tblActuals[Team 1 Goals],tblActuals[Team 1],AT9)+SUMIFS(tblActuals[Team 2 Goals],tblActuals[Team 2],AT9)</f>
        <v>0</v>
      </c>
      <c r="AZ9" s="4">
        <f>SUMIFS(tblActuals[Team 2 Goals],tblActuals[Team 1],AT9)+SUMIFS(tblActuals[Team 1 Goals],tblActuals[Team 2],AT9)</f>
        <v>0</v>
      </c>
      <c r="BA9" s="4">
        <f>AY9-AZ9</f>
        <v>0</v>
      </c>
      <c r="BB9" s="4">
        <f ca="1">RANK(BO9,$BO$9:$BO$12,1)</f>
        <v>1</v>
      </c>
      <c r="BC9" s="4" t="str">
        <f t="shared" si="1"/>
        <v/>
      </c>
      <c r="BD9" s="4" t="str">
        <f ca="1">IF(BC9="",BB9&amp;AS9,BC9&amp;AS9)</f>
        <v>1B</v>
      </c>
      <c r="BE9" s="4">
        <f>RANK(AX9,$AX$9:$AX$12,0)</f>
        <v>1</v>
      </c>
      <c r="BF9" s="4" cm="1">
        <f t="array" aca="1" ref="BF9" ca="1">SUMPRODUCT((OFFSET($CL$3:$DQ$3,MATCH($AT9,$CK$4:$CK$35,0),0))*((IF($BE11=$BE9,$CL$3:$DQ$3=$AT11,0))+(IF($BE12=$BE9,$CL$3:$DQ$3=$AT12,0))+(IF($BE10=$BE9,$CL$3:$DQ$3=$AT10,0))))</f>
        <v>0</v>
      </c>
      <c r="BG9" s="4" cm="1">
        <f t="array" aca="1" ref="BG9" ca="1">SUMPRODUCT((OFFSET($DT$3:$EY$3,MATCH($AT9,$DS$4:$DS$35,0),0))*((IF($BE11=$BE9,$DT$3:$EY$3=$AT11,0))+(IF($BE12=$BE9,$DT$3:$EY$3=$AT12,0))+(IF($BE10=$BE9,$DT$3:$EY$3=$AT10,0))))</f>
        <v>0</v>
      </c>
      <c r="BH9" s="4" cm="1">
        <f t="array" aca="1" ref="BH9" ca="1">SUMPRODUCT((OFFSET($FB$3:$GG$3,MATCH($AT9,$FA$4:$FA$35,0),0))*((IF($BE11=$BE9,$FB$3:$GG$3=$AT11,0))+(IF($BE12=$BE9,$FB$3:$GG$3=$AT12,0))+(IF($BE10=$BE9,$FB$3:$GG$3=$AT10,0))))</f>
        <v>0</v>
      </c>
      <c r="BI9" s="4" cm="1">
        <f t="array" aca="1" ref="BI9" ca="1">SUMPRODUCT((OFFSET($CL$3:$DQ$3,MATCH($AT9,$CK$4:$CK$35,0),0))*((IF($BE11&lt;&gt;$BE9,$CL$3:$DQ$3=$AT11,0))+(IF($BE12&lt;&gt;$BE9,$CL$3:$DQ$3=$AT12,0))+(IF($BE10&lt;&gt;$BE9,$CL$3:$DQ$3=$AT10,0))))</f>
        <v>0</v>
      </c>
      <c r="BJ9" s="4" cm="1">
        <f t="array" aca="1" ref="BJ9" ca="1">SUMPRODUCT((OFFSET($DT$3:$EY$3,MATCH($AT9,$DS$4:$DS$35,0),0))*((IF($BE11&lt;&gt;$BE9,$DT$3:$EY$3=$AT11,0))+(IF($BE12&lt;&gt;$BE9,$DT$3:$EY$3=$AT12,0))+(IF($BE10&lt;&gt;$BE9,$DT$3:$EY$3=$AT10,0))))</f>
        <v>0</v>
      </c>
      <c r="BK9" s="4" cm="1">
        <f t="array" aca="1" ref="BK9" ca="1">SUMPRODUCT((OFFSET($FB$3:$GG$3,MATCH($AT9,$FA$4:$FA$35,0),0))*((IF($BE11&lt;&gt;$BE9,$FB$3:$GG$3=$AT11,0))+(IF($BE12&lt;&gt;$BE9,$FB$3:$GG$3=$AT12,0))+(IF($BE10&lt;&gt;$BE9,$FB$3:$GG$3=$AT10,0))))</f>
        <v>0</v>
      </c>
      <c r="BL9" s="4">
        <f t="shared" si="10"/>
        <v>0</v>
      </c>
      <c r="BM9" s="4">
        <f t="shared" si="11"/>
        <v>0</v>
      </c>
      <c r="BN9" s="4">
        <f ca="1">(BF9/10)+(BG9/100)+(BH9/1000)+(BJ9/10000)+(BK9/100000)+(BL9/1000000)+(BM9/10000000)+(ROW(BI12)/100000000)</f>
        <v>1.1999999999999999E-7</v>
      </c>
      <c r="BO9" s="4">
        <f ca="1">+BE9-BN9</f>
        <v>0.99999987999999995</v>
      </c>
      <c r="BP9" s="4"/>
      <c r="BQ9" s="4" t="s">
        <v>45</v>
      </c>
      <c r="BR9" s="4" t="str">
        <f ca="1">AL38</f>
        <v>Portugal</v>
      </c>
      <c r="BS9" s="4">
        <f t="shared" ca="1" si="2"/>
        <v>0</v>
      </c>
      <c r="BT9" s="4">
        <f t="shared" ca="1" si="3"/>
        <v>0</v>
      </c>
      <c r="BU9" s="4">
        <f t="shared" ca="1" si="4"/>
        <v>0</v>
      </c>
      <c r="BV9" s="4">
        <f t="shared" ca="1" si="5"/>
        <v>0</v>
      </c>
      <c r="BW9" s="4">
        <f t="shared" ca="1" si="6"/>
        <v>8.9999999999999996E-7</v>
      </c>
      <c r="BX9" s="4">
        <f t="shared" ca="1" si="7"/>
        <v>1</v>
      </c>
      <c r="BY9" s="4"/>
      <c r="BZ9" s="4"/>
      <c r="CA9" s="4"/>
      <c r="CB9" s="4"/>
      <c r="CC9" s="4"/>
      <c r="CD9" s="4"/>
      <c r="CE9" s="4"/>
      <c r="CF9" s="4"/>
      <c r="CG9" s="4"/>
      <c r="CH9" s="4"/>
      <c r="CK9" s="4" t="s">
        <v>33</v>
      </c>
      <c r="CL9" s="56">
        <f>SUMIFS(tblActuals[Team 2 Points],tblActuals[Team 2],$CK9,tblActuals[Team 1],CL$3)+SUMIFS(tblActuals[Team 1 Points],tblActuals[Team 1],$CK9,tblActuals[Team 2],CL$3)</f>
        <v>0</v>
      </c>
      <c r="CM9" s="56">
        <f>SUMIFS(tblActuals[Team 2 Points],tblActuals[Team 2],$CK9,tblActuals[Team 1],CM$3)+SUMIFS(tblActuals[Team 1 Points],tblActuals[Team 1],$CK9,tblActuals[Team 2],CM$3)</f>
        <v>0</v>
      </c>
      <c r="CN9" s="56">
        <f>SUMIFS(tblActuals[Team 2 Points],tblActuals[Team 2],$CK9,tblActuals[Team 1],CN$3)+SUMIFS(tblActuals[Team 1 Points],tblActuals[Team 1],$CK9,tblActuals[Team 2],CN$3)</f>
        <v>0</v>
      </c>
      <c r="CO9" s="56">
        <f>SUMIFS(tblActuals[Team 2 Points],tblActuals[Team 2],$CK9,tblActuals[Team 1],CO$3)+SUMIFS(tblActuals[Team 1 Points],tblActuals[Team 1],$CK9,tblActuals[Team 2],CO$3)</f>
        <v>0</v>
      </c>
      <c r="CP9" s="56">
        <f>SUMIFS(tblActuals[Team 2 Points],tblActuals[Team 2],$CK9,tblActuals[Team 1],CP$3)+SUMIFS(tblActuals[Team 1 Points],tblActuals[Team 1],$CK9,tblActuals[Team 2],CP$3)</f>
        <v>0</v>
      </c>
      <c r="CQ9" s="56">
        <f>SUMIFS(tblActuals[Team 2 Points],tblActuals[Team 2],$CK9,tblActuals[Team 1],CQ$3)+SUMIFS(tblActuals[Team 1 Points],tblActuals[Team 1],$CK9,tblActuals[Team 2],CQ$3)</f>
        <v>0</v>
      </c>
      <c r="CR9" s="56">
        <f>SUMIFS(tblActuals[Team 2 Points],tblActuals[Team 2],$CK9,tblActuals[Team 1],CR$3)+SUMIFS(tblActuals[Team 1 Points],tblActuals[Team 1],$CK9,tblActuals[Team 2],CR$3)</f>
        <v>0</v>
      </c>
      <c r="CS9" s="56">
        <f>SUMIFS(tblActuals[Team 2 Points],tblActuals[Team 2],$CK9,tblActuals[Team 1],CS$3)+SUMIFS(tblActuals[Team 1 Points],tblActuals[Team 1],$CK9,tblActuals[Team 2],CS$3)</f>
        <v>0</v>
      </c>
      <c r="CT9" s="56">
        <f>SUMIFS(tblActuals[Team 2 Points],tblActuals[Team 2],$CK9,tblActuals[Team 1],CT$3)+SUMIFS(tblActuals[Team 1 Points],tblActuals[Team 1],$CK9,tblActuals[Team 2],CT$3)</f>
        <v>0</v>
      </c>
      <c r="CU9" s="56">
        <f>SUMIFS(tblActuals[Team 2 Points],tblActuals[Team 2],$CK9,tblActuals[Team 1],CU$3)+SUMIFS(tblActuals[Team 1 Points],tblActuals[Team 1],$CK9,tblActuals[Team 2],CU$3)</f>
        <v>0</v>
      </c>
      <c r="CV9" s="56">
        <f>SUMIFS(tblActuals[Team 2 Points],tblActuals[Team 2],$CK9,tblActuals[Team 1],CV$3)+SUMIFS(tblActuals[Team 1 Points],tblActuals[Team 1],$CK9,tblActuals[Team 2],CV$3)</f>
        <v>0</v>
      </c>
      <c r="CW9" s="56">
        <f>SUMIFS(tblActuals[Team 2 Points],tblActuals[Team 2],$CK9,tblActuals[Team 1],CW$3)+SUMIFS(tblActuals[Team 1 Points],tblActuals[Team 1],$CK9,tblActuals[Team 2],CW$3)</f>
        <v>0</v>
      </c>
      <c r="CX9" s="56">
        <f>SUMIFS(tblActuals[Team 2 Points],tblActuals[Team 2],$CK9,tblActuals[Team 1],CX$3)+SUMIFS(tblActuals[Team 1 Points],tblActuals[Team 1],$CK9,tblActuals[Team 2],CX$3)</f>
        <v>0</v>
      </c>
      <c r="CY9" s="56">
        <f>SUMIFS(tblActuals[Team 2 Points],tblActuals[Team 2],$CK9,tblActuals[Team 1],CY$3)+SUMIFS(tblActuals[Team 1 Points],tblActuals[Team 1],$CK9,tblActuals[Team 2],CY$3)</f>
        <v>0</v>
      </c>
      <c r="CZ9" s="56">
        <f>SUMIFS(tblActuals[Team 2 Points],tblActuals[Team 2],$CK9,tblActuals[Team 1],CZ$3)+SUMIFS(tblActuals[Team 1 Points],tblActuals[Team 1],$CK9,tblActuals[Team 2],CZ$3)</f>
        <v>0</v>
      </c>
      <c r="DA9" s="56">
        <f>SUMIFS(tblActuals[Team 2 Points],tblActuals[Team 2],$CK9,tblActuals[Team 1],DA$3)+SUMIFS(tblActuals[Team 1 Points],tblActuals[Team 1],$CK9,tblActuals[Team 2],DA$3)</f>
        <v>0</v>
      </c>
      <c r="DB9" s="56">
        <f>SUMIFS(tblActuals[Team 2 Points],tblActuals[Team 2],$CK9,tblActuals[Team 1],DB$3)+SUMIFS(tblActuals[Team 1 Points],tblActuals[Team 1],$CK9,tblActuals[Team 2],DB$3)</f>
        <v>0</v>
      </c>
      <c r="DC9" s="56">
        <f>SUMIFS(tblActuals[Team 2 Points],tblActuals[Team 2],$CK9,tblActuals[Team 1],DC$3)+SUMIFS(tblActuals[Team 1 Points],tblActuals[Team 1],$CK9,tblActuals[Team 2],DC$3)</f>
        <v>0</v>
      </c>
      <c r="DD9" s="56">
        <f>SUMIFS(tblActuals[Team 2 Points],tblActuals[Team 2],$CK9,tblActuals[Team 1],DD$3)+SUMIFS(tblActuals[Team 1 Points],tblActuals[Team 1],$CK9,tblActuals[Team 2],DD$3)</f>
        <v>0</v>
      </c>
      <c r="DE9" s="56">
        <f>SUMIFS(tblActuals[Team 2 Points],tblActuals[Team 2],$CK9,tblActuals[Team 1],DE$3)+SUMIFS(tblActuals[Team 1 Points],tblActuals[Team 1],$CK9,tblActuals[Team 2],DE$3)</f>
        <v>0</v>
      </c>
      <c r="DF9" s="56">
        <f>SUMIFS(tblActuals[Team 2 Points],tblActuals[Team 2],$CK9,tblActuals[Team 1],DF$3)+SUMIFS(tblActuals[Team 1 Points],tblActuals[Team 1],$CK9,tblActuals[Team 2],DF$3)</f>
        <v>0</v>
      </c>
      <c r="DG9" s="56">
        <f>SUMIFS(tblActuals[Team 2 Points],tblActuals[Team 2],$CK9,tblActuals[Team 1],DG$3)+SUMIFS(tblActuals[Team 1 Points],tblActuals[Team 1],$CK9,tblActuals[Team 2],DG$3)</f>
        <v>0</v>
      </c>
      <c r="DH9" s="56">
        <f>SUMIFS(tblActuals[Team 2 Points],tblActuals[Team 2],$CK9,tblActuals[Team 1],DH$3)+SUMIFS(tblActuals[Team 1 Points],tblActuals[Team 1],$CK9,tblActuals[Team 2],DH$3)</f>
        <v>0</v>
      </c>
      <c r="DI9" s="56">
        <f>SUMIFS(tblActuals[Team 2 Points],tblActuals[Team 2],$CK9,tblActuals[Team 1],DI$3)+SUMIFS(tblActuals[Team 1 Points],tblActuals[Team 1],$CK9,tblActuals[Team 2],DI$3)</f>
        <v>0</v>
      </c>
      <c r="DJ9" s="57"/>
      <c r="DK9" s="57"/>
      <c r="DL9" s="57"/>
      <c r="DM9" s="57"/>
      <c r="DN9" s="57"/>
      <c r="DO9" s="57"/>
      <c r="DP9" s="57"/>
      <c r="DQ9" s="57"/>
      <c r="DR9" s="4"/>
      <c r="DS9" s="4" t="s">
        <v>33</v>
      </c>
      <c r="DT9" s="56">
        <f>SUMIFS(tblActuals[Team 2 GD],tblActuals[Team 2],$CK9,tblActuals[Team 1],DT$3)+SUMIFS(tblActuals[Team 1 GD],tblActuals[Team 1],$CK9,tblActuals[Team 2],DT$3)</f>
        <v>0</v>
      </c>
      <c r="DU9" s="56">
        <f>SUMIFS(tblActuals[Team 2 GD],tblActuals[Team 2],$CK9,tblActuals[Team 1],DU$3)+SUMIFS(tblActuals[Team 1 GD],tblActuals[Team 1],$CK9,tblActuals[Team 2],DU$3)</f>
        <v>0</v>
      </c>
      <c r="DV9" s="56">
        <f>SUMIFS(tblActuals[Team 2 GD],tblActuals[Team 2],$CK9,tblActuals[Team 1],DV$3)+SUMIFS(tblActuals[Team 1 GD],tblActuals[Team 1],$CK9,tblActuals[Team 2],DV$3)</f>
        <v>0</v>
      </c>
      <c r="DW9" s="56">
        <f>SUMIFS(tblActuals[Team 2 GD],tblActuals[Team 2],$CK9,tblActuals[Team 1],DW$3)+SUMIFS(tblActuals[Team 1 GD],tblActuals[Team 1],$CK9,tblActuals[Team 2],DW$3)</f>
        <v>0</v>
      </c>
      <c r="DX9" s="56">
        <f>SUMIFS(tblActuals[Team 2 GD],tblActuals[Team 2],$CK9,tblActuals[Team 1],DX$3)+SUMIFS(tblActuals[Team 1 GD],tblActuals[Team 1],$CK9,tblActuals[Team 2],DX$3)</f>
        <v>0</v>
      </c>
      <c r="DY9" s="56">
        <f>SUMIFS(tblActuals[Team 2 GD],tblActuals[Team 2],$CK9,tblActuals[Team 1],DY$3)+SUMIFS(tblActuals[Team 1 GD],tblActuals[Team 1],$CK9,tblActuals[Team 2],DY$3)</f>
        <v>0</v>
      </c>
      <c r="DZ9" s="56">
        <f>SUMIFS(tblActuals[Team 2 GD],tblActuals[Team 2],$CK9,tblActuals[Team 1],DZ$3)+SUMIFS(tblActuals[Team 1 GD],tblActuals[Team 1],$CK9,tblActuals[Team 2],DZ$3)</f>
        <v>0</v>
      </c>
      <c r="EA9" s="56">
        <f>SUMIFS(tblActuals[Team 2 GD],tblActuals[Team 2],$CK9,tblActuals[Team 1],EA$3)+SUMIFS(tblActuals[Team 1 GD],tblActuals[Team 1],$CK9,tblActuals[Team 2],EA$3)</f>
        <v>0</v>
      </c>
      <c r="EB9" s="56">
        <f>SUMIFS(tblActuals[Team 2 GD],tblActuals[Team 2],$CK9,tblActuals[Team 1],EB$3)+SUMIFS(tblActuals[Team 1 GD],tblActuals[Team 1],$CK9,tblActuals[Team 2],EB$3)</f>
        <v>0</v>
      </c>
      <c r="EC9" s="56">
        <f>SUMIFS(tblActuals[Team 2 GD],tblActuals[Team 2],$CK9,tblActuals[Team 1],EC$3)+SUMIFS(tblActuals[Team 1 GD],tblActuals[Team 1],$CK9,tblActuals[Team 2],EC$3)</f>
        <v>0</v>
      </c>
      <c r="ED9" s="56">
        <f>SUMIFS(tblActuals[Team 2 GD],tblActuals[Team 2],$CK9,tblActuals[Team 1],ED$3)+SUMIFS(tblActuals[Team 1 GD],tblActuals[Team 1],$CK9,tblActuals[Team 2],ED$3)</f>
        <v>0</v>
      </c>
      <c r="EE9" s="56">
        <f>SUMIFS(tblActuals[Team 2 GD],tblActuals[Team 2],$CK9,tblActuals[Team 1],EE$3)+SUMIFS(tblActuals[Team 1 GD],tblActuals[Team 1],$CK9,tblActuals[Team 2],EE$3)</f>
        <v>0</v>
      </c>
      <c r="EF9" s="56">
        <f>SUMIFS(tblActuals[Team 2 GD],tblActuals[Team 2],$CK9,tblActuals[Team 1],EF$3)+SUMIFS(tblActuals[Team 1 GD],tblActuals[Team 1],$CK9,tblActuals[Team 2],EF$3)</f>
        <v>0</v>
      </c>
      <c r="EG9" s="56">
        <f>SUMIFS(tblActuals[Team 2 GD],tblActuals[Team 2],$CK9,tblActuals[Team 1],EG$3)+SUMIFS(tblActuals[Team 1 GD],tblActuals[Team 1],$CK9,tblActuals[Team 2],EG$3)</f>
        <v>0</v>
      </c>
      <c r="EH9" s="56">
        <f>SUMIFS(tblActuals[Team 2 GD],tblActuals[Team 2],$CK9,tblActuals[Team 1],EH$3)+SUMIFS(tblActuals[Team 1 GD],tblActuals[Team 1],$CK9,tblActuals[Team 2],EH$3)</f>
        <v>0</v>
      </c>
      <c r="EI9" s="56">
        <f>SUMIFS(tblActuals[Team 2 GD],tblActuals[Team 2],$CK9,tblActuals[Team 1],EI$3)+SUMIFS(tblActuals[Team 1 GD],tblActuals[Team 1],$CK9,tblActuals[Team 2],EI$3)</f>
        <v>0</v>
      </c>
      <c r="EJ9" s="56">
        <f>SUMIFS(tblActuals[Team 2 GD],tblActuals[Team 2],$CK9,tblActuals[Team 1],EJ$3)+SUMIFS(tblActuals[Team 1 GD],tblActuals[Team 1],$CK9,tblActuals[Team 2],EJ$3)</f>
        <v>0</v>
      </c>
      <c r="EK9" s="56">
        <f>SUMIFS(tblActuals[Team 2 GD],tblActuals[Team 2],$CK9,tblActuals[Team 1],EK$3)+SUMIFS(tblActuals[Team 1 GD],tblActuals[Team 1],$CK9,tblActuals[Team 2],EK$3)</f>
        <v>0</v>
      </c>
      <c r="EL9" s="56">
        <f>SUMIFS(tblActuals[Team 2 GD],tblActuals[Team 2],$CK9,tblActuals[Team 1],EL$3)+SUMIFS(tblActuals[Team 1 GD],tblActuals[Team 1],$CK9,tblActuals[Team 2],EL$3)</f>
        <v>0</v>
      </c>
      <c r="EM9" s="56">
        <f>SUMIFS(tblActuals[Team 2 GD],tblActuals[Team 2],$CK9,tblActuals[Team 1],EM$3)+SUMIFS(tblActuals[Team 1 GD],tblActuals[Team 1],$CK9,tblActuals[Team 2],EM$3)</f>
        <v>0</v>
      </c>
      <c r="EN9" s="56">
        <f>SUMIFS(tblActuals[Team 2 GD],tblActuals[Team 2],$CK9,tblActuals[Team 1],EN$3)+SUMIFS(tblActuals[Team 1 GD],tblActuals[Team 1],$CK9,tblActuals[Team 2],EN$3)</f>
        <v>0</v>
      </c>
      <c r="EO9" s="56">
        <f>SUMIFS(tblActuals[Team 2 GD],tblActuals[Team 2],$CK9,tblActuals[Team 1],EO$3)+SUMIFS(tblActuals[Team 1 GD],tblActuals[Team 1],$CK9,tblActuals[Team 2],EO$3)</f>
        <v>0</v>
      </c>
      <c r="EP9" s="56">
        <f>SUMIFS(tblActuals[Team 2 GD],tblActuals[Team 2],$CK9,tblActuals[Team 1],EP$3)+SUMIFS(tblActuals[Team 1 GD],tblActuals[Team 1],$CK9,tblActuals[Team 2],EP$3)</f>
        <v>0</v>
      </c>
      <c r="EQ9" s="56">
        <f>SUMIFS(tblActuals[Team 2 GD],tblActuals[Team 2],$CK9,tblActuals[Team 1],EQ$3)+SUMIFS(tblActuals[Team 1 GD],tblActuals[Team 1],$CK9,tblActuals[Team 2],EQ$3)</f>
        <v>0</v>
      </c>
      <c r="ER9" s="57"/>
      <c r="ES9" s="57"/>
      <c r="ET9" s="57"/>
      <c r="EU9" s="57"/>
      <c r="EV9" s="57"/>
      <c r="EW9" s="57"/>
      <c r="EX9" s="57"/>
      <c r="EY9" s="57"/>
      <c r="EZ9" s="4"/>
      <c r="FA9" s="4" t="s">
        <v>33</v>
      </c>
      <c r="FB9" s="56">
        <f>SUMIFS(tblActuals[Team 2 Goals],tblActuals[Team 2],$CK9,tblActuals[Team 1],FB$3)+SUMIFS(tblActuals[Team 1 Goals],tblActuals[Team 1],$CK9,tblActuals[Team 2],FB$3)</f>
        <v>0</v>
      </c>
      <c r="FC9" s="56">
        <f>SUMIFS(tblActuals[Team 2 Goals],tblActuals[Team 2],$CK9,tblActuals[Team 1],FC$3)+SUMIFS(tblActuals[Team 1 Goals],tblActuals[Team 1],$CK9,tblActuals[Team 2],FC$3)</f>
        <v>0</v>
      </c>
      <c r="FD9" s="56">
        <f>SUMIFS(tblActuals[Team 2 Goals],tblActuals[Team 2],$CK9,tblActuals[Team 1],FD$3)+SUMIFS(tblActuals[Team 1 Goals],tblActuals[Team 1],$CK9,tblActuals[Team 2],FD$3)</f>
        <v>0</v>
      </c>
      <c r="FE9" s="56">
        <f>SUMIFS(tblActuals[Team 2 Goals],tblActuals[Team 2],$CK9,tblActuals[Team 1],FE$3)+SUMIFS(tblActuals[Team 1 Goals],tblActuals[Team 1],$CK9,tblActuals[Team 2],FE$3)</f>
        <v>0</v>
      </c>
      <c r="FF9" s="56">
        <f>SUMIFS(tblActuals[Team 2 Goals],tblActuals[Team 2],$CK9,tblActuals[Team 1],FF$3)+SUMIFS(tblActuals[Team 1 Goals],tblActuals[Team 1],$CK9,tblActuals[Team 2],FF$3)</f>
        <v>0</v>
      </c>
      <c r="FG9" s="56">
        <f>SUMIFS(tblActuals[Team 2 Goals],tblActuals[Team 2],$CK9,tblActuals[Team 1],FG$3)+SUMIFS(tblActuals[Team 1 Goals],tblActuals[Team 1],$CK9,tblActuals[Team 2],FG$3)</f>
        <v>0</v>
      </c>
      <c r="FH9" s="56">
        <f>SUMIFS(tblActuals[Team 2 Goals],tblActuals[Team 2],$CK9,tblActuals[Team 1],FH$3)+SUMIFS(tblActuals[Team 1 Goals],tblActuals[Team 1],$CK9,tblActuals[Team 2],FH$3)</f>
        <v>0</v>
      </c>
      <c r="FI9" s="56">
        <f>SUMIFS(tblActuals[Team 2 Goals],tblActuals[Team 2],$CK9,tblActuals[Team 1],FI$3)+SUMIFS(tblActuals[Team 1 Goals],tblActuals[Team 1],$CK9,tblActuals[Team 2],FI$3)</f>
        <v>0</v>
      </c>
      <c r="FJ9" s="56">
        <f>SUMIFS(tblActuals[Team 2 Goals],tblActuals[Team 2],$CK9,tblActuals[Team 1],FJ$3)+SUMIFS(tblActuals[Team 1 Goals],tblActuals[Team 1],$CK9,tblActuals[Team 2],FJ$3)</f>
        <v>0</v>
      </c>
      <c r="FK9" s="56">
        <f>SUMIFS(tblActuals[Team 2 Goals],tblActuals[Team 2],$CK9,tblActuals[Team 1],FK$3)+SUMIFS(tblActuals[Team 1 Goals],tblActuals[Team 1],$CK9,tblActuals[Team 2],FK$3)</f>
        <v>0</v>
      </c>
      <c r="FL9" s="56">
        <f>SUMIFS(tblActuals[Team 2 Goals],tblActuals[Team 2],$CK9,tblActuals[Team 1],FL$3)+SUMIFS(tblActuals[Team 1 Goals],tblActuals[Team 1],$CK9,tblActuals[Team 2],FL$3)</f>
        <v>0</v>
      </c>
      <c r="FM9" s="56">
        <f>SUMIFS(tblActuals[Team 2 Goals],tblActuals[Team 2],$CK9,tblActuals[Team 1],FM$3)+SUMIFS(tblActuals[Team 1 Goals],tblActuals[Team 1],$CK9,tblActuals[Team 2],FM$3)</f>
        <v>0</v>
      </c>
      <c r="FN9" s="56">
        <f>SUMIFS(tblActuals[Team 2 Goals],tblActuals[Team 2],$CK9,tblActuals[Team 1],FN$3)+SUMIFS(tblActuals[Team 1 Goals],tblActuals[Team 1],$CK9,tblActuals[Team 2],FN$3)</f>
        <v>0</v>
      </c>
      <c r="FO9" s="56">
        <f>SUMIFS(tblActuals[Team 2 Goals],tblActuals[Team 2],$CK9,tblActuals[Team 1],FO$3)+SUMIFS(tblActuals[Team 1 Goals],tblActuals[Team 1],$CK9,tblActuals[Team 2],FO$3)</f>
        <v>0</v>
      </c>
      <c r="FP9" s="56">
        <f>SUMIFS(tblActuals[Team 2 Goals],tblActuals[Team 2],$CK9,tblActuals[Team 1],FP$3)+SUMIFS(tblActuals[Team 1 Goals],tblActuals[Team 1],$CK9,tblActuals[Team 2],FP$3)</f>
        <v>0</v>
      </c>
      <c r="FQ9" s="56">
        <f>SUMIFS(tblActuals[Team 2 Goals],tblActuals[Team 2],$CK9,tblActuals[Team 1],FQ$3)+SUMIFS(tblActuals[Team 1 Goals],tblActuals[Team 1],$CK9,tblActuals[Team 2],FQ$3)</f>
        <v>0</v>
      </c>
      <c r="FR9" s="56">
        <f>SUMIFS(tblActuals[Team 2 Goals],tblActuals[Team 2],$CK9,tblActuals[Team 1],FR$3)+SUMIFS(tblActuals[Team 1 Goals],tblActuals[Team 1],$CK9,tblActuals[Team 2],FR$3)</f>
        <v>0</v>
      </c>
      <c r="FS9" s="56">
        <f>SUMIFS(tblActuals[Team 2 Goals],tblActuals[Team 2],$CK9,tblActuals[Team 1],FS$3)+SUMIFS(tblActuals[Team 1 Goals],tblActuals[Team 1],$CK9,tblActuals[Team 2],FS$3)</f>
        <v>0</v>
      </c>
      <c r="FT9" s="56">
        <f>SUMIFS(tblActuals[Team 2 Goals],tblActuals[Team 2],$CK9,tblActuals[Team 1],FT$3)+SUMIFS(tblActuals[Team 1 Goals],tblActuals[Team 1],$CK9,tblActuals[Team 2],FT$3)</f>
        <v>0</v>
      </c>
      <c r="FU9" s="56">
        <f>SUMIFS(tblActuals[Team 2 Goals],tblActuals[Team 2],$CK9,tblActuals[Team 1],FU$3)+SUMIFS(tblActuals[Team 1 Goals],tblActuals[Team 1],$CK9,tblActuals[Team 2],FU$3)</f>
        <v>0</v>
      </c>
      <c r="FV9" s="56">
        <f>SUMIFS(tblActuals[Team 2 Goals],tblActuals[Team 2],$CK9,tblActuals[Team 1],FV$3)+SUMIFS(tblActuals[Team 1 Goals],tblActuals[Team 1],$CK9,tblActuals[Team 2],FV$3)</f>
        <v>0</v>
      </c>
      <c r="FW9" s="56">
        <f>SUMIFS(tblActuals[Team 2 Goals],tblActuals[Team 2],$CK9,tblActuals[Team 1],FW$3)+SUMIFS(tblActuals[Team 1 Goals],tblActuals[Team 1],$CK9,tblActuals[Team 2],FW$3)</f>
        <v>0</v>
      </c>
      <c r="FX9" s="56">
        <f>SUMIFS(tblActuals[Team 2 Goals],tblActuals[Team 2],$CK9,tblActuals[Team 1],FX$3)+SUMIFS(tblActuals[Team 1 Goals],tblActuals[Team 1],$CK9,tblActuals[Team 2],FX$3)</f>
        <v>0</v>
      </c>
      <c r="FY9" s="56">
        <f>SUMIFS(tblActuals[Team 2 Goals],tblActuals[Team 2],$CK9,tblActuals[Team 1],FY$3)+SUMIFS(tblActuals[Team 1 Goals],tblActuals[Team 1],$CK9,tblActuals[Team 2],FY$3)</f>
        <v>0</v>
      </c>
      <c r="FZ9" s="57"/>
      <c r="GA9" s="57"/>
      <c r="GB9" s="37"/>
      <c r="GC9" s="37"/>
      <c r="GD9" s="37"/>
      <c r="GE9" s="37"/>
      <c r="GF9" s="37"/>
      <c r="GG9" s="37"/>
      <c r="GH9" s="75"/>
      <c r="GI9" s="156"/>
      <c r="GJ9" s="156"/>
      <c r="GK9" s="75"/>
      <c r="GL9" s="22"/>
      <c r="GM9" s="75"/>
      <c r="GN9" s="75"/>
      <c r="GO9" s="75"/>
      <c r="GP9" s="75"/>
      <c r="GR9" s="4" t="str">
        <f t="shared" si="12"/>
        <v>ABDF</v>
      </c>
      <c r="GS9" s="44" t="s">
        <v>1</v>
      </c>
      <c r="GT9" s="44" t="s">
        <v>5</v>
      </c>
      <c r="GU9" s="45"/>
      <c r="GV9" s="44" t="s">
        <v>7</v>
      </c>
      <c r="GW9" s="45"/>
      <c r="GX9" s="44" t="s">
        <v>45</v>
      </c>
      <c r="GY9" s="178"/>
      <c r="GZ9" s="45" t="s">
        <v>150</v>
      </c>
      <c r="HA9" s="45" t="s">
        <v>154</v>
      </c>
      <c r="HB9" s="45" t="s">
        <v>149</v>
      </c>
      <c r="HC9" s="45" t="s">
        <v>151</v>
      </c>
    </row>
    <row r="10" spans="1:211" s="11" customFormat="1" ht="30" customHeight="1" thickBot="1" x14ac:dyDescent="0.25">
      <c r="A10" s="20"/>
      <c r="B10" s="122">
        <v>7</v>
      </c>
      <c r="C10" s="122" t="s">
        <v>7</v>
      </c>
      <c r="D10" s="123">
        <v>45459</v>
      </c>
      <c r="E10" s="122" t="s">
        <v>84</v>
      </c>
      <c r="F10" s="124">
        <v>0.625</v>
      </c>
      <c r="G10" s="125">
        <f t="shared" si="8"/>
        <v>45459.375</v>
      </c>
      <c r="H10" s="122" t="s">
        <v>95</v>
      </c>
      <c r="I10" s="126"/>
      <c r="J10" s="118"/>
      <c r="K10" s="118"/>
      <c r="L10" s="119" t="str">
        <f>IF(tblActuals[[#This Row],[SCORE]]="","",IF(Q10=R10,"Draw",IF(Q10&gt;R10,M10,N10)))</f>
        <v/>
      </c>
      <c r="M10" s="120" t="str">
        <f>IF(tblActuals[[#This Row],[TEAMS]]="","",LEFT(H10,FIND(" -",H10,1)-1))</f>
        <v>Poland</v>
      </c>
      <c r="N10" s="120" t="str">
        <f>IF(tblActuals[[#This Row],[TEAMS]]="","",MID(H10,FIND("-",H10,1)+2,LEN(H10)-FIND("-",H10,1)+2))</f>
        <v>Netherlands</v>
      </c>
      <c r="O10" s="120" t="str">
        <f>IF(tblActuals[[#This Row],[Team 1 Goals]]&gt;tblActuals[[#This Row],[Team 2 Goals]],tblActuals[[#This Row],[Team 1]],IF(tblActuals[[#This Row],[Team 2 Goals]]&gt;tblActuals[[#This Row],[Team 1 Goals]],tblActuals[[#This Row],[Team 2]],""))</f>
        <v/>
      </c>
      <c r="P10" s="120" t="str">
        <f>IF(tblActuals[[#This Row],[Winner]]=tblActuals[[#This Row],[Team 1]],tblActuals[[#This Row],[Team 2]],IF(tblActuals[[#This Row],[Winner]]=tblActuals[[#This Row],[Team 2]],tblActuals[[#This Row],[Team 1]],""))</f>
        <v/>
      </c>
      <c r="Q10" s="120" t="str">
        <f>IF(tblActuals[[#This Row],[SCORE]]="","",LEFT(I10,FIND(":",I10,1)-1)*1)</f>
        <v/>
      </c>
      <c r="R10" s="120" t="str">
        <f>IF(tblActuals[[#This Row],[SCORE]]="","",MID(I10,FIND(":",I10,1)+1,LEN(I10)-FIND(":",I10,1)+1)*1)</f>
        <v/>
      </c>
      <c r="S10" s="120" t="str">
        <f>IF(OR(tblActuals[[#This Row],[Team 1 Goals]]="",tblActuals[[#This Row],[Team 2 Goals]]=""),"",tblActuals[[#This Row],[Team 1 Goals]]-tblActuals[[#This Row],[Team 2 Goals]])</f>
        <v/>
      </c>
      <c r="T10" s="120" t="str">
        <f>IF(OR(tblActuals[[#This Row],[Team 1 Goals]]="",tblActuals[[#This Row],[Team 2 Goals]]=""),"",tblActuals[[#This Row],[Team 2 Goals]]-tblActuals[[#This Row],[Team 1 Goals]])</f>
        <v/>
      </c>
      <c r="U10" s="120" t="str">
        <f>IF(tblActuals[[#This Row],[SCORE]]="","",IF(tblActuals[[#This Row],[WINNER / RESULT]]="Draw",1,IF(tblActuals[[#This Row],[WINNER / RESULT]]=tblActuals[[#This Row],[Team 1]],3,0)))</f>
        <v/>
      </c>
      <c r="V10" s="120" t="str">
        <f>IF(tblActuals[[#This Row],[SCORE]]="","",IF(tblActuals[[#This Row],[WINNER / RESULT]]="Draw",1,IF(tblActuals[[#This Row],[WINNER / RESULT]]=tblActuals[[#This Row],[Team 2]],3,0)))</f>
        <v/>
      </c>
      <c r="W10" s="121"/>
      <c r="X10" s="121"/>
      <c r="Y10" s="121"/>
      <c r="Z10" s="121"/>
      <c r="AA10" s="120" t="e">
        <f>tblActuals[[#This Row],[Team 1 Goals]]+tblActuals[[#This Row],[Team 1 ET Goals]]&amp;":"&amp;tblActuals[[#This Row],[Team 2 Goals]]+tblActuals[[#This Row],[Team 2 ET Goals]]</f>
        <v>#VALUE!</v>
      </c>
      <c r="AB10" s="120" t="e">
        <f>+tblActuals[[#This Row],[Team 1 Goals]]+tblActuals[[#This Row],[Team 2 Goals]]</f>
        <v>#VALUE!</v>
      </c>
      <c r="AC10" s="165">
        <f t="shared" si="0"/>
        <v>45459</v>
      </c>
      <c r="AD10" s="166">
        <f t="shared" si="9"/>
        <v>6</v>
      </c>
      <c r="AF10" s="38" t="s">
        <v>82</v>
      </c>
      <c r="AJ10" s="77"/>
      <c r="AK10" s="148"/>
      <c r="AL10" s="148"/>
      <c r="AM10" s="148"/>
      <c r="AN10" s="148"/>
      <c r="AO10" s="148"/>
      <c r="AP10" s="75"/>
      <c r="AQ10" s="42"/>
      <c r="AR10" s="4"/>
      <c r="AS10" s="4" t="s">
        <v>5</v>
      </c>
      <c r="AT10" s="4" t="s">
        <v>33</v>
      </c>
      <c r="AU10" s="4">
        <f>COUNTIF(tblActuals[Winner],AT10)</f>
        <v>0</v>
      </c>
      <c r="AV10" s="4">
        <f>COUNTIFS(tblActuals[Team 2],AT10,tblActuals[WINNER / RESULT],"Draw")+COUNTIFS(tblActuals[Team 1],AT10,tblActuals[WINNER / RESULT],"Draw")</f>
        <v>0</v>
      </c>
      <c r="AW10" s="4">
        <f>COUNTIF(tblActuals[Loser],AT10)</f>
        <v>0</v>
      </c>
      <c r="AX10" s="4">
        <f>AV10+(3*AU10)</f>
        <v>0</v>
      </c>
      <c r="AY10" s="4">
        <f>SUMIFS(tblActuals[Team 1 Goals],tblActuals[Team 1],AT10)+SUMIFS(tblActuals[Team 2 Goals],tblActuals[Team 2],AT10)</f>
        <v>0</v>
      </c>
      <c r="AZ10" s="4">
        <f>SUMIFS(tblActuals[Team 2 Goals],tblActuals[Team 1],AT10)+SUMIFS(tblActuals[Team 1 Goals],tblActuals[Team 2],AT10)</f>
        <v>0</v>
      </c>
      <c r="BA10" s="4">
        <f>AY10-AZ10</f>
        <v>0</v>
      </c>
      <c r="BB10" s="4">
        <f ca="1">RANK(BO10,$BO$9:$BO$12,1)</f>
        <v>2</v>
      </c>
      <c r="BC10" s="4" t="str">
        <f t="shared" si="1"/>
        <v/>
      </c>
      <c r="BD10" s="4" t="str">
        <f ca="1">IF(BC10="",BB10&amp;AS10,BC10&amp;AS10)</f>
        <v>2B</v>
      </c>
      <c r="BE10" s="4">
        <f>RANK(AX10,$AX$9:$AX$12,0)</f>
        <v>1</v>
      </c>
      <c r="BF10" s="4" cm="1">
        <f t="array" aca="1" ref="BF10" ca="1">SUMPRODUCT((OFFSET($CL$3:$DQ$3,MATCH($AT10,$CK$4:$CK$35,0),0))*((IF($BE11=$BE10,$CL$3:$DQ$3=$AT11,0))+(IF($BE12=$BE10,$CL$3:$DQ$3=$AT12,0))+(IF($BE9=$BE10,$CL$3:$DQ$3=$AT9,0))))</f>
        <v>0</v>
      </c>
      <c r="BG10" s="4" cm="1">
        <f t="array" aca="1" ref="BG10" ca="1">SUMPRODUCT((OFFSET($DT$3:$EY$3,MATCH($AT10,$DS$4:$DS$35,0),0))*((IF($BE11=$BE10,$DT$3:$EY$3=$AT11,0))+(IF($BE12=$BE10,$DT$3:$EY$3=$AT12,0))+(IF($BE9=$BE10,$DT$3:$EY$3=$AT9,0))))</f>
        <v>0</v>
      </c>
      <c r="BH10" s="4" cm="1">
        <f t="array" aca="1" ref="BH10" ca="1">SUMPRODUCT((OFFSET($FB$3:$GG$3,MATCH($AT10,$FA$4:$FA$35,0),0))*((IF($BE11=$BE10,$FB$3:$GG$3=$AT11,0))+(IF($BE12=$BE10,$FB$3:$GG$3=$AT12,0))+(IF($BE9=$BE10,$FB$3:$GG$3=$AT9,0))))</f>
        <v>0</v>
      </c>
      <c r="BI10" s="4" cm="1">
        <f t="array" aca="1" ref="BI10" ca="1">SUMPRODUCT((OFFSET($CL$3:$DQ$3,MATCH($AT10,$CK$4:$CK$35,0),0))*((IF($BE11&lt;&gt;$BE10,$CL$3:$DQ$3=$AT11,0))+(IF($BE12&lt;&gt;$BE10,$CL$3:$DQ$3=$AT12,0))+(IF($BE9&lt;&gt;$BE10,$CL$3:$DQ$3=$AT9,0))))</f>
        <v>0</v>
      </c>
      <c r="BJ10" s="4" cm="1">
        <f t="array" aca="1" ref="BJ10" ca="1">SUMPRODUCT((OFFSET($DT$3:$EY$3,MATCH($AT10,$DS$4:$DS$35,0),0))*((IF($BE11&lt;&gt;$BE10,$DT$3:$EY$3=$AT11,0))+(IF($BE12&lt;&gt;$BE10,$DT$3:$EY$3=$AT12,0))+(IF($BE9&lt;&gt;$BE10,$DT$3:$EY$3=$AT9,0))))</f>
        <v>0</v>
      </c>
      <c r="BK10" s="4" cm="1">
        <f t="array" aca="1" ref="BK10" ca="1">SUMPRODUCT((OFFSET($FB$3:$GG$3,MATCH($AT10,$FA$4:$FA$35,0),0))*((IF($BE11&lt;&gt;$BE10,$FB$3:$GG$3=$AT11,0))+(IF($BE12&lt;&gt;$BE10,$FB$3:$GG$3=$AT12,0))+(IF($BE9&lt;&gt;$BE10,$FB$3:$GG$3=$AT9,0))))</f>
        <v>0</v>
      </c>
      <c r="BL10" s="4">
        <f t="shared" si="10"/>
        <v>0</v>
      </c>
      <c r="BM10" s="4">
        <f t="shared" si="11"/>
        <v>0</v>
      </c>
      <c r="BN10" s="4">
        <f ca="1">(BF10/10)+(BG10/100)+(BH10/1000)+(BJ10/10000)+(BK10/100000)+(BL10/1000000)+(BM10/10000000)+(ROW(BI11)/100000000)</f>
        <v>1.1000000000000001E-7</v>
      </c>
      <c r="BO10" s="4">
        <f ca="1">+BE10-BN10</f>
        <v>0.99999989</v>
      </c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K10" s="4" t="s">
        <v>126</v>
      </c>
      <c r="CL10" s="56">
        <f>SUMIFS(tblActuals[Team 2 Points],tblActuals[Team 2],$CK10,tblActuals[Team 1],CL$3)+SUMIFS(tblActuals[Team 1 Points],tblActuals[Team 1],$CK10,tblActuals[Team 2],CL$3)</f>
        <v>0</v>
      </c>
      <c r="CM10" s="56">
        <f>SUMIFS(tblActuals[Team 2 Points],tblActuals[Team 2],$CK10,tblActuals[Team 1],CM$3)+SUMIFS(tblActuals[Team 1 Points],tblActuals[Team 1],$CK10,tblActuals[Team 2],CM$3)</f>
        <v>0</v>
      </c>
      <c r="CN10" s="56">
        <f>SUMIFS(tblActuals[Team 2 Points],tblActuals[Team 2],$CK10,tblActuals[Team 1],CN$3)+SUMIFS(tblActuals[Team 1 Points],tblActuals[Team 1],$CK10,tblActuals[Team 2],CN$3)</f>
        <v>0</v>
      </c>
      <c r="CO10" s="56">
        <f>SUMIFS(tblActuals[Team 2 Points],tblActuals[Team 2],$CK10,tblActuals[Team 1],CO$3)+SUMIFS(tblActuals[Team 1 Points],tblActuals[Team 1],$CK10,tblActuals[Team 2],CO$3)</f>
        <v>0</v>
      </c>
      <c r="CP10" s="56">
        <f>SUMIFS(tblActuals[Team 2 Points],tblActuals[Team 2],$CK10,tblActuals[Team 1],CP$3)+SUMIFS(tblActuals[Team 1 Points],tblActuals[Team 1],$CK10,tblActuals[Team 2],CP$3)</f>
        <v>0</v>
      </c>
      <c r="CQ10" s="56">
        <f>SUMIFS(tblActuals[Team 2 Points],tblActuals[Team 2],$CK10,tblActuals[Team 1],CQ$3)+SUMIFS(tblActuals[Team 1 Points],tblActuals[Team 1],$CK10,tblActuals[Team 2],CQ$3)</f>
        <v>0</v>
      </c>
      <c r="CR10" s="56">
        <f>SUMIFS(tblActuals[Team 2 Points],tblActuals[Team 2],$CK10,tblActuals[Team 1],CR$3)+SUMIFS(tblActuals[Team 1 Points],tblActuals[Team 1],$CK10,tblActuals[Team 2],CR$3)</f>
        <v>0</v>
      </c>
      <c r="CS10" s="56">
        <f>SUMIFS(tblActuals[Team 2 Points],tblActuals[Team 2],$CK10,tblActuals[Team 1],CS$3)+SUMIFS(tblActuals[Team 1 Points],tblActuals[Team 1],$CK10,tblActuals[Team 2],CS$3)</f>
        <v>0</v>
      </c>
      <c r="CT10" s="56">
        <f>SUMIFS(tblActuals[Team 2 Points],tblActuals[Team 2],$CK10,tblActuals[Team 1],CT$3)+SUMIFS(tblActuals[Team 1 Points],tblActuals[Team 1],$CK10,tblActuals[Team 2],CT$3)</f>
        <v>0</v>
      </c>
      <c r="CU10" s="56">
        <f>SUMIFS(tblActuals[Team 2 Points],tblActuals[Team 2],$CK10,tblActuals[Team 1],CU$3)+SUMIFS(tblActuals[Team 1 Points],tblActuals[Team 1],$CK10,tblActuals[Team 2],CU$3)</f>
        <v>0</v>
      </c>
      <c r="CV10" s="56">
        <f>SUMIFS(tblActuals[Team 2 Points],tblActuals[Team 2],$CK10,tblActuals[Team 1],CV$3)+SUMIFS(tblActuals[Team 1 Points],tblActuals[Team 1],$CK10,tblActuals[Team 2],CV$3)</f>
        <v>0</v>
      </c>
      <c r="CW10" s="56">
        <f>SUMIFS(tblActuals[Team 2 Points],tblActuals[Team 2],$CK10,tblActuals[Team 1],CW$3)+SUMIFS(tblActuals[Team 1 Points],tblActuals[Team 1],$CK10,tblActuals[Team 2],CW$3)</f>
        <v>0</v>
      </c>
      <c r="CX10" s="56">
        <f>SUMIFS(tblActuals[Team 2 Points],tblActuals[Team 2],$CK10,tblActuals[Team 1],CX$3)+SUMIFS(tblActuals[Team 1 Points],tblActuals[Team 1],$CK10,tblActuals[Team 2],CX$3)</f>
        <v>0</v>
      </c>
      <c r="CY10" s="56">
        <f>SUMIFS(tblActuals[Team 2 Points],tblActuals[Team 2],$CK10,tblActuals[Team 1],CY$3)+SUMIFS(tblActuals[Team 1 Points],tblActuals[Team 1],$CK10,tblActuals[Team 2],CY$3)</f>
        <v>0</v>
      </c>
      <c r="CZ10" s="56">
        <f>SUMIFS(tblActuals[Team 2 Points],tblActuals[Team 2],$CK10,tblActuals[Team 1],CZ$3)+SUMIFS(tblActuals[Team 1 Points],tblActuals[Team 1],$CK10,tblActuals[Team 2],CZ$3)</f>
        <v>0</v>
      </c>
      <c r="DA10" s="56">
        <f>SUMIFS(tblActuals[Team 2 Points],tblActuals[Team 2],$CK10,tblActuals[Team 1],DA$3)+SUMIFS(tblActuals[Team 1 Points],tblActuals[Team 1],$CK10,tblActuals[Team 2],DA$3)</f>
        <v>0</v>
      </c>
      <c r="DB10" s="56">
        <f>SUMIFS(tblActuals[Team 2 Points],tblActuals[Team 2],$CK10,tblActuals[Team 1],DB$3)+SUMIFS(tblActuals[Team 1 Points],tblActuals[Team 1],$CK10,tblActuals[Team 2],DB$3)</f>
        <v>0</v>
      </c>
      <c r="DC10" s="56">
        <f>SUMIFS(tblActuals[Team 2 Points],tblActuals[Team 2],$CK10,tblActuals[Team 1],DC$3)+SUMIFS(tblActuals[Team 1 Points],tblActuals[Team 1],$CK10,tblActuals[Team 2],DC$3)</f>
        <v>0</v>
      </c>
      <c r="DD10" s="56">
        <f>SUMIFS(tblActuals[Team 2 Points],tblActuals[Team 2],$CK10,tblActuals[Team 1],DD$3)+SUMIFS(tblActuals[Team 1 Points],tblActuals[Team 1],$CK10,tblActuals[Team 2],DD$3)</f>
        <v>0</v>
      </c>
      <c r="DE10" s="56">
        <f>SUMIFS(tblActuals[Team 2 Points],tblActuals[Team 2],$CK10,tblActuals[Team 1],DE$3)+SUMIFS(tblActuals[Team 1 Points],tblActuals[Team 1],$CK10,tblActuals[Team 2],DE$3)</f>
        <v>0</v>
      </c>
      <c r="DF10" s="56">
        <f>SUMIFS(tblActuals[Team 2 Points],tblActuals[Team 2],$CK10,tblActuals[Team 1],DF$3)+SUMIFS(tblActuals[Team 1 Points],tblActuals[Team 1],$CK10,tblActuals[Team 2],DF$3)</f>
        <v>0</v>
      </c>
      <c r="DG10" s="56">
        <f>SUMIFS(tblActuals[Team 2 Points],tblActuals[Team 2],$CK10,tblActuals[Team 1],DG$3)+SUMIFS(tblActuals[Team 1 Points],tblActuals[Team 1],$CK10,tblActuals[Team 2],DG$3)</f>
        <v>0</v>
      </c>
      <c r="DH10" s="56">
        <f>SUMIFS(tblActuals[Team 2 Points],tblActuals[Team 2],$CK10,tblActuals[Team 1],DH$3)+SUMIFS(tblActuals[Team 1 Points],tblActuals[Team 1],$CK10,tblActuals[Team 2],DH$3)</f>
        <v>0</v>
      </c>
      <c r="DI10" s="56">
        <f>SUMIFS(tblActuals[Team 2 Points],tblActuals[Team 2],$CK10,tblActuals[Team 1],DI$3)+SUMIFS(tblActuals[Team 1 Points],tblActuals[Team 1],$CK10,tblActuals[Team 2],DI$3)</f>
        <v>0</v>
      </c>
      <c r="DJ10" s="57"/>
      <c r="DK10" s="57"/>
      <c r="DL10" s="57"/>
      <c r="DM10" s="57"/>
      <c r="DN10" s="57"/>
      <c r="DO10" s="57"/>
      <c r="DP10" s="57"/>
      <c r="DQ10" s="57"/>
      <c r="DR10" s="4"/>
      <c r="DS10" s="4" t="s">
        <v>126</v>
      </c>
      <c r="DT10" s="56">
        <f>SUMIFS(tblActuals[Team 2 GD],tblActuals[Team 2],$CK10,tblActuals[Team 1],DT$3)+SUMIFS(tblActuals[Team 1 GD],tblActuals[Team 1],$CK10,tblActuals[Team 2],DT$3)</f>
        <v>0</v>
      </c>
      <c r="DU10" s="56">
        <f>SUMIFS(tblActuals[Team 2 GD],tblActuals[Team 2],$CK10,tblActuals[Team 1],DU$3)+SUMIFS(tblActuals[Team 1 GD],tblActuals[Team 1],$CK10,tblActuals[Team 2],DU$3)</f>
        <v>0</v>
      </c>
      <c r="DV10" s="56">
        <f>SUMIFS(tblActuals[Team 2 GD],tblActuals[Team 2],$CK10,tblActuals[Team 1],DV$3)+SUMIFS(tblActuals[Team 1 GD],tblActuals[Team 1],$CK10,tblActuals[Team 2],DV$3)</f>
        <v>0</v>
      </c>
      <c r="DW10" s="56">
        <f>SUMIFS(tblActuals[Team 2 GD],tblActuals[Team 2],$CK10,tblActuals[Team 1],DW$3)+SUMIFS(tblActuals[Team 1 GD],tblActuals[Team 1],$CK10,tblActuals[Team 2],DW$3)</f>
        <v>0</v>
      </c>
      <c r="DX10" s="56">
        <f>SUMIFS(tblActuals[Team 2 GD],tblActuals[Team 2],$CK10,tblActuals[Team 1],DX$3)+SUMIFS(tblActuals[Team 1 GD],tblActuals[Team 1],$CK10,tblActuals[Team 2],DX$3)</f>
        <v>0</v>
      </c>
      <c r="DY10" s="56">
        <f>SUMIFS(tblActuals[Team 2 GD],tblActuals[Team 2],$CK10,tblActuals[Team 1],DY$3)+SUMIFS(tblActuals[Team 1 GD],tblActuals[Team 1],$CK10,tblActuals[Team 2],DY$3)</f>
        <v>0</v>
      </c>
      <c r="DZ10" s="56">
        <f>SUMIFS(tblActuals[Team 2 GD],tblActuals[Team 2],$CK10,tblActuals[Team 1],DZ$3)+SUMIFS(tblActuals[Team 1 GD],tblActuals[Team 1],$CK10,tblActuals[Team 2],DZ$3)</f>
        <v>0</v>
      </c>
      <c r="EA10" s="56">
        <f>SUMIFS(tblActuals[Team 2 GD],tblActuals[Team 2],$CK10,tblActuals[Team 1],EA$3)+SUMIFS(tblActuals[Team 1 GD],tblActuals[Team 1],$CK10,tblActuals[Team 2],EA$3)</f>
        <v>0</v>
      </c>
      <c r="EB10" s="56">
        <f>SUMIFS(tblActuals[Team 2 GD],tblActuals[Team 2],$CK10,tblActuals[Team 1],EB$3)+SUMIFS(tblActuals[Team 1 GD],tblActuals[Team 1],$CK10,tblActuals[Team 2],EB$3)</f>
        <v>0</v>
      </c>
      <c r="EC10" s="56">
        <f>SUMIFS(tblActuals[Team 2 GD],tblActuals[Team 2],$CK10,tblActuals[Team 1],EC$3)+SUMIFS(tblActuals[Team 1 GD],tblActuals[Team 1],$CK10,tblActuals[Team 2],EC$3)</f>
        <v>0</v>
      </c>
      <c r="ED10" s="56">
        <f>SUMIFS(tblActuals[Team 2 GD],tblActuals[Team 2],$CK10,tblActuals[Team 1],ED$3)+SUMIFS(tblActuals[Team 1 GD],tblActuals[Team 1],$CK10,tblActuals[Team 2],ED$3)</f>
        <v>0</v>
      </c>
      <c r="EE10" s="56">
        <f>SUMIFS(tblActuals[Team 2 GD],tblActuals[Team 2],$CK10,tblActuals[Team 1],EE$3)+SUMIFS(tblActuals[Team 1 GD],tblActuals[Team 1],$CK10,tblActuals[Team 2],EE$3)</f>
        <v>0</v>
      </c>
      <c r="EF10" s="56">
        <f>SUMIFS(tblActuals[Team 2 GD],tblActuals[Team 2],$CK10,tblActuals[Team 1],EF$3)+SUMIFS(tblActuals[Team 1 GD],tblActuals[Team 1],$CK10,tblActuals[Team 2],EF$3)</f>
        <v>0</v>
      </c>
      <c r="EG10" s="56">
        <f>SUMIFS(tblActuals[Team 2 GD],tblActuals[Team 2],$CK10,tblActuals[Team 1],EG$3)+SUMIFS(tblActuals[Team 1 GD],tblActuals[Team 1],$CK10,tblActuals[Team 2],EG$3)</f>
        <v>0</v>
      </c>
      <c r="EH10" s="56">
        <f>SUMIFS(tblActuals[Team 2 GD],tblActuals[Team 2],$CK10,tblActuals[Team 1],EH$3)+SUMIFS(tblActuals[Team 1 GD],tblActuals[Team 1],$CK10,tblActuals[Team 2],EH$3)</f>
        <v>0</v>
      </c>
      <c r="EI10" s="56">
        <f>SUMIFS(tblActuals[Team 2 GD],tblActuals[Team 2],$CK10,tblActuals[Team 1],EI$3)+SUMIFS(tblActuals[Team 1 GD],tblActuals[Team 1],$CK10,tblActuals[Team 2],EI$3)</f>
        <v>0</v>
      </c>
      <c r="EJ10" s="56">
        <f>SUMIFS(tblActuals[Team 2 GD],tblActuals[Team 2],$CK10,tblActuals[Team 1],EJ$3)+SUMIFS(tblActuals[Team 1 GD],tblActuals[Team 1],$CK10,tblActuals[Team 2],EJ$3)</f>
        <v>0</v>
      </c>
      <c r="EK10" s="56">
        <f>SUMIFS(tblActuals[Team 2 GD],tblActuals[Team 2],$CK10,tblActuals[Team 1],EK$3)+SUMIFS(tblActuals[Team 1 GD],tblActuals[Team 1],$CK10,tblActuals[Team 2],EK$3)</f>
        <v>0</v>
      </c>
      <c r="EL10" s="56">
        <f>SUMIFS(tblActuals[Team 2 GD],tblActuals[Team 2],$CK10,tblActuals[Team 1],EL$3)+SUMIFS(tblActuals[Team 1 GD],tblActuals[Team 1],$CK10,tblActuals[Team 2],EL$3)</f>
        <v>0</v>
      </c>
      <c r="EM10" s="56">
        <f>SUMIFS(tblActuals[Team 2 GD],tblActuals[Team 2],$CK10,tblActuals[Team 1],EM$3)+SUMIFS(tblActuals[Team 1 GD],tblActuals[Team 1],$CK10,tblActuals[Team 2],EM$3)</f>
        <v>0</v>
      </c>
      <c r="EN10" s="56">
        <f>SUMIFS(tblActuals[Team 2 GD],tblActuals[Team 2],$CK10,tblActuals[Team 1],EN$3)+SUMIFS(tblActuals[Team 1 GD],tblActuals[Team 1],$CK10,tblActuals[Team 2],EN$3)</f>
        <v>0</v>
      </c>
      <c r="EO10" s="56">
        <f>SUMIFS(tblActuals[Team 2 GD],tblActuals[Team 2],$CK10,tblActuals[Team 1],EO$3)+SUMIFS(tblActuals[Team 1 GD],tblActuals[Team 1],$CK10,tblActuals[Team 2],EO$3)</f>
        <v>0</v>
      </c>
      <c r="EP10" s="56">
        <f>SUMIFS(tblActuals[Team 2 GD],tblActuals[Team 2],$CK10,tblActuals[Team 1],EP$3)+SUMIFS(tblActuals[Team 1 GD],tblActuals[Team 1],$CK10,tblActuals[Team 2],EP$3)</f>
        <v>0</v>
      </c>
      <c r="EQ10" s="56">
        <f>SUMIFS(tblActuals[Team 2 GD],tblActuals[Team 2],$CK10,tblActuals[Team 1],EQ$3)+SUMIFS(tblActuals[Team 1 GD],tblActuals[Team 1],$CK10,tblActuals[Team 2],EQ$3)</f>
        <v>0</v>
      </c>
      <c r="ER10" s="57"/>
      <c r="ES10" s="57"/>
      <c r="ET10" s="57"/>
      <c r="EU10" s="57"/>
      <c r="EV10" s="57"/>
      <c r="EW10" s="57"/>
      <c r="EX10" s="57"/>
      <c r="EY10" s="57"/>
      <c r="EZ10" s="4"/>
      <c r="FA10" s="4" t="s">
        <v>126</v>
      </c>
      <c r="FB10" s="56">
        <f>SUMIFS(tblActuals[Team 2 Goals],tblActuals[Team 2],$CK10,tblActuals[Team 1],FB$3)+SUMIFS(tblActuals[Team 1 Goals],tblActuals[Team 1],$CK10,tblActuals[Team 2],FB$3)</f>
        <v>0</v>
      </c>
      <c r="FC10" s="56">
        <f>SUMIFS(tblActuals[Team 2 Goals],tblActuals[Team 2],$CK10,tblActuals[Team 1],FC$3)+SUMIFS(tblActuals[Team 1 Goals],tblActuals[Team 1],$CK10,tblActuals[Team 2],FC$3)</f>
        <v>0</v>
      </c>
      <c r="FD10" s="56">
        <f>SUMIFS(tblActuals[Team 2 Goals],tblActuals[Team 2],$CK10,tblActuals[Team 1],FD$3)+SUMIFS(tblActuals[Team 1 Goals],tblActuals[Team 1],$CK10,tblActuals[Team 2],FD$3)</f>
        <v>0</v>
      </c>
      <c r="FE10" s="56">
        <f>SUMIFS(tblActuals[Team 2 Goals],tblActuals[Team 2],$CK10,tblActuals[Team 1],FE$3)+SUMIFS(tblActuals[Team 1 Goals],tblActuals[Team 1],$CK10,tblActuals[Team 2],FE$3)</f>
        <v>0</v>
      </c>
      <c r="FF10" s="56">
        <f>SUMIFS(tblActuals[Team 2 Goals],tblActuals[Team 2],$CK10,tblActuals[Team 1],FF$3)+SUMIFS(tblActuals[Team 1 Goals],tblActuals[Team 1],$CK10,tblActuals[Team 2],FF$3)</f>
        <v>0</v>
      </c>
      <c r="FG10" s="56">
        <f>SUMIFS(tblActuals[Team 2 Goals],tblActuals[Team 2],$CK10,tblActuals[Team 1],FG$3)+SUMIFS(tblActuals[Team 1 Goals],tblActuals[Team 1],$CK10,tblActuals[Team 2],FG$3)</f>
        <v>0</v>
      </c>
      <c r="FH10" s="56">
        <f>SUMIFS(tblActuals[Team 2 Goals],tblActuals[Team 2],$CK10,tblActuals[Team 1],FH$3)+SUMIFS(tblActuals[Team 1 Goals],tblActuals[Team 1],$CK10,tblActuals[Team 2],FH$3)</f>
        <v>0</v>
      </c>
      <c r="FI10" s="56">
        <f>SUMIFS(tblActuals[Team 2 Goals],tblActuals[Team 2],$CK10,tblActuals[Team 1],FI$3)+SUMIFS(tblActuals[Team 1 Goals],tblActuals[Team 1],$CK10,tblActuals[Team 2],FI$3)</f>
        <v>0</v>
      </c>
      <c r="FJ10" s="56">
        <f>SUMIFS(tblActuals[Team 2 Goals],tblActuals[Team 2],$CK10,tblActuals[Team 1],FJ$3)+SUMIFS(tblActuals[Team 1 Goals],tblActuals[Team 1],$CK10,tblActuals[Team 2],FJ$3)</f>
        <v>0</v>
      </c>
      <c r="FK10" s="56">
        <f>SUMIFS(tblActuals[Team 2 Goals],tblActuals[Team 2],$CK10,tblActuals[Team 1],FK$3)+SUMIFS(tblActuals[Team 1 Goals],tblActuals[Team 1],$CK10,tblActuals[Team 2],FK$3)</f>
        <v>0</v>
      </c>
      <c r="FL10" s="56">
        <f>SUMIFS(tblActuals[Team 2 Goals],tblActuals[Team 2],$CK10,tblActuals[Team 1],FL$3)+SUMIFS(tblActuals[Team 1 Goals],tblActuals[Team 1],$CK10,tblActuals[Team 2],FL$3)</f>
        <v>0</v>
      </c>
      <c r="FM10" s="56">
        <f>SUMIFS(tblActuals[Team 2 Goals],tblActuals[Team 2],$CK10,tblActuals[Team 1],FM$3)+SUMIFS(tblActuals[Team 1 Goals],tblActuals[Team 1],$CK10,tblActuals[Team 2],FM$3)</f>
        <v>0</v>
      </c>
      <c r="FN10" s="56">
        <f>SUMIFS(tblActuals[Team 2 Goals],tblActuals[Team 2],$CK10,tblActuals[Team 1],FN$3)+SUMIFS(tblActuals[Team 1 Goals],tblActuals[Team 1],$CK10,tblActuals[Team 2],FN$3)</f>
        <v>0</v>
      </c>
      <c r="FO10" s="56">
        <f>SUMIFS(tblActuals[Team 2 Goals],tblActuals[Team 2],$CK10,tblActuals[Team 1],FO$3)+SUMIFS(tblActuals[Team 1 Goals],tblActuals[Team 1],$CK10,tblActuals[Team 2],FO$3)</f>
        <v>0</v>
      </c>
      <c r="FP10" s="56">
        <f>SUMIFS(tblActuals[Team 2 Goals],tblActuals[Team 2],$CK10,tblActuals[Team 1],FP$3)+SUMIFS(tblActuals[Team 1 Goals],tblActuals[Team 1],$CK10,tblActuals[Team 2],FP$3)</f>
        <v>0</v>
      </c>
      <c r="FQ10" s="56">
        <f>SUMIFS(tblActuals[Team 2 Goals],tblActuals[Team 2],$CK10,tblActuals[Team 1],FQ$3)+SUMIFS(tblActuals[Team 1 Goals],tblActuals[Team 1],$CK10,tblActuals[Team 2],FQ$3)</f>
        <v>0</v>
      </c>
      <c r="FR10" s="56">
        <f>SUMIFS(tblActuals[Team 2 Goals],tblActuals[Team 2],$CK10,tblActuals[Team 1],FR$3)+SUMIFS(tblActuals[Team 1 Goals],tblActuals[Team 1],$CK10,tblActuals[Team 2],FR$3)</f>
        <v>0</v>
      </c>
      <c r="FS10" s="56">
        <f>SUMIFS(tblActuals[Team 2 Goals],tblActuals[Team 2],$CK10,tblActuals[Team 1],FS$3)+SUMIFS(tblActuals[Team 1 Goals],tblActuals[Team 1],$CK10,tblActuals[Team 2],FS$3)</f>
        <v>0</v>
      </c>
      <c r="FT10" s="56">
        <f>SUMIFS(tblActuals[Team 2 Goals],tblActuals[Team 2],$CK10,tblActuals[Team 1],FT$3)+SUMIFS(tblActuals[Team 1 Goals],tblActuals[Team 1],$CK10,tblActuals[Team 2],FT$3)</f>
        <v>0</v>
      </c>
      <c r="FU10" s="56">
        <f>SUMIFS(tblActuals[Team 2 Goals],tblActuals[Team 2],$CK10,tblActuals[Team 1],FU$3)+SUMIFS(tblActuals[Team 1 Goals],tblActuals[Team 1],$CK10,tblActuals[Team 2],FU$3)</f>
        <v>0</v>
      </c>
      <c r="FV10" s="56">
        <f>SUMIFS(tblActuals[Team 2 Goals],tblActuals[Team 2],$CK10,tblActuals[Team 1],FV$3)+SUMIFS(tblActuals[Team 1 Goals],tblActuals[Team 1],$CK10,tblActuals[Team 2],FV$3)</f>
        <v>0</v>
      </c>
      <c r="FW10" s="56">
        <f>SUMIFS(tblActuals[Team 2 Goals],tblActuals[Team 2],$CK10,tblActuals[Team 1],FW$3)+SUMIFS(tblActuals[Team 1 Goals],tblActuals[Team 1],$CK10,tblActuals[Team 2],FW$3)</f>
        <v>0</v>
      </c>
      <c r="FX10" s="56">
        <f>SUMIFS(tblActuals[Team 2 Goals],tblActuals[Team 2],$CK10,tblActuals[Team 1],FX$3)+SUMIFS(tblActuals[Team 1 Goals],tblActuals[Team 1],$CK10,tblActuals[Team 2],FX$3)</f>
        <v>0</v>
      </c>
      <c r="FY10" s="56">
        <f>SUMIFS(tblActuals[Team 2 Goals],tblActuals[Team 2],$CK10,tblActuals[Team 1],FY$3)+SUMIFS(tblActuals[Team 1 Goals],tblActuals[Team 1],$CK10,tblActuals[Team 2],FY$3)</f>
        <v>0</v>
      </c>
      <c r="FZ10" s="57"/>
      <c r="GA10" s="57"/>
      <c r="GB10" s="37"/>
      <c r="GC10" s="37"/>
      <c r="GD10" s="37"/>
      <c r="GE10" s="37"/>
      <c r="GF10" s="37"/>
      <c r="GG10" s="37"/>
      <c r="GH10" s="75"/>
      <c r="GI10" s="156"/>
      <c r="GJ10" s="156"/>
      <c r="GK10" s="75"/>
      <c r="GM10" s="75"/>
      <c r="GN10" s="75"/>
      <c r="GO10" s="75"/>
      <c r="GP10" s="75"/>
      <c r="GR10" s="4" t="str">
        <f t="shared" si="12"/>
        <v>ABEF</v>
      </c>
      <c r="GS10" s="44" t="s">
        <v>1</v>
      </c>
      <c r="GT10" s="44" t="s">
        <v>5</v>
      </c>
      <c r="GU10" s="45"/>
      <c r="GV10" s="45"/>
      <c r="GW10" s="44" t="s">
        <v>12</v>
      </c>
      <c r="GX10" s="44" t="s">
        <v>45</v>
      </c>
      <c r="GY10" s="178"/>
      <c r="GZ10" s="45" t="s">
        <v>153</v>
      </c>
      <c r="HA10" s="45" t="s">
        <v>154</v>
      </c>
      <c r="HB10" s="45" t="s">
        <v>151</v>
      </c>
      <c r="HC10" s="45" t="s">
        <v>149</v>
      </c>
    </row>
    <row r="11" spans="1:211" s="11" customFormat="1" ht="30" customHeight="1" thickBot="1" x14ac:dyDescent="0.25">
      <c r="A11" s="20"/>
      <c r="B11" s="122">
        <v>8</v>
      </c>
      <c r="C11" s="122" t="s">
        <v>7</v>
      </c>
      <c r="D11" s="123">
        <v>45460</v>
      </c>
      <c r="E11" s="122" t="s">
        <v>85</v>
      </c>
      <c r="F11" s="124">
        <v>0.875</v>
      </c>
      <c r="G11" s="125">
        <f t="shared" si="8"/>
        <v>45460.625</v>
      </c>
      <c r="H11" s="122" t="s">
        <v>96</v>
      </c>
      <c r="I11" s="126"/>
      <c r="J11" s="118"/>
      <c r="K11" s="118"/>
      <c r="L11" s="119" t="str">
        <f>IF(tblActuals[[#This Row],[SCORE]]="","",IF(Q11=R11,"Draw",IF(Q11&gt;R11,M11,N11)))</f>
        <v/>
      </c>
      <c r="M11" s="120" t="str">
        <f>IF(tblActuals[[#This Row],[TEAMS]]="","",LEFT(H11,FIND(" -",H11,1)-1))</f>
        <v>Austria</v>
      </c>
      <c r="N11" s="120" t="str">
        <f>IF(tblActuals[[#This Row],[TEAMS]]="","",MID(H11,FIND("-",H11,1)+2,LEN(H11)-FIND("-",H11,1)+2))</f>
        <v>France</v>
      </c>
      <c r="O11" s="120" t="str">
        <f>IF(tblActuals[[#This Row],[Team 1 Goals]]&gt;tblActuals[[#This Row],[Team 2 Goals]],tblActuals[[#This Row],[Team 1]],IF(tblActuals[[#This Row],[Team 2 Goals]]&gt;tblActuals[[#This Row],[Team 1 Goals]],tblActuals[[#This Row],[Team 2]],""))</f>
        <v/>
      </c>
      <c r="P11" s="120" t="str">
        <f>IF(tblActuals[[#This Row],[Winner]]=tblActuals[[#This Row],[Team 1]],tblActuals[[#This Row],[Team 2]],IF(tblActuals[[#This Row],[Winner]]=tblActuals[[#This Row],[Team 2]],tblActuals[[#This Row],[Team 1]],""))</f>
        <v/>
      </c>
      <c r="Q11" s="120" t="str">
        <f>IF(tblActuals[[#This Row],[SCORE]]="","",LEFT(I11,FIND(":",I11,1)-1)*1)</f>
        <v/>
      </c>
      <c r="R11" s="120" t="str">
        <f>IF(tblActuals[[#This Row],[SCORE]]="","",MID(I11,FIND(":",I11,1)+1,LEN(I11)-FIND(":",I11,1)+1)*1)</f>
        <v/>
      </c>
      <c r="S11" s="120" t="str">
        <f>IF(OR(tblActuals[[#This Row],[Team 1 Goals]]="",tblActuals[[#This Row],[Team 2 Goals]]=""),"",tblActuals[[#This Row],[Team 1 Goals]]-tblActuals[[#This Row],[Team 2 Goals]])</f>
        <v/>
      </c>
      <c r="T11" s="120" t="str">
        <f>IF(OR(tblActuals[[#This Row],[Team 1 Goals]]="",tblActuals[[#This Row],[Team 2 Goals]]=""),"",tblActuals[[#This Row],[Team 2 Goals]]-tblActuals[[#This Row],[Team 1 Goals]])</f>
        <v/>
      </c>
      <c r="U11" s="120" t="str">
        <f>IF(tblActuals[[#This Row],[SCORE]]="","",IF(tblActuals[[#This Row],[WINNER / RESULT]]="Draw",1,IF(tblActuals[[#This Row],[WINNER / RESULT]]=tblActuals[[#This Row],[Team 1]],3,0)))</f>
        <v/>
      </c>
      <c r="V11" s="120" t="str">
        <f>IF(tblActuals[[#This Row],[SCORE]]="","",IF(tblActuals[[#This Row],[WINNER / RESULT]]="Draw",1,IF(tblActuals[[#This Row],[WINNER / RESULT]]=tblActuals[[#This Row],[Team 2]],3,0)))</f>
        <v/>
      </c>
      <c r="W11" s="121"/>
      <c r="X11" s="121"/>
      <c r="Y11" s="121"/>
      <c r="Z11" s="121"/>
      <c r="AA11" s="120" t="e">
        <f>tblActuals[[#This Row],[Team 1 Goals]]+tblActuals[[#This Row],[Team 1 ET Goals]]&amp;":"&amp;tblActuals[[#This Row],[Team 2 Goals]]+tblActuals[[#This Row],[Team 2 ET Goals]]</f>
        <v>#VALUE!</v>
      </c>
      <c r="AB11" s="120" t="e">
        <f>+tblActuals[[#This Row],[Team 1 Goals]]+tblActuals[[#This Row],[Team 2 Goals]]</f>
        <v>#VALUE!</v>
      </c>
      <c r="AC11" s="165">
        <f t="shared" si="0"/>
        <v>45460</v>
      </c>
      <c r="AD11" s="166">
        <f t="shared" si="9"/>
        <v>11.1</v>
      </c>
      <c r="AF11" s="38" t="s">
        <v>84</v>
      </c>
      <c r="AJ11" s="78"/>
      <c r="AK11" s="179" t="s">
        <v>52</v>
      </c>
      <c r="AL11" s="180"/>
      <c r="AM11" s="133" t="s">
        <v>46</v>
      </c>
      <c r="AN11" s="134" t="s">
        <v>57</v>
      </c>
      <c r="AO11" s="135" t="s">
        <v>11</v>
      </c>
      <c r="AP11" s="75"/>
      <c r="AQ11" s="42"/>
      <c r="AR11" s="4"/>
      <c r="AS11" s="4" t="s">
        <v>5</v>
      </c>
      <c r="AT11" s="4" t="s">
        <v>126</v>
      </c>
      <c r="AU11" s="4">
        <f>COUNTIF(tblActuals[Winner],AT11)</f>
        <v>0</v>
      </c>
      <c r="AV11" s="4">
        <f>COUNTIFS(tblActuals[Team 2],AT11,tblActuals[WINNER / RESULT],"Draw")+COUNTIFS(tblActuals[Team 1],AT11,tblActuals[WINNER / RESULT],"Draw")</f>
        <v>0</v>
      </c>
      <c r="AW11" s="4">
        <f>COUNTIF(tblActuals[Loser],AT11)</f>
        <v>0</v>
      </c>
      <c r="AX11" s="4">
        <f>AV11+(3*AU11)</f>
        <v>0</v>
      </c>
      <c r="AY11" s="4">
        <f>SUMIFS(tblActuals[Team 1 Goals],tblActuals[Team 1],AT11)+SUMIFS(tblActuals[Team 2 Goals],tblActuals[Team 2],AT11)</f>
        <v>0</v>
      </c>
      <c r="AZ11" s="4">
        <f>SUMIFS(tblActuals[Team 2 Goals],tblActuals[Team 1],AT11)+SUMIFS(tblActuals[Team 1 Goals],tblActuals[Team 2],AT11)</f>
        <v>0</v>
      </c>
      <c r="BA11" s="4">
        <f>AY11-AZ11</f>
        <v>0</v>
      </c>
      <c r="BB11" s="4">
        <f ca="1">RANK(BO11,$BO$9:$BO$12,1)</f>
        <v>3</v>
      </c>
      <c r="BC11" s="4" t="str">
        <f t="shared" si="1"/>
        <v/>
      </c>
      <c r="BD11" s="4" t="str">
        <f ca="1">IF(BC11="",BB11&amp;AS11,BC11&amp;AS11)</f>
        <v>3B</v>
      </c>
      <c r="BE11" s="4">
        <f>RANK(AX11,$AX$9:$AX$12,0)</f>
        <v>1</v>
      </c>
      <c r="BF11" s="4" cm="1">
        <f t="array" aca="1" ref="BF11" ca="1">SUMPRODUCT((OFFSET($CL$3:$DQ$3,MATCH($AT11,$CK$4:$CK$35,0),0))*((IF($BE9=$BE11,$CL$3:$DQ$3=$AT9,0))+(IF($BE12=$BE11,$CL$3:$DQ$3=$AT12,0))+(IF($BE10=$BE11,$CL$3:$DQ$3=$AT10,0))))</f>
        <v>0</v>
      </c>
      <c r="BG11" s="4" cm="1">
        <f t="array" aca="1" ref="BG11" ca="1">SUMPRODUCT((OFFSET($DT$3:$EY$3,MATCH($AT11,$DS$4:$DS$35,0),0))*((IF($BE9=$BE11,$DT$3:$EY$3=$AT9,0))+(IF($BE12=$BE11,$DT$3:$EY$3=$AT12,0))+(IF($BE10=$BE11,$DT$3:$EY$3=$AT10,0))))</f>
        <v>0</v>
      </c>
      <c r="BH11" s="4" cm="1">
        <f t="array" aca="1" ref="BH11" ca="1">SUMPRODUCT((OFFSET($FB$3:$GG$3,MATCH($AT11,$FA$4:$FA$35,0),0))*((IF($BE9=$BE11,$FB$3:$GG$3=$AT9,0))+(IF($BE12=$BE11,$FB$3:$GG$3=$AT12,0))+(IF($BE10=$BE11,$FB$3:$GG$3=$AT10,0))))</f>
        <v>0</v>
      </c>
      <c r="BI11" s="4" cm="1">
        <f t="array" aca="1" ref="BI11" ca="1">SUMPRODUCT((OFFSET($CL$3:$DQ$3,MATCH($AT11,$CK$4:$CK$35,0),0))*((IF($BE9&lt;&gt;$BE11,$CL$3:$DQ$3=$AT9,0))+(IF($BE12&lt;&gt;$BE11,$CL$3:$DQ$3=$AT12,0))+(IF($BE10&lt;&gt;$BE11,$CL$3:$DQ$3=$AT10,0))))</f>
        <v>0</v>
      </c>
      <c r="BJ11" s="4" cm="1">
        <f t="array" aca="1" ref="BJ11" ca="1">SUMPRODUCT((OFFSET($DT$3:$EY$3,MATCH($AT11,$DS$4:$DS$35,0),0))*((IF($BE9&lt;&gt;$BE11,$DT$3:$EY$3=$AT9,0))+(IF($BE12&lt;&gt;$BE11,$DT$3:$EY$3=$AT12,0))+(IF($BE10&lt;&gt;$BE11,$DT$3:$EY$3=$AT10,0))))</f>
        <v>0</v>
      </c>
      <c r="BK11" s="4" cm="1">
        <f t="array" aca="1" ref="BK11" ca="1">SUMPRODUCT((OFFSET($FB$3:$GG$3,MATCH($AT11,$FA$4:$FA$35,0),0))*((IF($BE9&lt;&gt;$BE11,$FB$3:$GG$3=$AT9,0))+(IF($BE12&lt;&gt;$BE11,$FB$3:$GG$3=$AT12,0))+(IF($BE10&lt;&gt;$BE11,$FB$3:$GG$3=$AT10,0))))</f>
        <v>0</v>
      </c>
      <c r="BL11" s="4">
        <f t="shared" si="10"/>
        <v>0</v>
      </c>
      <c r="BM11" s="4">
        <f t="shared" si="11"/>
        <v>0</v>
      </c>
      <c r="BN11" s="4">
        <f ca="1">(BF11/10)+(BG11/100)+(BH11/1000)+(BJ11/10000)+(BK11/100000)+(BL11/1000000)+(BM11/10000000)+(ROW(BI10)/100000000)</f>
        <v>9.9999999999999995E-8</v>
      </c>
      <c r="BO11" s="4">
        <f ca="1">+BE11-BN11</f>
        <v>0.99999990000000005</v>
      </c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K11" s="4" t="s">
        <v>127</v>
      </c>
      <c r="CL11" s="56">
        <f>SUMIFS(tblActuals[Team 2 Points],tblActuals[Team 2],$CK11,tblActuals[Team 1],CL$3)+SUMIFS(tblActuals[Team 1 Points],tblActuals[Team 1],$CK11,tblActuals[Team 2],CL$3)</f>
        <v>0</v>
      </c>
      <c r="CM11" s="56">
        <f>SUMIFS(tblActuals[Team 2 Points],tblActuals[Team 2],$CK11,tblActuals[Team 1],CM$3)+SUMIFS(tblActuals[Team 1 Points],tblActuals[Team 1],$CK11,tblActuals[Team 2],CM$3)</f>
        <v>0</v>
      </c>
      <c r="CN11" s="56">
        <f>SUMIFS(tblActuals[Team 2 Points],tblActuals[Team 2],$CK11,tblActuals[Team 1],CN$3)+SUMIFS(tblActuals[Team 1 Points],tblActuals[Team 1],$CK11,tblActuals[Team 2],CN$3)</f>
        <v>0</v>
      </c>
      <c r="CO11" s="56">
        <f>SUMIFS(tblActuals[Team 2 Points],tblActuals[Team 2],$CK11,tblActuals[Team 1],CO$3)+SUMIFS(tblActuals[Team 1 Points],tblActuals[Team 1],$CK11,tblActuals[Team 2],CO$3)</f>
        <v>0</v>
      </c>
      <c r="CP11" s="56">
        <f>SUMIFS(tblActuals[Team 2 Points],tblActuals[Team 2],$CK11,tblActuals[Team 1],CP$3)+SUMIFS(tblActuals[Team 1 Points],tblActuals[Team 1],$CK11,tblActuals[Team 2],CP$3)</f>
        <v>0</v>
      </c>
      <c r="CQ11" s="56">
        <f>SUMIFS(tblActuals[Team 2 Points],tblActuals[Team 2],$CK11,tblActuals[Team 1],CQ$3)+SUMIFS(tblActuals[Team 1 Points],tblActuals[Team 1],$CK11,tblActuals[Team 2],CQ$3)</f>
        <v>0</v>
      </c>
      <c r="CR11" s="56">
        <f>SUMIFS(tblActuals[Team 2 Points],tblActuals[Team 2],$CK11,tblActuals[Team 1],CR$3)+SUMIFS(tblActuals[Team 1 Points],tblActuals[Team 1],$CK11,tblActuals[Team 2],CR$3)</f>
        <v>0</v>
      </c>
      <c r="CS11" s="56">
        <f>SUMIFS(tblActuals[Team 2 Points],tblActuals[Team 2],$CK11,tblActuals[Team 1],CS$3)+SUMIFS(tblActuals[Team 1 Points],tblActuals[Team 1],$CK11,tblActuals[Team 2],CS$3)</f>
        <v>0</v>
      </c>
      <c r="CT11" s="56">
        <f>SUMIFS(tblActuals[Team 2 Points],tblActuals[Team 2],$CK11,tblActuals[Team 1],CT$3)+SUMIFS(tblActuals[Team 1 Points],tblActuals[Team 1],$CK11,tblActuals[Team 2],CT$3)</f>
        <v>0</v>
      </c>
      <c r="CU11" s="56">
        <f>SUMIFS(tblActuals[Team 2 Points],tblActuals[Team 2],$CK11,tblActuals[Team 1],CU$3)+SUMIFS(tblActuals[Team 1 Points],tblActuals[Team 1],$CK11,tblActuals[Team 2],CU$3)</f>
        <v>0</v>
      </c>
      <c r="CV11" s="56">
        <f>SUMIFS(tblActuals[Team 2 Points],tblActuals[Team 2],$CK11,tblActuals[Team 1],CV$3)+SUMIFS(tblActuals[Team 1 Points],tblActuals[Team 1],$CK11,tblActuals[Team 2],CV$3)</f>
        <v>0</v>
      </c>
      <c r="CW11" s="56">
        <f>SUMIFS(tblActuals[Team 2 Points],tblActuals[Team 2],$CK11,tblActuals[Team 1],CW$3)+SUMIFS(tblActuals[Team 1 Points],tblActuals[Team 1],$CK11,tblActuals[Team 2],CW$3)</f>
        <v>0</v>
      </c>
      <c r="CX11" s="56">
        <f>SUMIFS(tblActuals[Team 2 Points],tblActuals[Team 2],$CK11,tblActuals[Team 1],CX$3)+SUMIFS(tblActuals[Team 1 Points],tblActuals[Team 1],$CK11,tblActuals[Team 2],CX$3)</f>
        <v>0</v>
      </c>
      <c r="CY11" s="56">
        <f>SUMIFS(tblActuals[Team 2 Points],tblActuals[Team 2],$CK11,tblActuals[Team 1],CY$3)+SUMIFS(tblActuals[Team 1 Points],tblActuals[Team 1],$CK11,tblActuals[Team 2],CY$3)</f>
        <v>0</v>
      </c>
      <c r="CZ11" s="56">
        <f>SUMIFS(tblActuals[Team 2 Points],tblActuals[Team 2],$CK11,tblActuals[Team 1],CZ$3)+SUMIFS(tblActuals[Team 1 Points],tblActuals[Team 1],$CK11,tblActuals[Team 2],CZ$3)</f>
        <v>0</v>
      </c>
      <c r="DA11" s="56">
        <f>SUMIFS(tblActuals[Team 2 Points],tblActuals[Team 2],$CK11,tblActuals[Team 1],DA$3)+SUMIFS(tblActuals[Team 1 Points],tblActuals[Team 1],$CK11,tblActuals[Team 2],DA$3)</f>
        <v>0</v>
      </c>
      <c r="DB11" s="56">
        <f>SUMIFS(tblActuals[Team 2 Points],tblActuals[Team 2],$CK11,tblActuals[Team 1],DB$3)+SUMIFS(tblActuals[Team 1 Points],tblActuals[Team 1],$CK11,tblActuals[Team 2],DB$3)</f>
        <v>0</v>
      </c>
      <c r="DC11" s="56">
        <f>SUMIFS(tblActuals[Team 2 Points],tblActuals[Team 2],$CK11,tblActuals[Team 1],DC$3)+SUMIFS(tblActuals[Team 1 Points],tblActuals[Team 1],$CK11,tblActuals[Team 2],DC$3)</f>
        <v>0</v>
      </c>
      <c r="DD11" s="56">
        <f>SUMIFS(tblActuals[Team 2 Points],tblActuals[Team 2],$CK11,tblActuals[Team 1],DD$3)+SUMIFS(tblActuals[Team 1 Points],tblActuals[Team 1],$CK11,tblActuals[Team 2],DD$3)</f>
        <v>0</v>
      </c>
      <c r="DE11" s="56">
        <f>SUMIFS(tblActuals[Team 2 Points],tblActuals[Team 2],$CK11,tblActuals[Team 1],DE$3)+SUMIFS(tblActuals[Team 1 Points],tblActuals[Team 1],$CK11,tblActuals[Team 2],DE$3)</f>
        <v>0</v>
      </c>
      <c r="DF11" s="56">
        <f>SUMIFS(tblActuals[Team 2 Points],tblActuals[Team 2],$CK11,tblActuals[Team 1],DF$3)+SUMIFS(tblActuals[Team 1 Points],tblActuals[Team 1],$CK11,tblActuals[Team 2],DF$3)</f>
        <v>0</v>
      </c>
      <c r="DG11" s="56">
        <f>SUMIFS(tblActuals[Team 2 Points],tblActuals[Team 2],$CK11,tblActuals[Team 1],DG$3)+SUMIFS(tblActuals[Team 1 Points],tblActuals[Team 1],$CK11,tblActuals[Team 2],DG$3)</f>
        <v>0</v>
      </c>
      <c r="DH11" s="56">
        <f>SUMIFS(tblActuals[Team 2 Points],tblActuals[Team 2],$CK11,tblActuals[Team 1],DH$3)+SUMIFS(tblActuals[Team 1 Points],tblActuals[Team 1],$CK11,tblActuals[Team 2],DH$3)</f>
        <v>0</v>
      </c>
      <c r="DI11" s="56">
        <f>SUMIFS(tblActuals[Team 2 Points],tblActuals[Team 2],$CK11,tblActuals[Team 1],DI$3)+SUMIFS(tblActuals[Team 1 Points],tblActuals[Team 1],$CK11,tblActuals[Team 2],DI$3)</f>
        <v>0</v>
      </c>
      <c r="DJ11" s="57"/>
      <c r="DK11" s="57"/>
      <c r="DL11" s="57"/>
      <c r="DM11" s="57"/>
      <c r="DN11" s="57"/>
      <c r="DO11" s="57"/>
      <c r="DP11" s="57"/>
      <c r="DQ11" s="57"/>
      <c r="DR11" s="4"/>
      <c r="DS11" s="4" t="s">
        <v>127</v>
      </c>
      <c r="DT11" s="56">
        <f>SUMIFS(tblActuals[Team 2 GD],tblActuals[Team 2],$CK11,tblActuals[Team 1],DT$3)+SUMIFS(tblActuals[Team 1 GD],tblActuals[Team 1],$CK11,tblActuals[Team 2],DT$3)</f>
        <v>0</v>
      </c>
      <c r="DU11" s="56">
        <f>SUMIFS(tblActuals[Team 2 GD],tblActuals[Team 2],$CK11,tblActuals[Team 1],DU$3)+SUMIFS(tblActuals[Team 1 GD],tblActuals[Team 1],$CK11,tblActuals[Team 2],DU$3)</f>
        <v>0</v>
      </c>
      <c r="DV11" s="56">
        <f>SUMIFS(tblActuals[Team 2 GD],tblActuals[Team 2],$CK11,tblActuals[Team 1],DV$3)+SUMIFS(tblActuals[Team 1 GD],tblActuals[Team 1],$CK11,tblActuals[Team 2],DV$3)</f>
        <v>0</v>
      </c>
      <c r="DW11" s="56">
        <f>SUMIFS(tblActuals[Team 2 GD],tblActuals[Team 2],$CK11,tblActuals[Team 1],DW$3)+SUMIFS(tblActuals[Team 1 GD],tblActuals[Team 1],$CK11,tblActuals[Team 2],DW$3)</f>
        <v>0</v>
      </c>
      <c r="DX11" s="56">
        <f>SUMIFS(tblActuals[Team 2 GD],tblActuals[Team 2],$CK11,tblActuals[Team 1],DX$3)+SUMIFS(tblActuals[Team 1 GD],tblActuals[Team 1],$CK11,tblActuals[Team 2],DX$3)</f>
        <v>0</v>
      </c>
      <c r="DY11" s="56">
        <f>SUMIFS(tblActuals[Team 2 GD],tblActuals[Team 2],$CK11,tblActuals[Team 1],DY$3)+SUMIFS(tblActuals[Team 1 GD],tblActuals[Team 1],$CK11,tblActuals[Team 2],DY$3)</f>
        <v>0</v>
      </c>
      <c r="DZ11" s="56">
        <f>SUMIFS(tblActuals[Team 2 GD],tblActuals[Team 2],$CK11,tblActuals[Team 1],DZ$3)+SUMIFS(tblActuals[Team 1 GD],tblActuals[Team 1],$CK11,tblActuals[Team 2],DZ$3)</f>
        <v>0</v>
      </c>
      <c r="EA11" s="56">
        <f>SUMIFS(tblActuals[Team 2 GD],tblActuals[Team 2],$CK11,tblActuals[Team 1],EA$3)+SUMIFS(tblActuals[Team 1 GD],tblActuals[Team 1],$CK11,tblActuals[Team 2],EA$3)</f>
        <v>0</v>
      </c>
      <c r="EB11" s="56">
        <f>SUMIFS(tblActuals[Team 2 GD],tblActuals[Team 2],$CK11,tblActuals[Team 1],EB$3)+SUMIFS(tblActuals[Team 1 GD],tblActuals[Team 1],$CK11,tblActuals[Team 2],EB$3)</f>
        <v>0</v>
      </c>
      <c r="EC11" s="56">
        <f>SUMIFS(tblActuals[Team 2 GD],tblActuals[Team 2],$CK11,tblActuals[Team 1],EC$3)+SUMIFS(tblActuals[Team 1 GD],tblActuals[Team 1],$CK11,tblActuals[Team 2],EC$3)</f>
        <v>0</v>
      </c>
      <c r="ED11" s="56">
        <f>SUMIFS(tblActuals[Team 2 GD],tblActuals[Team 2],$CK11,tblActuals[Team 1],ED$3)+SUMIFS(tblActuals[Team 1 GD],tblActuals[Team 1],$CK11,tblActuals[Team 2],ED$3)</f>
        <v>0</v>
      </c>
      <c r="EE11" s="56">
        <f>SUMIFS(tblActuals[Team 2 GD],tblActuals[Team 2],$CK11,tblActuals[Team 1],EE$3)+SUMIFS(tblActuals[Team 1 GD],tblActuals[Team 1],$CK11,tblActuals[Team 2],EE$3)</f>
        <v>0</v>
      </c>
      <c r="EF11" s="56">
        <f>SUMIFS(tblActuals[Team 2 GD],tblActuals[Team 2],$CK11,tblActuals[Team 1],EF$3)+SUMIFS(tblActuals[Team 1 GD],tblActuals[Team 1],$CK11,tblActuals[Team 2],EF$3)</f>
        <v>0</v>
      </c>
      <c r="EG11" s="56">
        <f>SUMIFS(tblActuals[Team 2 GD],tblActuals[Team 2],$CK11,tblActuals[Team 1],EG$3)+SUMIFS(tblActuals[Team 1 GD],tblActuals[Team 1],$CK11,tblActuals[Team 2],EG$3)</f>
        <v>0</v>
      </c>
      <c r="EH11" s="56">
        <f>SUMIFS(tblActuals[Team 2 GD],tblActuals[Team 2],$CK11,tblActuals[Team 1],EH$3)+SUMIFS(tblActuals[Team 1 GD],tblActuals[Team 1],$CK11,tblActuals[Team 2],EH$3)</f>
        <v>0</v>
      </c>
      <c r="EI11" s="56">
        <f>SUMIFS(tblActuals[Team 2 GD],tblActuals[Team 2],$CK11,tblActuals[Team 1],EI$3)+SUMIFS(tblActuals[Team 1 GD],tblActuals[Team 1],$CK11,tblActuals[Team 2],EI$3)</f>
        <v>0</v>
      </c>
      <c r="EJ11" s="56">
        <f>SUMIFS(tblActuals[Team 2 GD],tblActuals[Team 2],$CK11,tblActuals[Team 1],EJ$3)+SUMIFS(tblActuals[Team 1 GD],tblActuals[Team 1],$CK11,tblActuals[Team 2],EJ$3)</f>
        <v>0</v>
      </c>
      <c r="EK11" s="56">
        <f>SUMIFS(tblActuals[Team 2 GD],tblActuals[Team 2],$CK11,tblActuals[Team 1],EK$3)+SUMIFS(tblActuals[Team 1 GD],tblActuals[Team 1],$CK11,tblActuals[Team 2],EK$3)</f>
        <v>0</v>
      </c>
      <c r="EL11" s="56">
        <f>SUMIFS(tblActuals[Team 2 GD],tblActuals[Team 2],$CK11,tblActuals[Team 1],EL$3)+SUMIFS(tblActuals[Team 1 GD],tblActuals[Team 1],$CK11,tblActuals[Team 2],EL$3)</f>
        <v>0</v>
      </c>
      <c r="EM11" s="56">
        <f>SUMIFS(tblActuals[Team 2 GD],tblActuals[Team 2],$CK11,tblActuals[Team 1],EM$3)+SUMIFS(tblActuals[Team 1 GD],tblActuals[Team 1],$CK11,tblActuals[Team 2],EM$3)</f>
        <v>0</v>
      </c>
      <c r="EN11" s="56">
        <f>SUMIFS(tblActuals[Team 2 GD],tblActuals[Team 2],$CK11,tblActuals[Team 1],EN$3)+SUMIFS(tblActuals[Team 1 GD],tblActuals[Team 1],$CK11,tblActuals[Team 2],EN$3)</f>
        <v>0</v>
      </c>
      <c r="EO11" s="56">
        <f>SUMIFS(tblActuals[Team 2 GD],tblActuals[Team 2],$CK11,tblActuals[Team 1],EO$3)+SUMIFS(tblActuals[Team 1 GD],tblActuals[Team 1],$CK11,tblActuals[Team 2],EO$3)</f>
        <v>0</v>
      </c>
      <c r="EP11" s="56">
        <f>SUMIFS(tblActuals[Team 2 GD],tblActuals[Team 2],$CK11,tblActuals[Team 1],EP$3)+SUMIFS(tblActuals[Team 1 GD],tblActuals[Team 1],$CK11,tblActuals[Team 2],EP$3)</f>
        <v>0</v>
      </c>
      <c r="EQ11" s="56">
        <f>SUMIFS(tblActuals[Team 2 GD],tblActuals[Team 2],$CK11,tblActuals[Team 1],EQ$3)+SUMIFS(tblActuals[Team 1 GD],tblActuals[Team 1],$CK11,tblActuals[Team 2],EQ$3)</f>
        <v>0</v>
      </c>
      <c r="ER11" s="57"/>
      <c r="ES11" s="57"/>
      <c r="ET11" s="57"/>
      <c r="EU11" s="57"/>
      <c r="EV11" s="57"/>
      <c r="EW11" s="57"/>
      <c r="EX11" s="57"/>
      <c r="EY11" s="57"/>
      <c r="EZ11" s="4"/>
      <c r="FA11" s="4" t="s">
        <v>127</v>
      </c>
      <c r="FB11" s="56">
        <f>SUMIFS(tblActuals[Team 2 Goals],tblActuals[Team 2],$CK11,tblActuals[Team 1],FB$3)+SUMIFS(tblActuals[Team 1 Goals],tblActuals[Team 1],$CK11,tblActuals[Team 2],FB$3)</f>
        <v>0</v>
      </c>
      <c r="FC11" s="56">
        <f>SUMIFS(tblActuals[Team 2 Goals],tblActuals[Team 2],$CK11,tblActuals[Team 1],FC$3)+SUMIFS(tblActuals[Team 1 Goals],tblActuals[Team 1],$CK11,tblActuals[Team 2],FC$3)</f>
        <v>0</v>
      </c>
      <c r="FD11" s="56">
        <f>SUMIFS(tblActuals[Team 2 Goals],tblActuals[Team 2],$CK11,tblActuals[Team 1],FD$3)+SUMIFS(tblActuals[Team 1 Goals],tblActuals[Team 1],$CK11,tblActuals[Team 2],FD$3)</f>
        <v>0</v>
      </c>
      <c r="FE11" s="56">
        <f>SUMIFS(tblActuals[Team 2 Goals],tblActuals[Team 2],$CK11,tblActuals[Team 1],FE$3)+SUMIFS(tblActuals[Team 1 Goals],tblActuals[Team 1],$CK11,tblActuals[Team 2],FE$3)</f>
        <v>0</v>
      </c>
      <c r="FF11" s="56">
        <f>SUMIFS(tblActuals[Team 2 Goals],tblActuals[Team 2],$CK11,tblActuals[Team 1],FF$3)+SUMIFS(tblActuals[Team 1 Goals],tblActuals[Team 1],$CK11,tblActuals[Team 2],FF$3)</f>
        <v>0</v>
      </c>
      <c r="FG11" s="56">
        <f>SUMIFS(tblActuals[Team 2 Goals],tblActuals[Team 2],$CK11,tblActuals[Team 1],FG$3)+SUMIFS(tblActuals[Team 1 Goals],tblActuals[Team 1],$CK11,tblActuals[Team 2],FG$3)</f>
        <v>0</v>
      </c>
      <c r="FH11" s="56">
        <f>SUMIFS(tblActuals[Team 2 Goals],tblActuals[Team 2],$CK11,tblActuals[Team 1],FH$3)+SUMIFS(tblActuals[Team 1 Goals],tblActuals[Team 1],$CK11,tblActuals[Team 2],FH$3)</f>
        <v>0</v>
      </c>
      <c r="FI11" s="56">
        <f>SUMIFS(tblActuals[Team 2 Goals],tblActuals[Team 2],$CK11,tblActuals[Team 1],FI$3)+SUMIFS(tblActuals[Team 1 Goals],tblActuals[Team 1],$CK11,tblActuals[Team 2],FI$3)</f>
        <v>0</v>
      </c>
      <c r="FJ11" s="56">
        <f>SUMIFS(tblActuals[Team 2 Goals],tblActuals[Team 2],$CK11,tblActuals[Team 1],FJ$3)+SUMIFS(tblActuals[Team 1 Goals],tblActuals[Team 1],$CK11,tblActuals[Team 2],FJ$3)</f>
        <v>0</v>
      </c>
      <c r="FK11" s="56">
        <f>SUMIFS(tblActuals[Team 2 Goals],tblActuals[Team 2],$CK11,tblActuals[Team 1],FK$3)+SUMIFS(tblActuals[Team 1 Goals],tblActuals[Team 1],$CK11,tblActuals[Team 2],FK$3)</f>
        <v>0</v>
      </c>
      <c r="FL11" s="56">
        <f>SUMIFS(tblActuals[Team 2 Goals],tblActuals[Team 2],$CK11,tblActuals[Team 1],FL$3)+SUMIFS(tblActuals[Team 1 Goals],tblActuals[Team 1],$CK11,tblActuals[Team 2],FL$3)</f>
        <v>0</v>
      </c>
      <c r="FM11" s="56">
        <f>SUMIFS(tblActuals[Team 2 Goals],tblActuals[Team 2],$CK11,tblActuals[Team 1],FM$3)+SUMIFS(tblActuals[Team 1 Goals],tblActuals[Team 1],$CK11,tblActuals[Team 2],FM$3)</f>
        <v>0</v>
      </c>
      <c r="FN11" s="56">
        <f>SUMIFS(tblActuals[Team 2 Goals],tblActuals[Team 2],$CK11,tblActuals[Team 1],FN$3)+SUMIFS(tblActuals[Team 1 Goals],tblActuals[Team 1],$CK11,tblActuals[Team 2],FN$3)</f>
        <v>0</v>
      </c>
      <c r="FO11" s="56">
        <f>SUMIFS(tblActuals[Team 2 Goals],tblActuals[Team 2],$CK11,tblActuals[Team 1],FO$3)+SUMIFS(tblActuals[Team 1 Goals],tblActuals[Team 1],$CK11,tblActuals[Team 2],FO$3)</f>
        <v>0</v>
      </c>
      <c r="FP11" s="56">
        <f>SUMIFS(tblActuals[Team 2 Goals],tblActuals[Team 2],$CK11,tblActuals[Team 1],FP$3)+SUMIFS(tblActuals[Team 1 Goals],tblActuals[Team 1],$CK11,tblActuals[Team 2],FP$3)</f>
        <v>0</v>
      </c>
      <c r="FQ11" s="56">
        <f>SUMIFS(tblActuals[Team 2 Goals],tblActuals[Team 2],$CK11,tblActuals[Team 1],FQ$3)+SUMIFS(tblActuals[Team 1 Goals],tblActuals[Team 1],$CK11,tblActuals[Team 2],FQ$3)</f>
        <v>0</v>
      </c>
      <c r="FR11" s="56">
        <f>SUMIFS(tblActuals[Team 2 Goals],tblActuals[Team 2],$CK11,tblActuals[Team 1],FR$3)+SUMIFS(tblActuals[Team 1 Goals],tblActuals[Team 1],$CK11,tblActuals[Team 2],FR$3)</f>
        <v>0</v>
      </c>
      <c r="FS11" s="56">
        <f>SUMIFS(tblActuals[Team 2 Goals],tblActuals[Team 2],$CK11,tblActuals[Team 1],FS$3)+SUMIFS(tblActuals[Team 1 Goals],tblActuals[Team 1],$CK11,tblActuals[Team 2],FS$3)</f>
        <v>0</v>
      </c>
      <c r="FT11" s="56">
        <f>SUMIFS(tblActuals[Team 2 Goals],tblActuals[Team 2],$CK11,tblActuals[Team 1],FT$3)+SUMIFS(tblActuals[Team 1 Goals],tblActuals[Team 1],$CK11,tblActuals[Team 2],FT$3)</f>
        <v>0</v>
      </c>
      <c r="FU11" s="56">
        <f>SUMIFS(tblActuals[Team 2 Goals],tblActuals[Team 2],$CK11,tblActuals[Team 1],FU$3)+SUMIFS(tblActuals[Team 1 Goals],tblActuals[Team 1],$CK11,tblActuals[Team 2],FU$3)</f>
        <v>0</v>
      </c>
      <c r="FV11" s="56">
        <f>SUMIFS(tblActuals[Team 2 Goals],tblActuals[Team 2],$CK11,tblActuals[Team 1],FV$3)+SUMIFS(tblActuals[Team 1 Goals],tblActuals[Team 1],$CK11,tblActuals[Team 2],FV$3)</f>
        <v>0</v>
      </c>
      <c r="FW11" s="56">
        <f>SUMIFS(tblActuals[Team 2 Goals],tblActuals[Team 2],$CK11,tblActuals[Team 1],FW$3)+SUMIFS(tblActuals[Team 1 Goals],tblActuals[Team 1],$CK11,tblActuals[Team 2],FW$3)</f>
        <v>0</v>
      </c>
      <c r="FX11" s="56">
        <f>SUMIFS(tblActuals[Team 2 Goals],tblActuals[Team 2],$CK11,tblActuals[Team 1],FX$3)+SUMIFS(tblActuals[Team 1 Goals],tblActuals[Team 1],$CK11,tblActuals[Team 2],FX$3)</f>
        <v>0</v>
      </c>
      <c r="FY11" s="56">
        <f>SUMIFS(tblActuals[Team 2 Goals],tblActuals[Team 2],$CK11,tblActuals[Team 1],FY$3)+SUMIFS(tblActuals[Team 1 Goals],tblActuals[Team 1],$CK11,tblActuals[Team 2],FY$3)</f>
        <v>0</v>
      </c>
      <c r="FZ11" s="57"/>
      <c r="GA11" s="57"/>
      <c r="GB11" s="37"/>
      <c r="GC11" s="37"/>
      <c r="GD11" s="37"/>
      <c r="GE11" s="37"/>
      <c r="GF11" s="37"/>
      <c r="GG11" s="37"/>
      <c r="GH11" s="75"/>
      <c r="GI11" s="156"/>
      <c r="GJ11" s="156"/>
      <c r="GK11" s="75"/>
      <c r="GL11" s="75"/>
      <c r="GM11" s="75"/>
      <c r="GN11" s="75"/>
      <c r="GO11" s="75"/>
      <c r="GP11" s="75"/>
      <c r="GR11" s="4" t="str">
        <f t="shared" si="12"/>
        <v>ACDE</v>
      </c>
      <c r="GS11" s="44" t="s">
        <v>1</v>
      </c>
      <c r="GT11" s="45"/>
      <c r="GU11" s="44" t="s">
        <v>6</v>
      </c>
      <c r="GV11" s="44" t="s">
        <v>7</v>
      </c>
      <c r="GW11" s="44" t="s">
        <v>12</v>
      </c>
      <c r="GX11" s="45"/>
      <c r="GY11" s="178"/>
      <c r="GZ11" s="45" t="s">
        <v>153</v>
      </c>
      <c r="HA11" s="45" t="s">
        <v>150</v>
      </c>
      <c r="HB11" s="45" t="s">
        <v>152</v>
      </c>
      <c r="HC11" s="45" t="s">
        <v>149</v>
      </c>
    </row>
    <row r="12" spans="1:211" s="11" customFormat="1" ht="30" customHeight="1" x14ac:dyDescent="0.2">
      <c r="A12" s="20"/>
      <c r="B12" s="122">
        <v>9</v>
      </c>
      <c r="C12" s="122" t="s">
        <v>12</v>
      </c>
      <c r="D12" s="123">
        <v>45460</v>
      </c>
      <c r="E12" s="122" t="s">
        <v>86</v>
      </c>
      <c r="F12" s="124">
        <v>0.75</v>
      </c>
      <c r="G12" s="125">
        <f t="shared" si="8"/>
        <v>45460.5</v>
      </c>
      <c r="H12" s="122" t="s">
        <v>97</v>
      </c>
      <c r="I12" s="126"/>
      <c r="J12" s="118"/>
      <c r="K12" s="118"/>
      <c r="L12" s="119" t="str">
        <f>IF(tblActuals[[#This Row],[SCORE]]="","",IF(Q12=R12,"Draw",IF(Q12&gt;R12,M12,N12)))</f>
        <v/>
      </c>
      <c r="M12" s="120" t="str">
        <f>IF(tblActuals[[#This Row],[TEAMS]]="","",LEFT(H12,FIND(" -",H12,1)-1))</f>
        <v>Belgium</v>
      </c>
      <c r="N12" s="120" t="str">
        <f>IF(tblActuals[[#This Row],[TEAMS]]="","",MID(H12,FIND("-",H12,1)+2,LEN(H12)-FIND("-",H12,1)+2))</f>
        <v>Slovakia</v>
      </c>
      <c r="O12" s="120" t="str">
        <f>IF(tblActuals[[#This Row],[Team 1 Goals]]&gt;tblActuals[[#This Row],[Team 2 Goals]],tblActuals[[#This Row],[Team 1]],IF(tblActuals[[#This Row],[Team 2 Goals]]&gt;tblActuals[[#This Row],[Team 1 Goals]],tblActuals[[#This Row],[Team 2]],""))</f>
        <v/>
      </c>
      <c r="P12" s="120" t="str">
        <f>IF(tblActuals[[#This Row],[Winner]]=tblActuals[[#This Row],[Team 1]],tblActuals[[#This Row],[Team 2]],IF(tblActuals[[#This Row],[Winner]]=tblActuals[[#This Row],[Team 2]],tblActuals[[#This Row],[Team 1]],""))</f>
        <v/>
      </c>
      <c r="Q12" s="120" t="str">
        <f>IF(tblActuals[[#This Row],[SCORE]]="","",LEFT(I12,FIND(":",I12,1)-1)*1)</f>
        <v/>
      </c>
      <c r="R12" s="120" t="str">
        <f>IF(tblActuals[[#This Row],[SCORE]]="","",MID(I12,FIND(":",I12,1)+1,LEN(I12)-FIND(":",I12,1)+1)*1)</f>
        <v/>
      </c>
      <c r="S12" s="120" t="str">
        <f>IF(OR(tblActuals[[#This Row],[Team 1 Goals]]="",tblActuals[[#This Row],[Team 2 Goals]]=""),"",tblActuals[[#This Row],[Team 1 Goals]]-tblActuals[[#This Row],[Team 2 Goals]])</f>
        <v/>
      </c>
      <c r="T12" s="120" t="str">
        <f>IF(OR(tblActuals[[#This Row],[Team 1 Goals]]="",tblActuals[[#This Row],[Team 2 Goals]]=""),"",tblActuals[[#This Row],[Team 2 Goals]]-tblActuals[[#This Row],[Team 1 Goals]])</f>
        <v/>
      </c>
      <c r="U12" s="120" t="str">
        <f>IF(tblActuals[[#This Row],[SCORE]]="","",IF(tblActuals[[#This Row],[WINNER / RESULT]]="Draw",1,IF(tblActuals[[#This Row],[WINNER / RESULT]]=tblActuals[[#This Row],[Team 1]],3,0)))</f>
        <v/>
      </c>
      <c r="V12" s="120" t="str">
        <f>IF(tblActuals[[#This Row],[SCORE]]="","",IF(tblActuals[[#This Row],[WINNER / RESULT]]="Draw",1,IF(tblActuals[[#This Row],[WINNER / RESULT]]=tblActuals[[#This Row],[Team 2]],3,0)))</f>
        <v/>
      </c>
      <c r="W12" s="121"/>
      <c r="X12" s="121"/>
      <c r="Y12" s="121"/>
      <c r="Z12" s="121"/>
      <c r="AA12" s="120" t="e">
        <f>tblActuals[[#This Row],[Team 1 Goals]]+tblActuals[[#This Row],[Team 1 ET Goals]]&amp;":"&amp;tblActuals[[#This Row],[Team 2 Goals]]+tblActuals[[#This Row],[Team 2 ET Goals]]</f>
        <v>#VALUE!</v>
      </c>
      <c r="AB12" s="120" t="e">
        <f>+tblActuals[[#This Row],[Team 1 Goals]]+tblActuals[[#This Row],[Team 2 Goals]]</f>
        <v>#VALUE!</v>
      </c>
      <c r="AC12" s="165">
        <f t="shared" si="0"/>
        <v>45460</v>
      </c>
      <c r="AD12" s="166">
        <f t="shared" si="9"/>
        <v>10.199999999999999</v>
      </c>
      <c r="AF12" s="38" t="s">
        <v>87</v>
      </c>
      <c r="AJ12" s="77" t="s">
        <v>5</v>
      </c>
      <c r="AK12" s="136">
        <v>1</v>
      </c>
      <c r="AL12" s="137" t="str">
        <f ca="1">IFERROR(INDEX(AT:AT,MATCH("1"&amp;AJ12,BD:BD,0),1),"")</f>
        <v>Albania</v>
      </c>
      <c r="AM12" s="137" t="str">
        <f ca="1">IF(AL12="","",VLOOKUP(AL12,AT:AY,2,FALSE)&amp;"-"&amp;VLOOKUP(AL12,AT:AY,3,FALSE)&amp;"-"&amp;VLOOKUP(AL12,AT:AY,4,FALSE))</f>
        <v>0-0-0</v>
      </c>
      <c r="AN12" s="137">
        <f ca="1">IF(AL12="","",VLOOKUP(AL12,AT:BA,8,FALSE))</f>
        <v>0</v>
      </c>
      <c r="AO12" s="138">
        <f ca="1">IF(AL12="","",VLOOKUP(AL12,AT:BD,5,FALSE))</f>
        <v>0</v>
      </c>
      <c r="AP12" s="75"/>
      <c r="AQ12" s="42"/>
      <c r="AR12" s="4"/>
      <c r="AS12" s="4" t="s">
        <v>5</v>
      </c>
      <c r="AT12" s="4" t="s">
        <v>28</v>
      </c>
      <c r="AU12" s="4">
        <f>COUNTIF(tblActuals[Winner],AT12)</f>
        <v>0</v>
      </c>
      <c r="AV12" s="4">
        <f>COUNTIFS(tblActuals[Team 2],AT12,tblActuals[WINNER / RESULT],"Draw")+COUNTIFS(tblActuals[Team 1],AT12,tblActuals[WINNER / RESULT],"Draw")</f>
        <v>0</v>
      </c>
      <c r="AW12" s="4">
        <f>COUNTIF(tblActuals[Loser],AT12)</f>
        <v>0</v>
      </c>
      <c r="AX12" s="4">
        <f>AV12+(3*AU12)</f>
        <v>0</v>
      </c>
      <c r="AY12" s="4">
        <f>SUMIFS(tblActuals[Team 1 Goals],tblActuals[Team 1],AT12)+SUMIFS(tblActuals[Team 2 Goals],tblActuals[Team 2],AT12)</f>
        <v>0</v>
      </c>
      <c r="AZ12" s="4">
        <f>SUMIFS(tblActuals[Team 2 Goals],tblActuals[Team 1],AT12)+SUMIFS(tblActuals[Team 1 Goals],tblActuals[Team 2],AT12)</f>
        <v>0</v>
      </c>
      <c r="BA12" s="4">
        <f>AY12-AZ12</f>
        <v>0</v>
      </c>
      <c r="BB12" s="4">
        <f ca="1">RANK(BO12,$BO$9:$BO$12,1)</f>
        <v>4</v>
      </c>
      <c r="BC12" s="4" t="str">
        <f t="shared" si="1"/>
        <v/>
      </c>
      <c r="BD12" s="4" t="str">
        <f ca="1">IF(BC12="",BB12&amp;AS12,BC12&amp;AS12)</f>
        <v>4B</v>
      </c>
      <c r="BE12" s="4">
        <f>RANK(AX12,$AX$9:$AX$12,0)</f>
        <v>1</v>
      </c>
      <c r="BF12" s="4" cm="1">
        <f t="array" aca="1" ref="BF12" ca="1">SUMPRODUCT((OFFSET($CL$3:$DQ$3,MATCH($AT12,$CK$4:$CK$35,0),0))*((IF($BE10=$BE12,$CL$3:$DQ$3=$AT10,0))+(IF($BE9=$BE12,$CL$3:$DQ$3=$AT9,0))+(IF($BE11=$BE12,$CL$3:$DQ$3=$AT11,0))))</f>
        <v>0</v>
      </c>
      <c r="BG12" s="4" cm="1">
        <f t="array" aca="1" ref="BG12" ca="1">SUMPRODUCT((OFFSET($DT$3:$EY$3,MATCH($AT12,$DS$4:$DS$35,0),0))*((IF($BE10=$BE12,$DT$3:$EY$3=$AT10,0))+(IF($BE9=$BE12,$DT$3:$EY$3=$AT9,0))+(IF($BE11=$BE12,$DT$3:$EY$3=$AT11,0))))</f>
        <v>0</v>
      </c>
      <c r="BH12" s="4" cm="1">
        <f t="array" aca="1" ref="BH12" ca="1">SUMPRODUCT((OFFSET($FB$3:$GG$3,MATCH($AT12,$FA$4:$FA$35,0),0))*((IF($BE10=$BE12,$FB$3:$GG$3=$AT10,0))+(IF($BE9=$BE12,$FB$3:$GG$3=$AT9,0))+(IF($BE11=$BE12,$FB$3:$GG$3=$AT11,0))))</f>
        <v>0</v>
      </c>
      <c r="BI12" s="4" cm="1">
        <f t="array" aca="1" ref="BI12" ca="1">SUMPRODUCT((OFFSET($CL$3:$DQ$3,MATCH($AT12,$CK$4:$CK$35,0),0))*((IF($BE10&lt;&gt;$BE12,$CL$3:$DQ$3=$AT10,0))+(IF($BE9&lt;&gt;$BE12,$CL$3:$DQ$3=$AT9,0))+(IF($BE11&lt;&gt;$BE12,$CL$3:$DQ$3=$AT11,0))))</f>
        <v>0</v>
      </c>
      <c r="BJ12" s="4" cm="1">
        <f t="array" aca="1" ref="BJ12" ca="1">SUMPRODUCT((OFFSET($DT$3:$EY$3,MATCH($AT12,$DS$4:$DS$35,0),0))*((IF($BE10&lt;&gt;$BE12,$DT$3:$EY$3=$AT10,0))+(IF($BE9&lt;&gt;$BE12,$DT$3:$EY$3=$AT9,0))+(IF($BE11&lt;&gt;$BE12,$DT$3:$EY$3=$AT11,0))))</f>
        <v>0</v>
      </c>
      <c r="BK12" s="4" cm="1">
        <f t="array" aca="1" ref="BK12" ca="1">SUMPRODUCT((OFFSET($FB$3:$GG$3,MATCH($AT12,$FA$4:$FA$35,0),0))*((IF($BE10&lt;&gt;$BE12,$FB$3:$GG$3=$AT10,0))+(IF($BE9&lt;&gt;$BE12,$FB$3:$GG$3=$AT9,0))+(IF($BE11&lt;&gt;$BE12,$FB$3:$GG$3=$AT11,0))))</f>
        <v>0</v>
      </c>
      <c r="BL12" s="4">
        <f t="shared" si="10"/>
        <v>0</v>
      </c>
      <c r="BM12" s="4">
        <f t="shared" si="11"/>
        <v>0</v>
      </c>
      <c r="BN12" s="4">
        <f ca="1">(BF12/10)+(BG12/100)+(BH12/1000)+(BJ12/10000)+(BK12/100000)+(BL12/1000000)+(BM12/10000000)+(ROW(BI9)/100000000)</f>
        <v>8.9999999999999999E-8</v>
      </c>
      <c r="BO12" s="4">
        <f ca="1">+BE12-BN12</f>
        <v>0.99999990999999999</v>
      </c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K12" s="4" t="s">
        <v>128</v>
      </c>
      <c r="CL12" s="56">
        <f>SUMIFS(tblActuals[Team 2 Points],tblActuals[Team 2],$CK12,tblActuals[Team 1],CL$3)+SUMIFS(tblActuals[Team 1 Points],tblActuals[Team 1],$CK12,tblActuals[Team 2],CL$3)</f>
        <v>0</v>
      </c>
      <c r="CM12" s="56">
        <f>SUMIFS(tblActuals[Team 2 Points],tblActuals[Team 2],$CK12,tblActuals[Team 1],CM$3)+SUMIFS(tblActuals[Team 1 Points],tblActuals[Team 1],$CK12,tblActuals[Team 2],CM$3)</f>
        <v>0</v>
      </c>
      <c r="CN12" s="56">
        <f>SUMIFS(tblActuals[Team 2 Points],tblActuals[Team 2],$CK12,tblActuals[Team 1],CN$3)+SUMIFS(tblActuals[Team 1 Points],tblActuals[Team 1],$CK12,tblActuals[Team 2],CN$3)</f>
        <v>0</v>
      </c>
      <c r="CO12" s="56">
        <f>SUMIFS(tblActuals[Team 2 Points],tblActuals[Team 2],$CK12,tblActuals[Team 1],CO$3)+SUMIFS(tblActuals[Team 1 Points],tblActuals[Team 1],$CK12,tblActuals[Team 2],CO$3)</f>
        <v>0</v>
      </c>
      <c r="CP12" s="56">
        <f>SUMIFS(tblActuals[Team 2 Points],tblActuals[Team 2],$CK12,tblActuals[Team 1],CP$3)+SUMIFS(tblActuals[Team 1 Points],tblActuals[Team 1],$CK12,tblActuals[Team 2],CP$3)</f>
        <v>0</v>
      </c>
      <c r="CQ12" s="56">
        <f>SUMIFS(tblActuals[Team 2 Points],tblActuals[Team 2],$CK12,tblActuals[Team 1],CQ$3)+SUMIFS(tblActuals[Team 1 Points],tblActuals[Team 1],$CK12,tblActuals[Team 2],CQ$3)</f>
        <v>0</v>
      </c>
      <c r="CR12" s="56">
        <f>SUMIFS(tblActuals[Team 2 Points],tblActuals[Team 2],$CK12,tblActuals[Team 1],CR$3)+SUMIFS(tblActuals[Team 1 Points],tblActuals[Team 1],$CK12,tblActuals[Team 2],CR$3)</f>
        <v>0</v>
      </c>
      <c r="CS12" s="56">
        <f>SUMIFS(tblActuals[Team 2 Points],tblActuals[Team 2],$CK12,tblActuals[Team 1],CS$3)+SUMIFS(tblActuals[Team 1 Points],tblActuals[Team 1],$CK12,tblActuals[Team 2],CS$3)</f>
        <v>0</v>
      </c>
      <c r="CT12" s="56">
        <f>SUMIFS(tblActuals[Team 2 Points],tblActuals[Team 2],$CK12,tblActuals[Team 1],CT$3)+SUMIFS(tblActuals[Team 1 Points],tblActuals[Team 1],$CK12,tblActuals[Team 2],CT$3)</f>
        <v>0</v>
      </c>
      <c r="CU12" s="56">
        <f>SUMIFS(tblActuals[Team 2 Points],tblActuals[Team 2],$CK12,tblActuals[Team 1],CU$3)+SUMIFS(tblActuals[Team 1 Points],tblActuals[Team 1],$CK12,tblActuals[Team 2],CU$3)</f>
        <v>0</v>
      </c>
      <c r="CV12" s="56">
        <f>SUMIFS(tblActuals[Team 2 Points],tblActuals[Team 2],$CK12,tblActuals[Team 1],CV$3)+SUMIFS(tblActuals[Team 1 Points],tblActuals[Team 1],$CK12,tblActuals[Team 2],CV$3)</f>
        <v>0</v>
      </c>
      <c r="CW12" s="56">
        <f>SUMIFS(tblActuals[Team 2 Points],tblActuals[Team 2],$CK12,tblActuals[Team 1],CW$3)+SUMIFS(tblActuals[Team 1 Points],tblActuals[Team 1],$CK12,tblActuals[Team 2],CW$3)</f>
        <v>0</v>
      </c>
      <c r="CX12" s="56">
        <f>SUMIFS(tblActuals[Team 2 Points],tblActuals[Team 2],$CK12,tblActuals[Team 1],CX$3)+SUMIFS(tblActuals[Team 1 Points],tblActuals[Team 1],$CK12,tblActuals[Team 2],CX$3)</f>
        <v>0</v>
      </c>
      <c r="CY12" s="56">
        <f>SUMIFS(tblActuals[Team 2 Points],tblActuals[Team 2],$CK12,tblActuals[Team 1],CY$3)+SUMIFS(tblActuals[Team 1 Points],tblActuals[Team 1],$CK12,tblActuals[Team 2],CY$3)</f>
        <v>0</v>
      </c>
      <c r="CZ12" s="56">
        <f>SUMIFS(tblActuals[Team 2 Points],tblActuals[Team 2],$CK12,tblActuals[Team 1],CZ$3)+SUMIFS(tblActuals[Team 1 Points],tblActuals[Team 1],$CK12,tblActuals[Team 2],CZ$3)</f>
        <v>0</v>
      </c>
      <c r="DA12" s="56">
        <f>SUMIFS(tblActuals[Team 2 Points],tblActuals[Team 2],$CK12,tblActuals[Team 1],DA$3)+SUMIFS(tblActuals[Team 1 Points],tblActuals[Team 1],$CK12,tblActuals[Team 2],DA$3)</f>
        <v>0</v>
      </c>
      <c r="DB12" s="56">
        <f>SUMIFS(tblActuals[Team 2 Points],tblActuals[Team 2],$CK12,tblActuals[Team 1],DB$3)+SUMIFS(tblActuals[Team 1 Points],tblActuals[Team 1],$CK12,tblActuals[Team 2],DB$3)</f>
        <v>0</v>
      </c>
      <c r="DC12" s="56">
        <f>SUMIFS(tblActuals[Team 2 Points],tblActuals[Team 2],$CK12,tblActuals[Team 1],DC$3)+SUMIFS(tblActuals[Team 1 Points],tblActuals[Team 1],$CK12,tblActuals[Team 2],DC$3)</f>
        <v>0</v>
      </c>
      <c r="DD12" s="56">
        <f>SUMIFS(tblActuals[Team 2 Points],tblActuals[Team 2],$CK12,tblActuals[Team 1],DD$3)+SUMIFS(tblActuals[Team 1 Points],tblActuals[Team 1],$CK12,tblActuals[Team 2],DD$3)</f>
        <v>0</v>
      </c>
      <c r="DE12" s="56">
        <f>SUMIFS(tblActuals[Team 2 Points],tblActuals[Team 2],$CK12,tblActuals[Team 1],DE$3)+SUMIFS(tblActuals[Team 1 Points],tblActuals[Team 1],$CK12,tblActuals[Team 2],DE$3)</f>
        <v>0</v>
      </c>
      <c r="DF12" s="56">
        <f>SUMIFS(tblActuals[Team 2 Points],tblActuals[Team 2],$CK12,tblActuals[Team 1],DF$3)+SUMIFS(tblActuals[Team 1 Points],tblActuals[Team 1],$CK12,tblActuals[Team 2],DF$3)</f>
        <v>0</v>
      </c>
      <c r="DG12" s="56">
        <f>SUMIFS(tblActuals[Team 2 Points],tblActuals[Team 2],$CK12,tblActuals[Team 1],DG$3)+SUMIFS(tblActuals[Team 1 Points],tblActuals[Team 1],$CK12,tblActuals[Team 2],DG$3)</f>
        <v>0</v>
      </c>
      <c r="DH12" s="56">
        <f>SUMIFS(tblActuals[Team 2 Points],tblActuals[Team 2],$CK12,tblActuals[Team 1],DH$3)+SUMIFS(tblActuals[Team 1 Points],tblActuals[Team 1],$CK12,tblActuals[Team 2],DH$3)</f>
        <v>0</v>
      </c>
      <c r="DI12" s="56">
        <f>SUMIFS(tblActuals[Team 2 Points],tblActuals[Team 2],$CK12,tblActuals[Team 1],DI$3)+SUMIFS(tblActuals[Team 1 Points],tblActuals[Team 1],$CK12,tblActuals[Team 2],DI$3)</f>
        <v>0</v>
      </c>
      <c r="DJ12" s="57"/>
      <c r="DK12" s="57"/>
      <c r="DL12" s="57"/>
      <c r="DM12" s="57"/>
      <c r="DN12" s="57"/>
      <c r="DO12" s="57"/>
      <c r="DP12" s="57"/>
      <c r="DQ12" s="57"/>
      <c r="DR12" s="4"/>
      <c r="DS12" s="4" t="s">
        <v>128</v>
      </c>
      <c r="DT12" s="56">
        <f>SUMIFS(tblActuals[Team 2 GD],tblActuals[Team 2],$CK12,tblActuals[Team 1],DT$3)+SUMIFS(tblActuals[Team 1 GD],tblActuals[Team 1],$CK12,tblActuals[Team 2],DT$3)</f>
        <v>0</v>
      </c>
      <c r="DU12" s="56">
        <f>SUMIFS(tblActuals[Team 2 GD],tblActuals[Team 2],$CK12,tblActuals[Team 1],DU$3)+SUMIFS(tblActuals[Team 1 GD],tblActuals[Team 1],$CK12,tblActuals[Team 2],DU$3)</f>
        <v>0</v>
      </c>
      <c r="DV12" s="56">
        <f>SUMIFS(tblActuals[Team 2 GD],tblActuals[Team 2],$CK12,tblActuals[Team 1],DV$3)+SUMIFS(tblActuals[Team 1 GD],tblActuals[Team 1],$CK12,tblActuals[Team 2],DV$3)</f>
        <v>0</v>
      </c>
      <c r="DW12" s="56">
        <f>SUMIFS(tblActuals[Team 2 GD],tblActuals[Team 2],$CK12,tblActuals[Team 1],DW$3)+SUMIFS(tblActuals[Team 1 GD],tblActuals[Team 1],$CK12,tblActuals[Team 2],DW$3)</f>
        <v>0</v>
      </c>
      <c r="DX12" s="56">
        <f>SUMIFS(tblActuals[Team 2 GD],tblActuals[Team 2],$CK12,tblActuals[Team 1],DX$3)+SUMIFS(tblActuals[Team 1 GD],tblActuals[Team 1],$CK12,tblActuals[Team 2],DX$3)</f>
        <v>0</v>
      </c>
      <c r="DY12" s="56">
        <f>SUMIFS(tblActuals[Team 2 GD],tblActuals[Team 2],$CK12,tblActuals[Team 1],DY$3)+SUMIFS(tblActuals[Team 1 GD],tblActuals[Team 1],$CK12,tblActuals[Team 2],DY$3)</f>
        <v>0</v>
      </c>
      <c r="DZ12" s="56">
        <f>SUMIFS(tblActuals[Team 2 GD],tblActuals[Team 2],$CK12,tblActuals[Team 1],DZ$3)+SUMIFS(tblActuals[Team 1 GD],tblActuals[Team 1],$CK12,tblActuals[Team 2],DZ$3)</f>
        <v>0</v>
      </c>
      <c r="EA12" s="56">
        <f>SUMIFS(tblActuals[Team 2 GD],tblActuals[Team 2],$CK12,tblActuals[Team 1],EA$3)+SUMIFS(tblActuals[Team 1 GD],tblActuals[Team 1],$CK12,tblActuals[Team 2],EA$3)</f>
        <v>0</v>
      </c>
      <c r="EB12" s="56">
        <f>SUMIFS(tblActuals[Team 2 GD],tblActuals[Team 2],$CK12,tblActuals[Team 1],EB$3)+SUMIFS(tblActuals[Team 1 GD],tblActuals[Team 1],$CK12,tblActuals[Team 2],EB$3)</f>
        <v>0</v>
      </c>
      <c r="EC12" s="56">
        <f>SUMIFS(tblActuals[Team 2 GD],tblActuals[Team 2],$CK12,tblActuals[Team 1],EC$3)+SUMIFS(tblActuals[Team 1 GD],tblActuals[Team 1],$CK12,tblActuals[Team 2],EC$3)</f>
        <v>0</v>
      </c>
      <c r="ED12" s="56">
        <f>SUMIFS(tblActuals[Team 2 GD],tblActuals[Team 2],$CK12,tblActuals[Team 1],ED$3)+SUMIFS(tblActuals[Team 1 GD],tblActuals[Team 1],$CK12,tblActuals[Team 2],ED$3)</f>
        <v>0</v>
      </c>
      <c r="EE12" s="56">
        <f>SUMIFS(tblActuals[Team 2 GD],tblActuals[Team 2],$CK12,tblActuals[Team 1],EE$3)+SUMIFS(tblActuals[Team 1 GD],tblActuals[Team 1],$CK12,tblActuals[Team 2],EE$3)</f>
        <v>0</v>
      </c>
      <c r="EF12" s="56">
        <f>SUMIFS(tblActuals[Team 2 GD],tblActuals[Team 2],$CK12,tblActuals[Team 1],EF$3)+SUMIFS(tblActuals[Team 1 GD],tblActuals[Team 1],$CK12,tblActuals[Team 2],EF$3)</f>
        <v>0</v>
      </c>
      <c r="EG12" s="56">
        <f>SUMIFS(tblActuals[Team 2 GD],tblActuals[Team 2],$CK12,tblActuals[Team 1],EG$3)+SUMIFS(tblActuals[Team 1 GD],tblActuals[Team 1],$CK12,tblActuals[Team 2],EG$3)</f>
        <v>0</v>
      </c>
      <c r="EH12" s="56">
        <f>SUMIFS(tblActuals[Team 2 GD],tblActuals[Team 2],$CK12,tblActuals[Team 1],EH$3)+SUMIFS(tblActuals[Team 1 GD],tblActuals[Team 1],$CK12,tblActuals[Team 2],EH$3)</f>
        <v>0</v>
      </c>
      <c r="EI12" s="56">
        <f>SUMIFS(tblActuals[Team 2 GD],tblActuals[Team 2],$CK12,tblActuals[Team 1],EI$3)+SUMIFS(tblActuals[Team 1 GD],tblActuals[Team 1],$CK12,tblActuals[Team 2],EI$3)</f>
        <v>0</v>
      </c>
      <c r="EJ12" s="56">
        <f>SUMIFS(tblActuals[Team 2 GD],tblActuals[Team 2],$CK12,tblActuals[Team 1],EJ$3)+SUMIFS(tblActuals[Team 1 GD],tblActuals[Team 1],$CK12,tblActuals[Team 2],EJ$3)</f>
        <v>0</v>
      </c>
      <c r="EK12" s="56">
        <f>SUMIFS(tblActuals[Team 2 GD],tblActuals[Team 2],$CK12,tblActuals[Team 1],EK$3)+SUMIFS(tblActuals[Team 1 GD],tblActuals[Team 1],$CK12,tblActuals[Team 2],EK$3)</f>
        <v>0</v>
      </c>
      <c r="EL12" s="56">
        <f>SUMIFS(tblActuals[Team 2 GD],tblActuals[Team 2],$CK12,tblActuals[Team 1],EL$3)+SUMIFS(tblActuals[Team 1 GD],tblActuals[Team 1],$CK12,tblActuals[Team 2],EL$3)</f>
        <v>0</v>
      </c>
      <c r="EM12" s="56">
        <f>SUMIFS(tblActuals[Team 2 GD],tblActuals[Team 2],$CK12,tblActuals[Team 1],EM$3)+SUMIFS(tblActuals[Team 1 GD],tblActuals[Team 1],$CK12,tblActuals[Team 2],EM$3)</f>
        <v>0</v>
      </c>
      <c r="EN12" s="56">
        <f>SUMIFS(tblActuals[Team 2 GD],tblActuals[Team 2],$CK12,tblActuals[Team 1],EN$3)+SUMIFS(tblActuals[Team 1 GD],tblActuals[Team 1],$CK12,tblActuals[Team 2],EN$3)</f>
        <v>0</v>
      </c>
      <c r="EO12" s="56">
        <f>SUMIFS(tblActuals[Team 2 GD],tblActuals[Team 2],$CK12,tblActuals[Team 1],EO$3)+SUMIFS(tblActuals[Team 1 GD],tblActuals[Team 1],$CK12,tblActuals[Team 2],EO$3)</f>
        <v>0</v>
      </c>
      <c r="EP12" s="56">
        <f>SUMIFS(tblActuals[Team 2 GD],tblActuals[Team 2],$CK12,tblActuals[Team 1],EP$3)+SUMIFS(tblActuals[Team 1 GD],tblActuals[Team 1],$CK12,tblActuals[Team 2],EP$3)</f>
        <v>0</v>
      </c>
      <c r="EQ12" s="56">
        <f>SUMIFS(tblActuals[Team 2 GD],tblActuals[Team 2],$CK12,tblActuals[Team 1],EQ$3)+SUMIFS(tblActuals[Team 1 GD],tblActuals[Team 1],$CK12,tblActuals[Team 2],EQ$3)</f>
        <v>0</v>
      </c>
      <c r="ER12" s="57"/>
      <c r="ES12" s="57"/>
      <c r="ET12" s="57"/>
      <c r="EU12" s="57"/>
      <c r="EV12" s="57"/>
      <c r="EW12" s="57"/>
      <c r="EX12" s="57"/>
      <c r="EY12" s="57"/>
      <c r="EZ12" s="4"/>
      <c r="FA12" s="4" t="s">
        <v>128</v>
      </c>
      <c r="FB12" s="56">
        <f>SUMIFS(tblActuals[Team 2 Goals],tblActuals[Team 2],$CK12,tblActuals[Team 1],FB$3)+SUMIFS(tblActuals[Team 1 Goals],tblActuals[Team 1],$CK12,tblActuals[Team 2],FB$3)</f>
        <v>0</v>
      </c>
      <c r="FC12" s="56">
        <f>SUMIFS(tblActuals[Team 2 Goals],tblActuals[Team 2],$CK12,tblActuals[Team 1],FC$3)+SUMIFS(tblActuals[Team 1 Goals],tblActuals[Team 1],$CK12,tblActuals[Team 2],FC$3)</f>
        <v>0</v>
      </c>
      <c r="FD12" s="56">
        <f>SUMIFS(tblActuals[Team 2 Goals],tblActuals[Team 2],$CK12,tblActuals[Team 1],FD$3)+SUMIFS(tblActuals[Team 1 Goals],tblActuals[Team 1],$CK12,tblActuals[Team 2],FD$3)</f>
        <v>0</v>
      </c>
      <c r="FE12" s="56">
        <f>SUMIFS(tblActuals[Team 2 Goals],tblActuals[Team 2],$CK12,tblActuals[Team 1],FE$3)+SUMIFS(tblActuals[Team 1 Goals],tblActuals[Team 1],$CK12,tblActuals[Team 2],FE$3)</f>
        <v>0</v>
      </c>
      <c r="FF12" s="56">
        <f>SUMIFS(tblActuals[Team 2 Goals],tblActuals[Team 2],$CK12,tblActuals[Team 1],FF$3)+SUMIFS(tblActuals[Team 1 Goals],tblActuals[Team 1],$CK12,tblActuals[Team 2],FF$3)</f>
        <v>0</v>
      </c>
      <c r="FG12" s="56">
        <f>SUMIFS(tblActuals[Team 2 Goals],tblActuals[Team 2],$CK12,tblActuals[Team 1],FG$3)+SUMIFS(tblActuals[Team 1 Goals],tblActuals[Team 1],$CK12,tblActuals[Team 2],FG$3)</f>
        <v>0</v>
      </c>
      <c r="FH12" s="56">
        <f>SUMIFS(tblActuals[Team 2 Goals],tblActuals[Team 2],$CK12,tblActuals[Team 1],FH$3)+SUMIFS(tblActuals[Team 1 Goals],tblActuals[Team 1],$CK12,tblActuals[Team 2],FH$3)</f>
        <v>0</v>
      </c>
      <c r="FI12" s="56">
        <f>SUMIFS(tblActuals[Team 2 Goals],tblActuals[Team 2],$CK12,tblActuals[Team 1],FI$3)+SUMIFS(tblActuals[Team 1 Goals],tblActuals[Team 1],$CK12,tblActuals[Team 2],FI$3)</f>
        <v>0</v>
      </c>
      <c r="FJ12" s="56">
        <f>SUMIFS(tblActuals[Team 2 Goals],tblActuals[Team 2],$CK12,tblActuals[Team 1],FJ$3)+SUMIFS(tblActuals[Team 1 Goals],tblActuals[Team 1],$CK12,tblActuals[Team 2],FJ$3)</f>
        <v>0</v>
      </c>
      <c r="FK12" s="56">
        <f>SUMIFS(tblActuals[Team 2 Goals],tblActuals[Team 2],$CK12,tblActuals[Team 1],FK$3)+SUMIFS(tblActuals[Team 1 Goals],tblActuals[Team 1],$CK12,tblActuals[Team 2],FK$3)</f>
        <v>0</v>
      </c>
      <c r="FL12" s="56">
        <f>SUMIFS(tblActuals[Team 2 Goals],tblActuals[Team 2],$CK12,tblActuals[Team 1],FL$3)+SUMIFS(tblActuals[Team 1 Goals],tblActuals[Team 1],$CK12,tblActuals[Team 2],FL$3)</f>
        <v>0</v>
      </c>
      <c r="FM12" s="56">
        <f>SUMIFS(tblActuals[Team 2 Goals],tblActuals[Team 2],$CK12,tblActuals[Team 1],FM$3)+SUMIFS(tblActuals[Team 1 Goals],tblActuals[Team 1],$CK12,tblActuals[Team 2],FM$3)</f>
        <v>0</v>
      </c>
      <c r="FN12" s="56">
        <f>SUMIFS(tblActuals[Team 2 Goals],tblActuals[Team 2],$CK12,tblActuals[Team 1],FN$3)+SUMIFS(tblActuals[Team 1 Goals],tblActuals[Team 1],$CK12,tblActuals[Team 2],FN$3)</f>
        <v>0</v>
      </c>
      <c r="FO12" s="56">
        <f>SUMIFS(tblActuals[Team 2 Goals],tblActuals[Team 2],$CK12,tblActuals[Team 1],FO$3)+SUMIFS(tblActuals[Team 1 Goals],tblActuals[Team 1],$CK12,tblActuals[Team 2],FO$3)</f>
        <v>0</v>
      </c>
      <c r="FP12" s="56">
        <f>SUMIFS(tblActuals[Team 2 Goals],tblActuals[Team 2],$CK12,tblActuals[Team 1],FP$3)+SUMIFS(tblActuals[Team 1 Goals],tblActuals[Team 1],$CK12,tblActuals[Team 2],FP$3)</f>
        <v>0</v>
      </c>
      <c r="FQ12" s="56">
        <f>SUMIFS(tblActuals[Team 2 Goals],tblActuals[Team 2],$CK12,tblActuals[Team 1],FQ$3)+SUMIFS(tblActuals[Team 1 Goals],tblActuals[Team 1],$CK12,tblActuals[Team 2],FQ$3)</f>
        <v>0</v>
      </c>
      <c r="FR12" s="56">
        <f>SUMIFS(tblActuals[Team 2 Goals],tblActuals[Team 2],$CK12,tblActuals[Team 1],FR$3)+SUMIFS(tblActuals[Team 1 Goals],tblActuals[Team 1],$CK12,tblActuals[Team 2],FR$3)</f>
        <v>0</v>
      </c>
      <c r="FS12" s="56">
        <f>SUMIFS(tblActuals[Team 2 Goals],tblActuals[Team 2],$CK12,tblActuals[Team 1],FS$3)+SUMIFS(tblActuals[Team 1 Goals],tblActuals[Team 1],$CK12,tblActuals[Team 2],FS$3)</f>
        <v>0</v>
      </c>
      <c r="FT12" s="56">
        <f>SUMIFS(tblActuals[Team 2 Goals],tblActuals[Team 2],$CK12,tblActuals[Team 1],FT$3)+SUMIFS(tblActuals[Team 1 Goals],tblActuals[Team 1],$CK12,tblActuals[Team 2],FT$3)</f>
        <v>0</v>
      </c>
      <c r="FU12" s="56">
        <f>SUMIFS(tblActuals[Team 2 Goals],tblActuals[Team 2],$CK12,tblActuals[Team 1],FU$3)+SUMIFS(tblActuals[Team 1 Goals],tblActuals[Team 1],$CK12,tblActuals[Team 2],FU$3)</f>
        <v>0</v>
      </c>
      <c r="FV12" s="56">
        <f>SUMIFS(tblActuals[Team 2 Goals],tblActuals[Team 2],$CK12,tblActuals[Team 1],FV$3)+SUMIFS(tblActuals[Team 1 Goals],tblActuals[Team 1],$CK12,tblActuals[Team 2],FV$3)</f>
        <v>0</v>
      </c>
      <c r="FW12" s="56">
        <f>SUMIFS(tblActuals[Team 2 Goals],tblActuals[Team 2],$CK12,tblActuals[Team 1],FW$3)+SUMIFS(tblActuals[Team 1 Goals],tblActuals[Team 1],$CK12,tblActuals[Team 2],FW$3)</f>
        <v>0</v>
      </c>
      <c r="FX12" s="56">
        <f>SUMIFS(tblActuals[Team 2 Goals],tblActuals[Team 2],$CK12,tblActuals[Team 1],FX$3)+SUMIFS(tblActuals[Team 1 Goals],tblActuals[Team 1],$CK12,tblActuals[Team 2],FX$3)</f>
        <v>0</v>
      </c>
      <c r="FY12" s="56">
        <f>SUMIFS(tblActuals[Team 2 Goals],tblActuals[Team 2],$CK12,tblActuals[Team 1],FY$3)+SUMIFS(tblActuals[Team 1 Goals],tblActuals[Team 1],$CK12,tblActuals[Team 2],FY$3)</f>
        <v>0</v>
      </c>
      <c r="FZ12" s="57"/>
      <c r="GA12" s="57"/>
      <c r="GB12" s="37"/>
      <c r="GC12" s="37"/>
      <c r="GD12" s="37"/>
      <c r="GE12" s="37"/>
      <c r="GF12" s="37"/>
      <c r="GG12" s="37"/>
      <c r="GH12" s="75"/>
      <c r="GI12" s="156"/>
      <c r="GJ12" s="156"/>
      <c r="GK12" s="75"/>
      <c r="GL12" s="75"/>
      <c r="GM12" s="75"/>
      <c r="GN12" s="75"/>
      <c r="GO12" s="75"/>
      <c r="GP12" s="75"/>
      <c r="GR12" s="4" t="str">
        <f t="shared" si="12"/>
        <v>ACDF</v>
      </c>
      <c r="GS12" s="44" t="s">
        <v>1</v>
      </c>
      <c r="GT12" s="45"/>
      <c r="GU12" s="44" t="s">
        <v>6</v>
      </c>
      <c r="GV12" s="44" t="s">
        <v>7</v>
      </c>
      <c r="GW12" s="45"/>
      <c r="GX12" s="44" t="s">
        <v>45</v>
      </c>
      <c r="GY12" s="178"/>
      <c r="GZ12" s="45" t="s">
        <v>154</v>
      </c>
      <c r="HA12" s="45" t="s">
        <v>150</v>
      </c>
      <c r="HB12" s="45" t="s">
        <v>152</v>
      </c>
      <c r="HC12" s="45" t="s">
        <v>149</v>
      </c>
    </row>
    <row r="13" spans="1:211" s="11" customFormat="1" ht="30" customHeight="1" x14ac:dyDescent="0.2">
      <c r="A13" s="20"/>
      <c r="B13" s="122">
        <v>10</v>
      </c>
      <c r="C13" s="122" t="s">
        <v>12</v>
      </c>
      <c r="D13" s="123">
        <v>45460</v>
      </c>
      <c r="E13" s="122" t="s">
        <v>78</v>
      </c>
      <c r="F13" s="124">
        <v>0.625</v>
      </c>
      <c r="G13" s="125">
        <f t="shared" si="8"/>
        <v>45460.375</v>
      </c>
      <c r="H13" s="122" t="s">
        <v>98</v>
      </c>
      <c r="I13" s="126"/>
      <c r="J13" s="118"/>
      <c r="K13" s="118"/>
      <c r="L13" s="119" t="str">
        <f>IF(tblActuals[[#This Row],[SCORE]]="","",IF(Q13=R13,"Draw",IF(Q13&gt;R13,M13,N13)))</f>
        <v/>
      </c>
      <c r="M13" s="120" t="str">
        <f>IF(tblActuals[[#This Row],[TEAMS]]="","",LEFT(H13,FIND(" -",H13,1)-1))</f>
        <v>Romania</v>
      </c>
      <c r="N13" s="120" t="str">
        <f>IF(tblActuals[[#This Row],[TEAMS]]="","",MID(H13,FIND("-",H13,1)+2,LEN(H13)-FIND("-",H13,1)+2))</f>
        <v>Ukraine</v>
      </c>
      <c r="O13" s="120" t="str">
        <f>IF(tblActuals[[#This Row],[Team 1 Goals]]&gt;tblActuals[[#This Row],[Team 2 Goals]],tblActuals[[#This Row],[Team 1]],IF(tblActuals[[#This Row],[Team 2 Goals]]&gt;tblActuals[[#This Row],[Team 1 Goals]],tblActuals[[#This Row],[Team 2]],""))</f>
        <v/>
      </c>
      <c r="P13" s="120" t="str">
        <f>IF(tblActuals[[#This Row],[Winner]]=tblActuals[[#This Row],[Team 1]],tblActuals[[#This Row],[Team 2]],IF(tblActuals[[#This Row],[Winner]]=tblActuals[[#This Row],[Team 2]],tblActuals[[#This Row],[Team 1]],""))</f>
        <v/>
      </c>
      <c r="Q13" s="120" t="str">
        <f>IF(tblActuals[[#This Row],[SCORE]]="","",LEFT(I13,FIND(":",I13,1)-1)*1)</f>
        <v/>
      </c>
      <c r="R13" s="120" t="str">
        <f>IF(tblActuals[[#This Row],[SCORE]]="","",MID(I13,FIND(":",I13,1)+1,LEN(I13)-FIND(":",I13,1)+1)*1)</f>
        <v/>
      </c>
      <c r="S13" s="120" t="str">
        <f>IF(OR(tblActuals[[#This Row],[Team 1 Goals]]="",tblActuals[[#This Row],[Team 2 Goals]]=""),"",tblActuals[[#This Row],[Team 1 Goals]]-tblActuals[[#This Row],[Team 2 Goals]])</f>
        <v/>
      </c>
      <c r="T13" s="120" t="str">
        <f>IF(OR(tblActuals[[#This Row],[Team 1 Goals]]="",tblActuals[[#This Row],[Team 2 Goals]]=""),"",tblActuals[[#This Row],[Team 2 Goals]]-tblActuals[[#This Row],[Team 1 Goals]])</f>
        <v/>
      </c>
      <c r="U13" s="120" t="str">
        <f>IF(tblActuals[[#This Row],[SCORE]]="","",IF(tblActuals[[#This Row],[WINNER / RESULT]]="Draw",1,IF(tblActuals[[#This Row],[WINNER / RESULT]]=tblActuals[[#This Row],[Team 1]],3,0)))</f>
        <v/>
      </c>
      <c r="V13" s="120" t="str">
        <f>IF(tblActuals[[#This Row],[SCORE]]="","",IF(tblActuals[[#This Row],[WINNER / RESULT]]="Draw",1,IF(tblActuals[[#This Row],[WINNER / RESULT]]=tblActuals[[#This Row],[Team 2]],3,0)))</f>
        <v/>
      </c>
      <c r="W13" s="121"/>
      <c r="X13" s="121"/>
      <c r="Y13" s="121"/>
      <c r="Z13" s="121"/>
      <c r="AA13" s="120" t="e">
        <f>tblActuals[[#This Row],[Team 1 Goals]]+tblActuals[[#This Row],[Team 1 ET Goals]]&amp;":"&amp;tblActuals[[#This Row],[Team 2 Goals]]+tblActuals[[#This Row],[Team 2 ET Goals]]</f>
        <v>#VALUE!</v>
      </c>
      <c r="AB13" s="120" t="e">
        <f>+tblActuals[[#This Row],[Team 1 Goals]]+tblActuals[[#This Row],[Team 2 Goals]]</f>
        <v>#VALUE!</v>
      </c>
      <c r="AC13" s="165">
        <f t="shared" si="0"/>
        <v>45460</v>
      </c>
      <c r="AD13" s="166">
        <f t="shared" si="9"/>
        <v>9.3000000000000007</v>
      </c>
      <c r="AF13" s="38" t="s">
        <v>78</v>
      </c>
      <c r="AJ13" s="77" t="s">
        <v>5</v>
      </c>
      <c r="AK13" s="139">
        <v>2</v>
      </c>
      <c r="AL13" s="140" t="str">
        <f ca="1">IFERROR(INDEX(AT:AT,MATCH("2"&amp;AJ13,BD:BD,0),1),"")</f>
        <v>Croatia</v>
      </c>
      <c r="AM13" s="140" t="str">
        <f ca="1">IF(AL13="","",VLOOKUP(AL13,AT:AY,2,FALSE)&amp;"-"&amp;VLOOKUP(AL13,AT:AY,3,FALSE)&amp;"-"&amp;VLOOKUP(AL13,AT:AY,4,FALSE))</f>
        <v>0-0-0</v>
      </c>
      <c r="AN13" s="140">
        <f ca="1">IF(AL13="","",VLOOKUP(AL13,AT:BA,8,FALSE))</f>
        <v>0</v>
      </c>
      <c r="AO13" s="141">
        <f ca="1">IF(AL13="","",VLOOKUP(AL13,AT:BD,5,FALSE))</f>
        <v>0</v>
      </c>
      <c r="AP13" s="75"/>
      <c r="AQ13" s="42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 t="str">
        <f t="shared" si="1"/>
        <v/>
      </c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K13" s="4" t="s">
        <v>25</v>
      </c>
      <c r="CL13" s="56">
        <f>SUMIFS(tblActuals[Team 2 Points],tblActuals[Team 2],$CK13,tblActuals[Team 1],CL$3)+SUMIFS(tblActuals[Team 1 Points],tblActuals[Team 1],$CK13,tblActuals[Team 2],CL$3)</f>
        <v>0</v>
      </c>
      <c r="CM13" s="56">
        <f>SUMIFS(tblActuals[Team 2 Points],tblActuals[Team 2],$CK13,tblActuals[Team 1],CM$3)+SUMIFS(tblActuals[Team 1 Points],tblActuals[Team 1],$CK13,tblActuals[Team 2],CM$3)</f>
        <v>0</v>
      </c>
      <c r="CN13" s="56">
        <f>SUMIFS(tblActuals[Team 2 Points],tblActuals[Team 2],$CK13,tblActuals[Team 1],CN$3)+SUMIFS(tblActuals[Team 1 Points],tblActuals[Team 1],$CK13,tblActuals[Team 2],CN$3)</f>
        <v>0</v>
      </c>
      <c r="CO13" s="56">
        <f>SUMIFS(tblActuals[Team 2 Points],tblActuals[Team 2],$CK13,tblActuals[Team 1],CO$3)+SUMIFS(tblActuals[Team 1 Points],tblActuals[Team 1],$CK13,tblActuals[Team 2],CO$3)</f>
        <v>0</v>
      </c>
      <c r="CP13" s="56">
        <f>SUMIFS(tblActuals[Team 2 Points],tblActuals[Team 2],$CK13,tblActuals[Team 1],CP$3)+SUMIFS(tblActuals[Team 1 Points],tblActuals[Team 1],$CK13,tblActuals[Team 2],CP$3)</f>
        <v>0</v>
      </c>
      <c r="CQ13" s="56">
        <f>SUMIFS(tblActuals[Team 2 Points],tblActuals[Team 2],$CK13,tblActuals[Team 1],CQ$3)+SUMIFS(tblActuals[Team 1 Points],tblActuals[Team 1],$CK13,tblActuals[Team 2],CQ$3)</f>
        <v>0</v>
      </c>
      <c r="CR13" s="56">
        <f>SUMIFS(tblActuals[Team 2 Points],tblActuals[Team 2],$CK13,tblActuals[Team 1],CR$3)+SUMIFS(tblActuals[Team 1 Points],tblActuals[Team 1],$CK13,tblActuals[Team 2],CR$3)</f>
        <v>0</v>
      </c>
      <c r="CS13" s="56">
        <f>SUMIFS(tblActuals[Team 2 Points],tblActuals[Team 2],$CK13,tblActuals[Team 1],CS$3)+SUMIFS(tblActuals[Team 1 Points],tblActuals[Team 1],$CK13,tblActuals[Team 2],CS$3)</f>
        <v>0</v>
      </c>
      <c r="CT13" s="56">
        <f>SUMIFS(tblActuals[Team 2 Points],tblActuals[Team 2],$CK13,tblActuals[Team 1],CT$3)+SUMIFS(tblActuals[Team 1 Points],tblActuals[Team 1],$CK13,tblActuals[Team 2],CT$3)</f>
        <v>0</v>
      </c>
      <c r="CU13" s="56">
        <f>SUMIFS(tblActuals[Team 2 Points],tblActuals[Team 2],$CK13,tblActuals[Team 1],CU$3)+SUMIFS(tblActuals[Team 1 Points],tblActuals[Team 1],$CK13,tblActuals[Team 2],CU$3)</f>
        <v>0</v>
      </c>
      <c r="CV13" s="56">
        <f>SUMIFS(tblActuals[Team 2 Points],tblActuals[Team 2],$CK13,tblActuals[Team 1],CV$3)+SUMIFS(tblActuals[Team 1 Points],tblActuals[Team 1],$CK13,tblActuals[Team 2],CV$3)</f>
        <v>0</v>
      </c>
      <c r="CW13" s="56">
        <f>SUMIFS(tblActuals[Team 2 Points],tblActuals[Team 2],$CK13,tblActuals[Team 1],CW$3)+SUMIFS(tblActuals[Team 1 Points],tblActuals[Team 1],$CK13,tblActuals[Team 2],CW$3)</f>
        <v>0</v>
      </c>
      <c r="CX13" s="56">
        <f>SUMIFS(tblActuals[Team 2 Points],tblActuals[Team 2],$CK13,tblActuals[Team 1],CX$3)+SUMIFS(tblActuals[Team 1 Points],tblActuals[Team 1],$CK13,tblActuals[Team 2],CX$3)</f>
        <v>0</v>
      </c>
      <c r="CY13" s="56">
        <f>SUMIFS(tblActuals[Team 2 Points],tblActuals[Team 2],$CK13,tblActuals[Team 1],CY$3)+SUMIFS(tblActuals[Team 1 Points],tblActuals[Team 1],$CK13,tblActuals[Team 2],CY$3)</f>
        <v>0</v>
      </c>
      <c r="CZ13" s="56">
        <f>SUMIFS(tblActuals[Team 2 Points],tblActuals[Team 2],$CK13,tblActuals[Team 1],CZ$3)+SUMIFS(tblActuals[Team 1 Points],tblActuals[Team 1],$CK13,tblActuals[Team 2],CZ$3)</f>
        <v>0</v>
      </c>
      <c r="DA13" s="56">
        <f>SUMIFS(tblActuals[Team 2 Points],tblActuals[Team 2],$CK13,tblActuals[Team 1],DA$3)+SUMIFS(tblActuals[Team 1 Points],tblActuals[Team 1],$CK13,tblActuals[Team 2],DA$3)</f>
        <v>0</v>
      </c>
      <c r="DB13" s="56">
        <f>SUMIFS(tblActuals[Team 2 Points],tblActuals[Team 2],$CK13,tblActuals[Team 1],DB$3)+SUMIFS(tblActuals[Team 1 Points],tblActuals[Team 1],$CK13,tblActuals[Team 2],DB$3)</f>
        <v>0</v>
      </c>
      <c r="DC13" s="56">
        <f>SUMIFS(tblActuals[Team 2 Points],tblActuals[Team 2],$CK13,tblActuals[Team 1],DC$3)+SUMIFS(tblActuals[Team 1 Points],tblActuals[Team 1],$CK13,tblActuals[Team 2],DC$3)</f>
        <v>0</v>
      </c>
      <c r="DD13" s="56">
        <f>SUMIFS(tblActuals[Team 2 Points],tblActuals[Team 2],$CK13,tblActuals[Team 1],DD$3)+SUMIFS(tblActuals[Team 1 Points],tblActuals[Team 1],$CK13,tblActuals[Team 2],DD$3)</f>
        <v>0</v>
      </c>
      <c r="DE13" s="56">
        <f>SUMIFS(tblActuals[Team 2 Points],tblActuals[Team 2],$CK13,tblActuals[Team 1],DE$3)+SUMIFS(tblActuals[Team 1 Points],tblActuals[Team 1],$CK13,tblActuals[Team 2],DE$3)</f>
        <v>0</v>
      </c>
      <c r="DF13" s="56">
        <f>SUMIFS(tblActuals[Team 2 Points],tblActuals[Team 2],$CK13,tblActuals[Team 1],DF$3)+SUMIFS(tblActuals[Team 1 Points],tblActuals[Team 1],$CK13,tblActuals[Team 2],DF$3)</f>
        <v>0</v>
      </c>
      <c r="DG13" s="56">
        <f>SUMIFS(tblActuals[Team 2 Points],tblActuals[Team 2],$CK13,tblActuals[Team 1],DG$3)+SUMIFS(tblActuals[Team 1 Points],tblActuals[Team 1],$CK13,tblActuals[Team 2],DG$3)</f>
        <v>0</v>
      </c>
      <c r="DH13" s="56">
        <f>SUMIFS(tblActuals[Team 2 Points],tblActuals[Team 2],$CK13,tblActuals[Team 1],DH$3)+SUMIFS(tblActuals[Team 1 Points],tblActuals[Team 1],$CK13,tblActuals[Team 2],DH$3)</f>
        <v>0</v>
      </c>
      <c r="DI13" s="56">
        <f>SUMIFS(tblActuals[Team 2 Points],tblActuals[Team 2],$CK13,tblActuals[Team 1],DI$3)+SUMIFS(tblActuals[Team 1 Points],tblActuals[Team 1],$CK13,tblActuals[Team 2],DI$3)</f>
        <v>0</v>
      </c>
      <c r="DJ13" s="57"/>
      <c r="DK13" s="57"/>
      <c r="DL13" s="57"/>
      <c r="DM13" s="57"/>
      <c r="DN13" s="57"/>
      <c r="DO13" s="57"/>
      <c r="DP13" s="57"/>
      <c r="DQ13" s="57"/>
      <c r="DR13" s="4"/>
      <c r="DS13" s="4" t="s">
        <v>25</v>
      </c>
      <c r="DT13" s="56">
        <f>SUMIFS(tblActuals[Team 2 GD],tblActuals[Team 2],$CK13,tblActuals[Team 1],DT$3)+SUMIFS(tblActuals[Team 1 GD],tblActuals[Team 1],$CK13,tblActuals[Team 2],DT$3)</f>
        <v>0</v>
      </c>
      <c r="DU13" s="56">
        <f>SUMIFS(tblActuals[Team 2 GD],tblActuals[Team 2],$CK13,tblActuals[Team 1],DU$3)+SUMIFS(tblActuals[Team 1 GD],tblActuals[Team 1],$CK13,tblActuals[Team 2],DU$3)</f>
        <v>0</v>
      </c>
      <c r="DV13" s="56">
        <f>SUMIFS(tblActuals[Team 2 GD],tblActuals[Team 2],$CK13,tblActuals[Team 1],DV$3)+SUMIFS(tblActuals[Team 1 GD],tblActuals[Team 1],$CK13,tblActuals[Team 2],DV$3)</f>
        <v>0</v>
      </c>
      <c r="DW13" s="56">
        <f>SUMIFS(tblActuals[Team 2 GD],tblActuals[Team 2],$CK13,tblActuals[Team 1],DW$3)+SUMIFS(tblActuals[Team 1 GD],tblActuals[Team 1],$CK13,tblActuals[Team 2],DW$3)</f>
        <v>0</v>
      </c>
      <c r="DX13" s="56">
        <f>SUMIFS(tblActuals[Team 2 GD],tblActuals[Team 2],$CK13,tblActuals[Team 1],DX$3)+SUMIFS(tblActuals[Team 1 GD],tblActuals[Team 1],$CK13,tblActuals[Team 2],DX$3)</f>
        <v>0</v>
      </c>
      <c r="DY13" s="56">
        <f>SUMIFS(tblActuals[Team 2 GD],tblActuals[Team 2],$CK13,tblActuals[Team 1],DY$3)+SUMIFS(tblActuals[Team 1 GD],tblActuals[Team 1],$CK13,tblActuals[Team 2],DY$3)</f>
        <v>0</v>
      </c>
      <c r="DZ13" s="56">
        <f>SUMIFS(tblActuals[Team 2 GD],tblActuals[Team 2],$CK13,tblActuals[Team 1],DZ$3)+SUMIFS(tblActuals[Team 1 GD],tblActuals[Team 1],$CK13,tblActuals[Team 2],DZ$3)</f>
        <v>0</v>
      </c>
      <c r="EA13" s="56">
        <f>SUMIFS(tblActuals[Team 2 GD],tblActuals[Team 2],$CK13,tblActuals[Team 1],EA$3)+SUMIFS(tblActuals[Team 1 GD],tblActuals[Team 1],$CK13,tblActuals[Team 2],EA$3)</f>
        <v>0</v>
      </c>
      <c r="EB13" s="56">
        <f>SUMIFS(tblActuals[Team 2 GD],tblActuals[Team 2],$CK13,tblActuals[Team 1],EB$3)+SUMIFS(tblActuals[Team 1 GD],tblActuals[Team 1],$CK13,tblActuals[Team 2],EB$3)</f>
        <v>0</v>
      </c>
      <c r="EC13" s="56">
        <f>SUMIFS(tblActuals[Team 2 GD],tblActuals[Team 2],$CK13,tblActuals[Team 1],EC$3)+SUMIFS(tblActuals[Team 1 GD],tblActuals[Team 1],$CK13,tblActuals[Team 2],EC$3)</f>
        <v>0</v>
      </c>
      <c r="ED13" s="56">
        <f>SUMIFS(tblActuals[Team 2 GD],tblActuals[Team 2],$CK13,tblActuals[Team 1],ED$3)+SUMIFS(tblActuals[Team 1 GD],tblActuals[Team 1],$CK13,tblActuals[Team 2],ED$3)</f>
        <v>0</v>
      </c>
      <c r="EE13" s="56">
        <f>SUMIFS(tblActuals[Team 2 GD],tblActuals[Team 2],$CK13,tblActuals[Team 1],EE$3)+SUMIFS(tblActuals[Team 1 GD],tblActuals[Team 1],$CK13,tblActuals[Team 2],EE$3)</f>
        <v>0</v>
      </c>
      <c r="EF13" s="56">
        <f>SUMIFS(tblActuals[Team 2 GD],tblActuals[Team 2],$CK13,tblActuals[Team 1],EF$3)+SUMIFS(tblActuals[Team 1 GD],tblActuals[Team 1],$CK13,tblActuals[Team 2],EF$3)</f>
        <v>0</v>
      </c>
      <c r="EG13" s="56">
        <f>SUMIFS(tblActuals[Team 2 GD],tblActuals[Team 2],$CK13,tblActuals[Team 1],EG$3)+SUMIFS(tblActuals[Team 1 GD],tblActuals[Team 1],$CK13,tblActuals[Team 2],EG$3)</f>
        <v>0</v>
      </c>
      <c r="EH13" s="56">
        <f>SUMIFS(tblActuals[Team 2 GD],tblActuals[Team 2],$CK13,tblActuals[Team 1],EH$3)+SUMIFS(tblActuals[Team 1 GD],tblActuals[Team 1],$CK13,tblActuals[Team 2],EH$3)</f>
        <v>0</v>
      </c>
      <c r="EI13" s="56">
        <f>SUMIFS(tblActuals[Team 2 GD],tblActuals[Team 2],$CK13,tblActuals[Team 1],EI$3)+SUMIFS(tblActuals[Team 1 GD],tblActuals[Team 1],$CK13,tblActuals[Team 2],EI$3)</f>
        <v>0</v>
      </c>
      <c r="EJ13" s="56">
        <f>SUMIFS(tblActuals[Team 2 GD],tblActuals[Team 2],$CK13,tblActuals[Team 1],EJ$3)+SUMIFS(tblActuals[Team 1 GD],tblActuals[Team 1],$CK13,tblActuals[Team 2],EJ$3)</f>
        <v>0</v>
      </c>
      <c r="EK13" s="56">
        <f>SUMIFS(tblActuals[Team 2 GD],tblActuals[Team 2],$CK13,tblActuals[Team 1],EK$3)+SUMIFS(tblActuals[Team 1 GD],tblActuals[Team 1],$CK13,tblActuals[Team 2],EK$3)</f>
        <v>0</v>
      </c>
      <c r="EL13" s="56">
        <f>SUMIFS(tblActuals[Team 2 GD],tblActuals[Team 2],$CK13,tblActuals[Team 1],EL$3)+SUMIFS(tblActuals[Team 1 GD],tblActuals[Team 1],$CK13,tblActuals[Team 2],EL$3)</f>
        <v>0</v>
      </c>
      <c r="EM13" s="56">
        <f>SUMIFS(tblActuals[Team 2 GD],tblActuals[Team 2],$CK13,tblActuals[Team 1],EM$3)+SUMIFS(tblActuals[Team 1 GD],tblActuals[Team 1],$CK13,tblActuals[Team 2],EM$3)</f>
        <v>0</v>
      </c>
      <c r="EN13" s="56">
        <f>SUMIFS(tblActuals[Team 2 GD],tblActuals[Team 2],$CK13,tblActuals[Team 1],EN$3)+SUMIFS(tblActuals[Team 1 GD],tblActuals[Team 1],$CK13,tblActuals[Team 2],EN$3)</f>
        <v>0</v>
      </c>
      <c r="EO13" s="56">
        <f>SUMIFS(tblActuals[Team 2 GD],tblActuals[Team 2],$CK13,tblActuals[Team 1],EO$3)+SUMIFS(tblActuals[Team 1 GD],tblActuals[Team 1],$CK13,tblActuals[Team 2],EO$3)</f>
        <v>0</v>
      </c>
      <c r="EP13" s="56">
        <f>SUMIFS(tblActuals[Team 2 GD],tblActuals[Team 2],$CK13,tblActuals[Team 1],EP$3)+SUMIFS(tblActuals[Team 1 GD],tblActuals[Team 1],$CK13,tblActuals[Team 2],EP$3)</f>
        <v>0</v>
      </c>
      <c r="EQ13" s="56">
        <f>SUMIFS(tblActuals[Team 2 GD],tblActuals[Team 2],$CK13,tblActuals[Team 1],EQ$3)+SUMIFS(tblActuals[Team 1 GD],tblActuals[Team 1],$CK13,tblActuals[Team 2],EQ$3)</f>
        <v>0</v>
      </c>
      <c r="ER13" s="57"/>
      <c r="ES13" s="57"/>
      <c r="ET13" s="57"/>
      <c r="EU13" s="57"/>
      <c r="EV13" s="57"/>
      <c r="EW13" s="57"/>
      <c r="EX13" s="57"/>
      <c r="EY13" s="57"/>
      <c r="EZ13" s="4"/>
      <c r="FA13" s="4" t="s">
        <v>25</v>
      </c>
      <c r="FB13" s="56">
        <f>SUMIFS(tblActuals[Team 2 Goals],tblActuals[Team 2],$CK13,tblActuals[Team 1],FB$3)+SUMIFS(tblActuals[Team 1 Goals],tblActuals[Team 1],$CK13,tblActuals[Team 2],FB$3)</f>
        <v>0</v>
      </c>
      <c r="FC13" s="56">
        <f>SUMIFS(tblActuals[Team 2 Goals],tblActuals[Team 2],$CK13,tblActuals[Team 1],FC$3)+SUMIFS(tblActuals[Team 1 Goals],tblActuals[Team 1],$CK13,tblActuals[Team 2],FC$3)</f>
        <v>0</v>
      </c>
      <c r="FD13" s="56">
        <f>SUMIFS(tblActuals[Team 2 Goals],tblActuals[Team 2],$CK13,tblActuals[Team 1],FD$3)+SUMIFS(tblActuals[Team 1 Goals],tblActuals[Team 1],$CK13,tblActuals[Team 2],FD$3)</f>
        <v>0</v>
      </c>
      <c r="FE13" s="56">
        <f>SUMIFS(tblActuals[Team 2 Goals],tblActuals[Team 2],$CK13,tblActuals[Team 1],FE$3)+SUMIFS(tblActuals[Team 1 Goals],tblActuals[Team 1],$CK13,tblActuals[Team 2],FE$3)</f>
        <v>0</v>
      </c>
      <c r="FF13" s="56">
        <f>SUMIFS(tblActuals[Team 2 Goals],tblActuals[Team 2],$CK13,tblActuals[Team 1],FF$3)+SUMIFS(tblActuals[Team 1 Goals],tblActuals[Team 1],$CK13,tblActuals[Team 2],FF$3)</f>
        <v>0</v>
      </c>
      <c r="FG13" s="56">
        <f>SUMIFS(tblActuals[Team 2 Goals],tblActuals[Team 2],$CK13,tblActuals[Team 1],FG$3)+SUMIFS(tblActuals[Team 1 Goals],tblActuals[Team 1],$CK13,tblActuals[Team 2],FG$3)</f>
        <v>0</v>
      </c>
      <c r="FH13" s="56">
        <f>SUMIFS(tblActuals[Team 2 Goals],tblActuals[Team 2],$CK13,tblActuals[Team 1],FH$3)+SUMIFS(tblActuals[Team 1 Goals],tblActuals[Team 1],$CK13,tblActuals[Team 2],FH$3)</f>
        <v>0</v>
      </c>
      <c r="FI13" s="56">
        <f>SUMIFS(tblActuals[Team 2 Goals],tblActuals[Team 2],$CK13,tblActuals[Team 1],FI$3)+SUMIFS(tblActuals[Team 1 Goals],tblActuals[Team 1],$CK13,tblActuals[Team 2],FI$3)</f>
        <v>0</v>
      </c>
      <c r="FJ13" s="56">
        <f>SUMIFS(tblActuals[Team 2 Goals],tblActuals[Team 2],$CK13,tblActuals[Team 1],FJ$3)+SUMIFS(tblActuals[Team 1 Goals],tblActuals[Team 1],$CK13,tblActuals[Team 2],FJ$3)</f>
        <v>0</v>
      </c>
      <c r="FK13" s="56">
        <f>SUMIFS(tblActuals[Team 2 Goals],tblActuals[Team 2],$CK13,tblActuals[Team 1],FK$3)+SUMIFS(tblActuals[Team 1 Goals],tblActuals[Team 1],$CK13,tblActuals[Team 2],FK$3)</f>
        <v>0</v>
      </c>
      <c r="FL13" s="56">
        <f>SUMIFS(tblActuals[Team 2 Goals],tblActuals[Team 2],$CK13,tblActuals[Team 1],FL$3)+SUMIFS(tblActuals[Team 1 Goals],tblActuals[Team 1],$CK13,tblActuals[Team 2],FL$3)</f>
        <v>0</v>
      </c>
      <c r="FM13" s="56">
        <f>SUMIFS(tblActuals[Team 2 Goals],tblActuals[Team 2],$CK13,tblActuals[Team 1],FM$3)+SUMIFS(tblActuals[Team 1 Goals],tblActuals[Team 1],$CK13,tblActuals[Team 2],FM$3)</f>
        <v>0</v>
      </c>
      <c r="FN13" s="56">
        <f>SUMIFS(tblActuals[Team 2 Goals],tblActuals[Team 2],$CK13,tblActuals[Team 1],FN$3)+SUMIFS(tblActuals[Team 1 Goals],tblActuals[Team 1],$CK13,tblActuals[Team 2],FN$3)</f>
        <v>0</v>
      </c>
      <c r="FO13" s="56">
        <f>SUMIFS(tblActuals[Team 2 Goals],tblActuals[Team 2],$CK13,tblActuals[Team 1],FO$3)+SUMIFS(tblActuals[Team 1 Goals],tblActuals[Team 1],$CK13,tblActuals[Team 2],FO$3)</f>
        <v>0</v>
      </c>
      <c r="FP13" s="56">
        <f>SUMIFS(tblActuals[Team 2 Goals],tblActuals[Team 2],$CK13,tblActuals[Team 1],FP$3)+SUMIFS(tblActuals[Team 1 Goals],tblActuals[Team 1],$CK13,tblActuals[Team 2],FP$3)</f>
        <v>0</v>
      </c>
      <c r="FQ13" s="56">
        <f>SUMIFS(tblActuals[Team 2 Goals],tblActuals[Team 2],$CK13,tblActuals[Team 1],FQ$3)+SUMIFS(tblActuals[Team 1 Goals],tblActuals[Team 1],$CK13,tblActuals[Team 2],FQ$3)</f>
        <v>0</v>
      </c>
      <c r="FR13" s="56">
        <f>SUMIFS(tblActuals[Team 2 Goals],tblActuals[Team 2],$CK13,tblActuals[Team 1],FR$3)+SUMIFS(tblActuals[Team 1 Goals],tblActuals[Team 1],$CK13,tblActuals[Team 2],FR$3)</f>
        <v>0</v>
      </c>
      <c r="FS13" s="56">
        <f>SUMIFS(tblActuals[Team 2 Goals],tblActuals[Team 2],$CK13,tblActuals[Team 1],FS$3)+SUMIFS(tblActuals[Team 1 Goals],tblActuals[Team 1],$CK13,tblActuals[Team 2],FS$3)</f>
        <v>0</v>
      </c>
      <c r="FT13" s="56">
        <f>SUMIFS(tblActuals[Team 2 Goals],tblActuals[Team 2],$CK13,tblActuals[Team 1],FT$3)+SUMIFS(tblActuals[Team 1 Goals],tblActuals[Team 1],$CK13,tblActuals[Team 2],FT$3)</f>
        <v>0</v>
      </c>
      <c r="FU13" s="56">
        <f>SUMIFS(tblActuals[Team 2 Goals],tblActuals[Team 2],$CK13,tblActuals[Team 1],FU$3)+SUMIFS(tblActuals[Team 1 Goals],tblActuals[Team 1],$CK13,tblActuals[Team 2],FU$3)</f>
        <v>0</v>
      </c>
      <c r="FV13" s="56">
        <f>SUMIFS(tblActuals[Team 2 Goals],tblActuals[Team 2],$CK13,tblActuals[Team 1],FV$3)+SUMIFS(tblActuals[Team 1 Goals],tblActuals[Team 1],$CK13,tblActuals[Team 2],FV$3)</f>
        <v>0</v>
      </c>
      <c r="FW13" s="56">
        <f>SUMIFS(tblActuals[Team 2 Goals],tblActuals[Team 2],$CK13,tblActuals[Team 1],FW$3)+SUMIFS(tblActuals[Team 1 Goals],tblActuals[Team 1],$CK13,tblActuals[Team 2],FW$3)</f>
        <v>0</v>
      </c>
      <c r="FX13" s="56">
        <f>SUMIFS(tblActuals[Team 2 Goals],tblActuals[Team 2],$CK13,tblActuals[Team 1],FX$3)+SUMIFS(tblActuals[Team 1 Goals],tblActuals[Team 1],$CK13,tblActuals[Team 2],FX$3)</f>
        <v>0</v>
      </c>
      <c r="FY13" s="56">
        <f>SUMIFS(tblActuals[Team 2 Goals],tblActuals[Team 2],$CK13,tblActuals[Team 1],FY$3)+SUMIFS(tblActuals[Team 1 Goals],tblActuals[Team 1],$CK13,tblActuals[Team 2],FY$3)</f>
        <v>0</v>
      </c>
      <c r="FZ13" s="57"/>
      <c r="GA13" s="57"/>
      <c r="GB13" s="37"/>
      <c r="GC13" s="37"/>
      <c r="GD13" s="37"/>
      <c r="GE13" s="37"/>
      <c r="GF13" s="37"/>
      <c r="GG13" s="37"/>
      <c r="GH13" s="75"/>
      <c r="GI13" s="156"/>
      <c r="GJ13" s="156"/>
      <c r="GK13" s="75"/>
      <c r="GL13" s="75"/>
      <c r="GM13" s="75"/>
      <c r="GN13" s="75"/>
      <c r="GO13" s="75"/>
      <c r="GP13" s="75"/>
      <c r="GR13" s="4" t="str">
        <f t="shared" si="12"/>
        <v>ACEF</v>
      </c>
      <c r="GS13" s="44" t="s">
        <v>1</v>
      </c>
      <c r="GT13" s="45"/>
      <c r="GU13" s="44" t="s">
        <v>6</v>
      </c>
      <c r="GV13" s="45"/>
      <c r="GW13" s="44" t="s">
        <v>12</v>
      </c>
      <c r="GX13" s="44" t="s">
        <v>45</v>
      </c>
      <c r="GY13" s="178"/>
      <c r="GZ13" s="45" t="s">
        <v>153</v>
      </c>
      <c r="HA13" s="45" t="s">
        <v>154</v>
      </c>
      <c r="HB13" s="45" t="s">
        <v>152</v>
      </c>
      <c r="HC13" s="45" t="s">
        <v>149</v>
      </c>
    </row>
    <row r="14" spans="1:211" s="11" customFormat="1" ht="30" customHeight="1" x14ac:dyDescent="0.2">
      <c r="A14" s="20"/>
      <c r="B14" s="122">
        <v>11</v>
      </c>
      <c r="C14" s="122" t="s">
        <v>45</v>
      </c>
      <c r="D14" s="123">
        <v>45461</v>
      </c>
      <c r="E14" s="122" t="s">
        <v>81</v>
      </c>
      <c r="F14" s="124">
        <v>0.75</v>
      </c>
      <c r="G14" s="125">
        <f t="shared" si="8"/>
        <v>45461.5</v>
      </c>
      <c r="H14" s="122" t="s">
        <v>99</v>
      </c>
      <c r="I14" s="126"/>
      <c r="J14" s="118"/>
      <c r="K14" s="118"/>
      <c r="L14" s="119" t="str">
        <f>IF(tblActuals[[#This Row],[SCORE]]="","",IF(Q14=R14,"Draw",IF(Q14&gt;R14,M14,N14)))</f>
        <v/>
      </c>
      <c r="M14" s="120" t="str">
        <f>IF(tblActuals[[#This Row],[TEAMS]]="","",LEFT(H14,FIND(" -",H14,1)-1))</f>
        <v>Turkey</v>
      </c>
      <c r="N14" s="120" t="str">
        <f>IF(tblActuals[[#This Row],[TEAMS]]="","",MID(H14,FIND("-",H14,1)+2,LEN(H14)-FIND("-",H14,1)+2))</f>
        <v>Georgia</v>
      </c>
      <c r="O14" s="120" t="str">
        <f>IF(tblActuals[[#This Row],[Team 1 Goals]]&gt;tblActuals[[#This Row],[Team 2 Goals]],tblActuals[[#This Row],[Team 1]],IF(tblActuals[[#This Row],[Team 2 Goals]]&gt;tblActuals[[#This Row],[Team 1 Goals]],tblActuals[[#This Row],[Team 2]],""))</f>
        <v/>
      </c>
      <c r="P14" s="120" t="str">
        <f>IF(tblActuals[[#This Row],[Winner]]=tblActuals[[#This Row],[Team 1]],tblActuals[[#This Row],[Team 2]],IF(tblActuals[[#This Row],[Winner]]=tblActuals[[#This Row],[Team 2]],tblActuals[[#This Row],[Team 1]],""))</f>
        <v/>
      </c>
      <c r="Q14" s="120" t="str">
        <f>IF(tblActuals[[#This Row],[SCORE]]="","",LEFT(I14,FIND(":",I14,1)-1)*1)</f>
        <v/>
      </c>
      <c r="R14" s="120" t="str">
        <f>IF(tblActuals[[#This Row],[SCORE]]="","",MID(I14,FIND(":",I14,1)+1,LEN(I14)-FIND(":",I14,1)+1)*1)</f>
        <v/>
      </c>
      <c r="S14" s="120" t="str">
        <f>IF(OR(tblActuals[[#This Row],[Team 1 Goals]]="",tblActuals[[#This Row],[Team 2 Goals]]=""),"",tblActuals[[#This Row],[Team 1 Goals]]-tblActuals[[#This Row],[Team 2 Goals]])</f>
        <v/>
      </c>
      <c r="T14" s="120" t="str">
        <f>IF(OR(tblActuals[[#This Row],[Team 1 Goals]]="",tblActuals[[#This Row],[Team 2 Goals]]=""),"",tblActuals[[#This Row],[Team 2 Goals]]-tblActuals[[#This Row],[Team 1 Goals]])</f>
        <v/>
      </c>
      <c r="U14" s="120" t="str">
        <f>IF(tblActuals[[#This Row],[SCORE]]="","",IF(tblActuals[[#This Row],[WINNER / RESULT]]="Draw",1,IF(tblActuals[[#This Row],[WINNER / RESULT]]=tblActuals[[#This Row],[Team 1]],3,0)))</f>
        <v/>
      </c>
      <c r="V14" s="120" t="str">
        <f>IF(tblActuals[[#This Row],[SCORE]]="","",IF(tblActuals[[#This Row],[WINNER / RESULT]]="Draw",1,IF(tblActuals[[#This Row],[WINNER / RESULT]]=tblActuals[[#This Row],[Team 2]],3,0)))</f>
        <v/>
      </c>
      <c r="W14" s="121"/>
      <c r="X14" s="121"/>
      <c r="Y14" s="121"/>
      <c r="Z14" s="121"/>
      <c r="AA14" s="120" t="e">
        <f>tblActuals[[#This Row],[Team 1 Goals]]+tblActuals[[#This Row],[Team 1 ET Goals]]&amp;":"&amp;tblActuals[[#This Row],[Team 2 Goals]]+tblActuals[[#This Row],[Team 2 ET Goals]]</f>
        <v>#VALUE!</v>
      </c>
      <c r="AB14" s="120" t="e">
        <f>+tblActuals[[#This Row],[Team 1 Goals]]+tblActuals[[#This Row],[Team 2 Goals]]</f>
        <v>#VALUE!</v>
      </c>
      <c r="AC14" s="165">
        <f t="shared" si="0"/>
        <v>45461</v>
      </c>
      <c r="AD14" s="166">
        <f t="shared" si="9"/>
        <v>12.4</v>
      </c>
      <c r="AF14" s="38" t="s">
        <v>83</v>
      </c>
      <c r="AJ14" s="77" t="s">
        <v>5</v>
      </c>
      <c r="AK14" s="142">
        <v>3</v>
      </c>
      <c r="AL14" s="143" t="str">
        <f ca="1">IFERROR(INDEX(AT:AT,MATCH("3"&amp;AJ14,BD:BD,0),1),"")</f>
        <v>Italy</v>
      </c>
      <c r="AM14" s="143" t="str">
        <f ca="1">IF(AL14="","",VLOOKUP(AL14,AT:AY,2,FALSE)&amp;"-"&amp;VLOOKUP(AL14,AT:AY,3,FALSE)&amp;"-"&amp;VLOOKUP(AL14,AT:AY,4,FALSE))</f>
        <v>0-0-0</v>
      </c>
      <c r="AN14" s="143">
        <f ca="1">IF(AL14="","",VLOOKUP(AL14,AT:BA,8,FALSE))</f>
        <v>0</v>
      </c>
      <c r="AO14" s="144">
        <f ca="1">IF(AL14="","",VLOOKUP(AL14,AT:BD,5,FALSE))</f>
        <v>0</v>
      </c>
      <c r="AP14" s="75" t="str">
        <f ca="1">IF(INDEX($AK$43:$AK$48,MATCH(AL14,$AL$43:$AL$48,0),1)&lt;=4,"X","")</f>
        <v/>
      </c>
      <c r="AQ14" s="4"/>
      <c r="AR14" s="4"/>
      <c r="AS14" s="4" t="s">
        <v>6</v>
      </c>
      <c r="AT14" s="4" t="s">
        <v>25</v>
      </c>
      <c r="AU14" s="4">
        <f>COUNTIF(tblActuals[Winner],AT14)</f>
        <v>0</v>
      </c>
      <c r="AV14" s="4">
        <f>COUNTIFS(tblActuals[Team 2],AT14,tblActuals[WINNER / RESULT],"Draw")+COUNTIFS(tblActuals[Team 1],AT14,tblActuals[WINNER / RESULT],"Draw")</f>
        <v>0</v>
      </c>
      <c r="AW14" s="4">
        <f>COUNTIF(tblActuals[Loser],AT14)</f>
        <v>0</v>
      </c>
      <c r="AX14" s="4">
        <f>AV14+(3*AU14)</f>
        <v>0</v>
      </c>
      <c r="AY14" s="4">
        <f>SUMIFS(tblActuals[Team 1 Goals],tblActuals[Team 1],AT14)+SUMIFS(tblActuals[Team 2 Goals],tblActuals[Team 2],AT14)</f>
        <v>0</v>
      </c>
      <c r="AZ14" s="4">
        <f>SUMIFS(tblActuals[Team 2 Goals],tblActuals[Team 1],AT14)+SUMIFS(tblActuals[Team 1 Goals],tblActuals[Team 2],AT14)</f>
        <v>0</v>
      </c>
      <c r="BA14" s="4">
        <f>AY14-AZ14</f>
        <v>0</v>
      </c>
      <c r="BB14" s="4">
        <f ca="1">RANK(BO14,$BO$14:$BO$17,1)</f>
        <v>1</v>
      </c>
      <c r="BC14" s="4" t="str">
        <f t="shared" si="1"/>
        <v/>
      </c>
      <c r="BD14" s="4" t="str">
        <f ca="1">IF(BC14="",BB14&amp;AS14,BC14&amp;AS14)</f>
        <v>1C</v>
      </c>
      <c r="BE14" s="4">
        <f>RANK(AX14,$AX$14:$AX$17,0)</f>
        <v>1</v>
      </c>
      <c r="BF14" s="4" cm="1">
        <f t="array" aca="1" ref="BF14" ca="1">SUMPRODUCT((OFFSET($CL$3:$DQ$3,MATCH($AT14,$CK$4:$CK$35,0),0))*((IF($BE16=$BE14,$CL$3:$DQ$3=$AT16,0))+(IF($BE17=$BE14,$CL$3:$DQ$3=$AT17,0))+(IF($BE15=$BE14,$CL$3:$DQ$3=$AT15,0))))</f>
        <v>0</v>
      </c>
      <c r="BG14" s="4" cm="1">
        <f t="array" aca="1" ref="BG14" ca="1">SUMPRODUCT((OFFSET($DT$3:$EY$3,MATCH($AT14,$DS$4:$DS$35,0),0))*((IF($BE16=$BE14,$DT$3:$EY$3=$AT16,0))+(IF($BE17=$BE14,$DT$3:$EY$3=$AT17,0))+(IF($BE15=$BE14,$DT$3:$EY$3=$AT15,0))))</f>
        <v>0</v>
      </c>
      <c r="BH14" s="4" cm="1">
        <f t="array" aca="1" ref="BH14" ca="1">SUMPRODUCT((OFFSET($FB$3:$GG$3,MATCH($AT14,$FA$4:$FA$35,0),0))*((IF($BE16=$BE14,$FB$3:$GG$3=$AT16,0))+(IF($BE17=$BE14,$FB$3:$GG$3=$AT17,0))+(IF($BE15=$BE14,$FB$3:$GG$3=$AT15,0))))</f>
        <v>0</v>
      </c>
      <c r="BI14" s="4" cm="1">
        <f t="array" aca="1" ref="BI14" ca="1">SUMPRODUCT((OFFSET($CL$3:$DQ$3,MATCH($AT14,$CK$4:$CK$35,0),0))*((IF($BE16&lt;&gt;$BE14,$CL$3:$DQ$3=$AT16,0))+(IF($BE17&lt;&gt;$BE14,$CL$3:$DQ$3=$AT17,0))+(IF($BE15&lt;&gt;$BE14,$CL$3:$DQ$3=$AT15,0))))</f>
        <v>0</v>
      </c>
      <c r="BJ14" s="4" cm="1">
        <f t="array" aca="1" ref="BJ14" ca="1">SUMPRODUCT((OFFSET($DT$3:$EY$3,MATCH($AT14,$DS$4:$DS$35,0),0))*((IF($BE16&lt;&gt;$BE14,$DT$3:$EY$3=$AT16,0))+(IF($BE17&lt;&gt;$BE14,$DT$3:$EY$3=$AT17,0))+(IF($BE15&lt;&gt;$BE14,$DT$3:$EY$3=$AT15,0))))</f>
        <v>0</v>
      </c>
      <c r="BK14" s="4" cm="1">
        <f t="array" aca="1" ref="BK14" ca="1">SUMPRODUCT((OFFSET($FB$3:$GG$3,MATCH($AT14,$FA$4:$FA$35,0),0))*((IF($BE16&lt;&gt;$BE14,$FB$3:$GG$3=$AT16,0))+(IF($BE17&lt;&gt;$BE14,$FB$3:$GG$3=$AT17,0))+(IF($BE15&lt;&gt;$BE14,$FB$3:$GG$3=$AT15,0))))</f>
        <v>0</v>
      </c>
      <c r="BL14" s="4">
        <f t="shared" si="10"/>
        <v>0</v>
      </c>
      <c r="BM14" s="4">
        <f t="shared" si="11"/>
        <v>0</v>
      </c>
      <c r="BN14" s="4">
        <f ca="1">(BF14/10)+(BG14/100)+(BH14/1000)+(BJ14/10000)+(BK14/100000)+(BL14/1000000)+(BM14/10000000)+(ROW(BI17)/100000000)</f>
        <v>1.6999999999999999E-7</v>
      </c>
      <c r="BO14" s="4">
        <f ca="1">+BE14-BN14</f>
        <v>0.99999983000000003</v>
      </c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K14" s="4" t="s">
        <v>34</v>
      </c>
      <c r="CL14" s="56">
        <f>SUMIFS(tblActuals[Team 2 Points],tblActuals[Team 2],$CK14,tblActuals[Team 1],CL$3)+SUMIFS(tblActuals[Team 1 Points],tblActuals[Team 1],$CK14,tblActuals[Team 2],CL$3)</f>
        <v>0</v>
      </c>
      <c r="CM14" s="56">
        <f>SUMIFS(tblActuals[Team 2 Points],tblActuals[Team 2],$CK14,tblActuals[Team 1],CM$3)+SUMIFS(tblActuals[Team 1 Points],tblActuals[Team 1],$CK14,tblActuals[Team 2],CM$3)</f>
        <v>0</v>
      </c>
      <c r="CN14" s="56">
        <f>SUMIFS(tblActuals[Team 2 Points],tblActuals[Team 2],$CK14,tblActuals[Team 1],CN$3)+SUMIFS(tblActuals[Team 1 Points],tblActuals[Team 1],$CK14,tblActuals[Team 2],CN$3)</f>
        <v>0</v>
      </c>
      <c r="CO14" s="56">
        <f>SUMIFS(tblActuals[Team 2 Points],tblActuals[Team 2],$CK14,tblActuals[Team 1],CO$3)+SUMIFS(tblActuals[Team 1 Points],tblActuals[Team 1],$CK14,tblActuals[Team 2],CO$3)</f>
        <v>0</v>
      </c>
      <c r="CP14" s="56">
        <f>SUMIFS(tblActuals[Team 2 Points],tblActuals[Team 2],$CK14,tblActuals[Team 1],CP$3)+SUMIFS(tblActuals[Team 1 Points],tblActuals[Team 1],$CK14,tblActuals[Team 2],CP$3)</f>
        <v>0</v>
      </c>
      <c r="CQ14" s="56">
        <f>SUMIFS(tblActuals[Team 2 Points],tblActuals[Team 2],$CK14,tblActuals[Team 1],CQ$3)+SUMIFS(tblActuals[Team 1 Points],tblActuals[Team 1],$CK14,tblActuals[Team 2],CQ$3)</f>
        <v>0</v>
      </c>
      <c r="CR14" s="56">
        <f>SUMIFS(tblActuals[Team 2 Points],tblActuals[Team 2],$CK14,tblActuals[Team 1],CR$3)+SUMIFS(tblActuals[Team 1 Points],tblActuals[Team 1],$CK14,tblActuals[Team 2],CR$3)</f>
        <v>0</v>
      </c>
      <c r="CS14" s="56">
        <f>SUMIFS(tblActuals[Team 2 Points],tblActuals[Team 2],$CK14,tblActuals[Team 1],CS$3)+SUMIFS(tblActuals[Team 1 Points],tblActuals[Team 1],$CK14,tblActuals[Team 2],CS$3)</f>
        <v>0</v>
      </c>
      <c r="CT14" s="56">
        <f>SUMIFS(tblActuals[Team 2 Points],tblActuals[Team 2],$CK14,tblActuals[Team 1],CT$3)+SUMIFS(tblActuals[Team 1 Points],tblActuals[Team 1],$CK14,tblActuals[Team 2],CT$3)</f>
        <v>0</v>
      </c>
      <c r="CU14" s="56">
        <f>SUMIFS(tblActuals[Team 2 Points],tblActuals[Team 2],$CK14,tblActuals[Team 1],CU$3)+SUMIFS(tblActuals[Team 1 Points],tblActuals[Team 1],$CK14,tblActuals[Team 2],CU$3)</f>
        <v>0</v>
      </c>
      <c r="CV14" s="56">
        <f>SUMIFS(tblActuals[Team 2 Points],tblActuals[Team 2],$CK14,tblActuals[Team 1],CV$3)+SUMIFS(tblActuals[Team 1 Points],tblActuals[Team 1],$CK14,tblActuals[Team 2],CV$3)</f>
        <v>0</v>
      </c>
      <c r="CW14" s="56">
        <f>SUMIFS(tblActuals[Team 2 Points],tblActuals[Team 2],$CK14,tblActuals[Team 1],CW$3)+SUMIFS(tblActuals[Team 1 Points],tblActuals[Team 1],$CK14,tblActuals[Team 2],CW$3)</f>
        <v>0</v>
      </c>
      <c r="CX14" s="56">
        <f>SUMIFS(tblActuals[Team 2 Points],tblActuals[Team 2],$CK14,tblActuals[Team 1],CX$3)+SUMIFS(tblActuals[Team 1 Points],tblActuals[Team 1],$CK14,tblActuals[Team 2],CX$3)</f>
        <v>0</v>
      </c>
      <c r="CY14" s="56">
        <f>SUMIFS(tblActuals[Team 2 Points],tblActuals[Team 2],$CK14,tblActuals[Team 1],CY$3)+SUMIFS(tblActuals[Team 1 Points],tblActuals[Team 1],$CK14,tblActuals[Team 2],CY$3)</f>
        <v>0</v>
      </c>
      <c r="CZ14" s="56">
        <f>SUMIFS(tblActuals[Team 2 Points],tblActuals[Team 2],$CK14,tblActuals[Team 1],CZ$3)+SUMIFS(tblActuals[Team 1 Points],tblActuals[Team 1],$CK14,tblActuals[Team 2],CZ$3)</f>
        <v>0</v>
      </c>
      <c r="DA14" s="56">
        <f>SUMIFS(tblActuals[Team 2 Points],tblActuals[Team 2],$CK14,tblActuals[Team 1],DA$3)+SUMIFS(tblActuals[Team 1 Points],tblActuals[Team 1],$CK14,tblActuals[Team 2],DA$3)</f>
        <v>0</v>
      </c>
      <c r="DB14" s="56">
        <f>SUMIFS(tblActuals[Team 2 Points],tblActuals[Team 2],$CK14,tblActuals[Team 1],DB$3)+SUMIFS(tblActuals[Team 1 Points],tblActuals[Team 1],$CK14,tblActuals[Team 2],DB$3)</f>
        <v>0</v>
      </c>
      <c r="DC14" s="56">
        <f>SUMIFS(tblActuals[Team 2 Points],tblActuals[Team 2],$CK14,tblActuals[Team 1],DC$3)+SUMIFS(tblActuals[Team 1 Points],tblActuals[Team 1],$CK14,tblActuals[Team 2],DC$3)</f>
        <v>0</v>
      </c>
      <c r="DD14" s="56">
        <f>SUMIFS(tblActuals[Team 2 Points],tblActuals[Team 2],$CK14,tblActuals[Team 1],DD$3)+SUMIFS(tblActuals[Team 1 Points],tblActuals[Team 1],$CK14,tblActuals[Team 2],DD$3)</f>
        <v>0</v>
      </c>
      <c r="DE14" s="56">
        <f>SUMIFS(tblActuals[Team 2 Points],tblActuals[Team 2],$CK14,tblActuals[Team 1],DE$3)+SUMIFS(tblActuals[Team 1 Points],tblActuals[Team 1],$CK14,tblActuals[Team 2],DE$3)</f>
        <v>0</v>
      </c>
      <c r="DF14" s="56">
        <f>SUMIFS(tblActuals[Team 2 Points],tblActuals[Team 2],$CK14,tblActuals[Team 1],DF$3)+SUMIFS(tblActuals[Team 1 Points],tblActuals[Team 1],$CK14,tblActuals[Team 2],DF$3)</f>
        <v>0</v>
      </c>
      <c r="DG14" s="56">
        <f>SUMIFS(tblActuals[Team 2 Points],tblActuals[Team 2],$CK14,tblActuals[Team 1],DG$3)+SUMIFS(tblActuals[Team 1 Points],tblActuals[Team 1],$CK14,tblActuals[Team 2],DG$3)</f>
        <v>0</v>
      </c>
      <c r="DH14" s="56">
        <f>SUMIFS(tblActuals[Team 2 Points],tblActuals[Team 2],$CK14,tblActuals[Team 1],DH$3)+SUMIFS(tblActuals[Team 1 Points],tblActuals[Team 1],$CK14,tblActuals[Team 2],DH$3)</f>
        <v>0</v>
      </c>
      <c r="DI14" s="56">
        <f>SUMIFS(tblActuals[Team 2 Points],tblActuals[Team 2],$CK14,tblActuals[Team 1],DI$3)+SUMIFS(tblActuals[Team 1 Points],tblActuals[Team 1],$CK14,tblActuals[Team 2],DI$3)</f>
        <v>0</v>
      </c>
      <c r="DJ14" s="57"/>
      <c r="DK14" s="57"/>
      <c r="DL14" s="57"/>
      <c r="DM14" s="57"/>
      <c r="DN14" s="57"/>
      <c r="DO14" s="57"/>
      <c r="DP14" s="57"/>
      <c r="DQ14" s="57"/>
      <c r="DR14" s="4"/>
      <c r="DS14" s="4" t="s">
        <v>34</v>
      </c>
      <c r="DT14" s="56">
        <f>SUMIFS(tblActuals[Team 2 GD],tblActuals[Team 2],$CK14,tblActuals[Team 1],DT$3)+SUMIFS(tblActuals[Team 1 GD],tblActuals[Team 1],$CK14,tblActuals[Team 2],DT$3)</f>
        <v>0</v>
      </c>
      <c r="DU14" s="56">
        <f>SUMIFS(tblActuals[Team 2 GD],tblActuals[Team 2],$CK14,tblActuals[Team 1],DU$3)+SUMIFS(tblActuals[Team 1 GD],tblActuals[Team 1],$CK14,tblActuals[Team 2],DU$3)</f>
        <v>0</v>
      </c>
      <c r="DV14" s="56">
        <f>SUMIFS(tblActuals[Team 2 GD],tblActuals[Team 2],$CK14,tblActuals[Team 1],DV$3)+SUMIFS(tblActuals[Team 1 GD],tblActuals[Team 1],$CK14,tblActuals[Team 2],DV$3)</f>
        <v>0</v>
      </c>
      <c r="DW14" s="56">
        <f>SUMIFS(tblActuals[Team 2 GD],tblActuals[Team 2],$CK14,tblActuals[Team 1],DW$3)+SUMIFS(tblActuals[Team 1 GD],tblActuals[Team 1],$CK14,tblActuals[Team 2],DW$3)</f>
        <v>0</v>
      </c>
      <c r="DX14" s="56">
        <f>SUMIFS(tblActuals[Team 2 GD],tblActuals[Team 2],$CK14,tblActuals[Team 1],DX$3)+SUMIFS(tblActuals[Team 1 GD],tblActuals[Team 1],$CK14,tblActuals[Team 2],DX$3)</f>
        <v>0</v>
      </c>
      <c r="DY14" s="56">
        <f>SUMIFS(tblActuals[Team 2 GD],tblActuals[Team 2],$CK14,tblActuals[Team 1],DY$3)+SUMIFS(tblActuals[Team 1 GD],tblActuals[Team 1],$CK14,tblActuals[Team 2],DY$3)</f>
        <v>0</v>
      </c>
      <c r="DZ14" s="56">
        <f>SUMIFS(tblActuals[Team 2 GD],tblActuals[Team 2],$CK14,tblActuals[Team 1],DZ$3)+SUMIFS(tblActuals[Team 1 GD],tblActuals[Team 1],$CK14,tblActuals[Team 2],DZ$3)</f>
        <v>0</v>
      </c>
      <c r="EA14" s="56">
        <f>SUMIFS(tblActuals[Team 2 GD],tblActuals[Team 2],$CK14,tblActuals[Team 1],EA$3)+SUMIFS(tblActuals[Team 1 GD],tblActuals[Team 1],$CK14,tblActuals[Team 2],EA$3)</f>
        <v>0</v>
      </c>
      <c r="EB14" s="56">
        <f>SUMIFS(tblActuals[Team 2 GD],tblActuals[Team 2],$CK14,tblActuals[Team 1],EB$3)+SUMIFS(tblActuals[Team 1 GD],tblActuals[Team 1],$CK14,tblActuals[Team 2],EB$3)</f>
        <v>0</v>
      </c>
      <c r="EC14" s="56">
        <f>SUMIFS(tblActuals[Team 2 GD],tblActuals[Team 2],$CK14,tblActuals[Team 1],EC$3)+SUMIFS(tblActuals[Team 1 GD],tblActuals[Team 1],$CK14,tblActuals[Team 2],EC$3)</f>
        <v>0</v>
      </c>
      <c r="ED14" s="56">
        <f>SUMIFS(tblActuals[Team 2 GD],tblActuals[Team 2],$CK14,tblActuals[Team 1],ED$3)+SUMIFS(tblActuals[Team 1 GD],tblActuals[Team 1],$CK14,tblActuals[Team 2],ED$3)</f>
        <v>0</v>
      </c>
      <c r="EE14" s="56">
        <f>SUMIFS(tblActuals[Team 2 GD],tblActuals[Team 2],$CK14,tblActuals[Team 1],EE$3)+SUMIFS(tblActuals[Team 1 GD],tblActuals[Team 1],$CK14,tblActuals[Team 2],EE$3)</f>
        <v>0</v>
      </c>
      <c r="EF14" s="56">
        <f>SUMIFS(tblActuals[Team 2 GD],tblActuals[Team 2],$CK14,tblActuals[Team 1],EF$3)+SUMIFS(tblActuals[Team 1 GD],tblActuals[Team 1],$CK14,tblActuals[Team 2],EF$3)</f>
        <v>0</v>
      </c>
      <c r="EG14" s="56">
        <f>SUMIFS(tblActuals[Team 2 GD],tblActuals[Team 2],$CK14,tblActuals[Team 1],EG$3)+SUMIFS(tblActuals[Team 1 GD],tblActuals[Team 1],$CK14,tblActuals[Team 2],EG$3)</f>
        <v>0</v>
      </c>
      <c r="EH14" s="56">
        <f>SUMIFS(tblActuals[Team 2 GD],tblActuals[Team 2],$CK14,tblActuals[Team 1],EH$3)+SUMIFS(tblActuals[Team 1 GD],tblActuals[Team 1],$CK14,tblActuals[Team 2],EH$3)</f>
        <v>0</v>
      </c>
      <c r="EI14" s="56">
        <f>SUMIFS(tblActuals[Team 2 GD],tblActuals[Team 2],$CK14,tblActuals[Team 1],EI$3)+SUMIFS(tblActuals[Team 1 GD],tblActuals[Team 1],$CK14,tblActuals[Team 2],EI$3)</f>
        <v>0</v>
      </c>
      <c r="EJ14" s="56">
        <f>SUMIFS(tblActuals[Team 2 GD],tblActuals[Team 2],$CK14,tblActuals[Team 1],EJ$3)+SUMIFS(tblActuals[Team 1 GD],tblActuals[Team 1],$CK14,tblActuals[Team 2],EJ$3)</f>
        <v>0</v>
      </c>
      <c r="EK14" s="56">
        <f>SUMIFS(tblActuals[Team 2 GD],tblActuals[Team 2],$CK14,tblActuals[Team 1],EK$3)+SUMIFS(tblActuals[Team 1 GD],tblActuals[Team 1],$CK14,tblActuals[Team 2],EK$3)</f>
        <v>0</v>
      </c>
      <c r="EL14" s="56">
        <f>SUMIFS(tblActuals[Team 2 GD],tblActuals[Team 2],$CK14,tblActuals[Team 1],EL$3)+SUMIFS(tblActuals[Team 1 GD],tblActuals[Team 1],$CK14,tblActuals[Team 2],EL$3)</f>
        <v>0</v>
      </c>
      <c r="EM14" s="56">
        <f>SUMIFS(tblActuals[Team 2 GD],tblActuals[Team 2],$CK14,tblActuals[Team 1],EM$3)+SUMIFS(tblActuals[Team 1 GD],tblActuals[Team 1],$CK14,tblActuals[Team 2],EM$3)</f>
        <v>0</v>
      </c>
      <c r="EN14" s="56">
        <f>SUMIFS(tblActuals[Team 2 GD],tblActuals[Team 2],$CK14,tblActuals[Team 1],EN$3)+SUMIFS(tblActuals[Team 1 GD],tblActuals[Team 1],$CK14,tblActuals[Team 2],EN$3)</f>
        <v>0</v>
      </c>
      <c r="EO14" s="56">
        <f>SUMIFS(tblActuals[Team 2 GD],tblActuals[Team 2],$CK14,tblActuals[Team 1],EO$3)+SUMIFS(tblActuals[Team 1 GD],tblActuals[Team 1],$CK14,tblActuals[Team 2],EO$3)</f>
        <v>0</v>
      </c>
      <c r="EP14" s="56">
        <f>SUMIFS(tblActuals[Team 2 GD],tblActuals[Team 2],$CK14,tblActuals[Team 1],EP$3)+SUMIFS(tblActuals[Team 1 GD],tblActuals[Team 1],$CK14,tblActuals[Team 2],EP$3)</f>
        <v>0</v>
      </c>
      <c r="EQ14" s="56">
        <f>SUMIFS(tblActuals[Team 2 GD],tblActuals[Team 2],$CK14,tblActuals[Team 1],EQ$3)+SUMIFS(tblActuals[Team 1 GD],tblActuals[Team 1],$CK14,tblActuals[Team 2],EQ$3)</f>
        <v>0</v>
      </c>
      <c r="ER14" s="57"/>
      <c r="ES14" s="57"/>
      <c r="ET14" s="57"/>
      <c r="EU14" s="57"/>
      <c r="EV14" s="57"/>
      <c r="EW14" s="57"/>
      <c r="EX14" s="57"/>
      <c r="EY14" s="57"/>
      <c r="EZ14" s="4"/>
      <c r="FA14" s="4" t="s">
        <v>34</v>
      </c>
      <c r="FB14" s="56">
        <f>SUMIFS(tblActuals[Team 2 Goals],tblActuals[Team 2],$CK14,tblActuals[Team 1],FB$3)+SUMIFS(tblActuals[Team 1 Goals],tblActuals[Team 1],$CK14,tblActuals[Team 2],FB$3)</f>
        <v>0</v>
      </c>
      <c r="FC14" s="56">
        <f>SUMIFS(tblActuals[Team 2 Goals],tblActuals[Team 2],$CK14,tblActuals[Team 1],FC$3)+SUMIFS(tblActuals[Team 1 Goals],tblActuals[Team 1],$CK14,tblActuals[Team 2],FC$3)</f>
        <v>0</v>
      </c>
      <c r="FD14" s="56">
        <f>SUMIFS(tblActuals[Team 2 Goals],tblActuals[Team 2],$CK14,tblActuals[Team 1],FD$3)+SUMIFS(tblActuals[Team 1 Goals],tblActuals[Team 1],$CK14,tblActuals[Team 2],FD$3)</f>
        <v>0</v>
      </c>
      <c r="FE14" s="56">
        <f>SUMIFS(tblActuals[Team 2 Goals],tblActuals[Team 2],$CK14,tblActuals[Team 1],FE$3)+SUMIFS(tblActuals[Team 1 Goals],tblActuals[Team 1],$CK14,tblActuals[Team 2],FE$3)</f>
        <v>0</v>
      </c>
      <c r="FF14" s="56">
        <f>SUMIFS(tblActuals[Team 2 Goals],tblActuals[Team 2],$CK14,tblActuals[Team 1],FF$3)+SUMIFS(tblActuals[Team 1 Goals],tblActuals[Team 1],$CK14,tblActuals[Team 2],FF$3)</f>
        <v>0</v>
      </c>
      <c r="FG14" s="56">
        <f>SUMIFS(tblActuals[Team 2 Goals],tblActuals[Team 2],$CK14,tblActuals[Team 1],FG$3)+SUMIFS(tblActuals[Team 1 Goals],tblActuals[Team 1],$CK14,tblActuals[Team 2],FG$3)</f>
        <v>0</v>
      </c>
      <c r="FH14" s="56">
        <f>SUMIFS(tblActuals[Team 2 Goals],tblActuals[Team 2],$CK14,tblActuals[Team 1],FH$3)+SUMIFS(tblActuals[Team 1 Goals],tblActuals[Team 1],$CK14,tblActuals[Team 2],FH$3)</f>
        <v>0</v>
      </c>
      <c r="FI14" s="56">
        <f>SUMIFS(tblActuals[Team 2 Goals],tblActuals[Team 2],$CK14,tblActuals[Team 1],FI$3)+SUMIFS(tblActuals[Team 1 Goals],tblActuals[Team 1],$CK14,tblActuals[Team 2],FI$3)</f>
        <v>0</v>
      </c>
      <c r="FJ14" s="56">
        <f>SUMIFS(tblActuals[Team 2 Goals],tblActuals[Team 2],$CK14,tblActuals[Team 1],FJ$3)+SUMIFS(tblActuals[Team 1 Goals],tblActuals[Team 1],$CK14,tblActuals[Team 2],FJ$3)</f>
        <v>0</v>
      </c>
      <c r="FK14" s="56">
        <f>SUMIFS(tblActuals[Team 2 Goals],tblActuals[Team 2],$CK14,tblActuals[Team 1],FK$3)+SUMIFS(tblActuals[Team 1 Goals],tblActuals[Team 1],$CK14,tblActuals[Team 2],FK$3)</f>
        <v>0</v>
      </c>
      <c r="FL14" s="56">
        <f>SUMIFS(tblActuals[Team 2 Goals],tblActuals[Team 2],$CK14,tblActuals[Team 1],FL$3)+SUMIFS(tblActuals[Team 1 Goals],tblActuals[Team 1],$CK14,tblActuals[Team 2],FL$3)</f>
        <v>0</v>
      </c>
      <c r="FM14" s="56">
        <f>SUMIFS(tblActuals[Team 2 Goals],tblActuals[Team 2],$CK14,tblActuals[Team 1],FM$3)+SUMIFS(tblActuals[Team 1 Goals],tblActuals[Team 1],$CK14,tblActuals[Team 2],FM$3)</f>
        <v>0</v>
      </c>
      <c r="FN14" s="56">
        <f>SUMIFS(tblActuals[Team 2 Goals],tblActuals[Team 2],$CK14,tblActuals[Team 1],FN$3)+SUMIFS(tblActuals[Team 1 Goals],tblActuals[Team 1],$CK14,tblActuals[Team 2],FN$3)</f>
        <v>0</v>
      </c>
      <c r="FO14" s="56">
        <f>SUMIFS(tblActuals[Team 2 Goals],tblActuals[Team 2],$CK14,tblActuals[Team 1],FO$3)+SUMIFS(tblActuals[Team 1 Goals],tblActuals[Team 1],$CK14,tblActuals[Team 2],FO$3)</f>
        <v>0</v>
      </c>
      <c r="FP14" s="56">
        <f>SUMIFS(tblActuals[Team 2 Goals],tblActuals[Team 2],$CK14,tblActuals[Team 1],FP$3)+SUMIFS(tblActuals[Team 1 Goals],tblActuals[Team 1],$CK14,tblActuals[Team 2],FP$3)</f>
        <v>0</v>
      </c>
      <c r="FQ14" s="56">
        <f>SUMIFS(tblActuals[Team 2 Goals],tblActuals[Team 2],$CK14,tblActuals[Team 1],FQ$3)+SUMIFS(tblActuals[Team 1 Goals],tblActuals[Team 1],$CK14,tblActuals[Team 2],FQ$3)</f>
        <v>0</v>
      </c>
      <c r="FR14" s="56">
        <f>SUMIFS(tblActuals[Team 2 Goals],tblActuals[Team 2],$CK14,tblActuals[Team 1],FR$3)+SUMIFS(tblActuals[Team 1 Goals],tblActuals[Team 1],$CK14,tblActuals[Team 2],FR$3)</f>
        <v>0</v>
      </c>
      <c r="FS14" s="56">
        <f>SUMIFS(tblActuals[Team 2 Goals],tblActuals[Team 2],$CK14,tblActuals[Team 1],FS$3)+SUMIFS(tblActuals[Team 1 Goals],tblActuals[Team 1],$CK14,tblActuals[Team 2],FS$3)</f>
        <v>0</v>
      </c>
      <c r="FT14" s="56">
        <f>SUMIFS(tblActuals[Team 2 Goals],tblActuals[Team 2],$CK14,tblActuals[Team 1],FT$3)+SUMIFS(tblActuals[Team 1 Goals],tblActuals[Team 1],$CK14,tblActuals[Team 2],FT$3)</f>
        <v>0</v>
      </c>
      <c r="FU14" s="56">
        <f>SUMIFS(tblActuals[Team 2 Goals],tblActuals[Team 2],$CK14,tblActuals[Team 1],FU$3)+SUMIFS(tblActuals[Team 1 Goals],tblActuals[Team 1],$CK14,tblActuals[Team 2],FU$3)</f>
        <v>0</v>
      </c>
      <c r="FV14" s="56">
        <f>SUMIFS(tblActuals[Team 2 Goals],tblActuals[Team 2],$CK14,tblActuals[Team 1],FV$3)+SUMIFS(tblActuals[Team 1 Goals],tblActuals[Team 1],$CK14,tblActuals[Team 2],FV$3)</f>
        <v>0</v>
      </c>
      <c r="FW14" s="56">
        <f>SUMIFS(tblActuals[Team 2 Goals],tblActuals[Team 2],$CK14,tblActuals[Team 1],FW$3)+SUMIFS(tblActuals[Team 1 Goals],tblActuals[Team 1],$CK14,tblActuals[Team 2],FW$3)</f>
        <v>0</v>
      </c>
      <c r="FX14" s="56">
        <f>SUMIFS(tblActuals[Team 2 Goals],tblActuals[Team 2],$CK14,tblActuals[Team 1],FX$3)+SUMIFS(tblActuals[Team 1 Goals],tblActuals[Team 1],$CK14,tblActuals[Team 2],FX$3)</f>
        <v>0</v>
      </c>
      <c r="FY14" s="56">
        <f>SUMIFS(tblActuals[Team 2 Goals],tblActuals[Team 2],$CK14,tblActuals[Team 1],FY$3)+SUMIFS(tblActuals[Team 1 Goals],tblActuals[Team 1],$CK14,tblActuals[Team 2],FY$3)</f>
        <v>0</v>
      </c>
      <c r="FZ14" s="57"/>
      <c r="GA14" s="57"/>
      <c r="GB14" s="37"/>
      <c r="GC14" s="37"/>
      <c r="GD14" s="37"/>
      <c r="GE14" s="37"/>
      <c r="GF14" s="37"/>
      <c r="GG14" s="37"/>
      <c r="GH14" s="75"/>
      <c r="GI14" s="156"/>
      <c r="GJ14" s="156"/>
      <c r="GK14" s="75"/>
      <c r="GL14" s="75"/>
      <c r="GM14" s="75"/>
      <c r="GN14" s="75"/>
      <c r="GO14" s="75"/>
      <c r="GP14" s="75"/>
      <c r="GR14" s="4" t="str">
        <f t="shared" si="12"/>
        <v>ADEF</v>
      </c>
      <c r="GS14" s="44" t="s">
        <v>1</v>
      </c>
      <c r="GT14" s="45"/>
      <c r="GU14" s="45"/>
      <c r="GV14" s="44" t="s">
        <v>7</v>
      </c>
      <c r="GW14" s="44" t="s">
        <v>12</v>
      </c>
      <c r="GX14" s="44" t="s">
        <v>45</v>
      </c>
      <c r="GY14" s="178"/>
      <c r="GZ14" s="45" t="s">
        <v>153</v>
      </c>
      <c r="HA14" s="45" t="s">
        <v>154</v>
      </c>
      <c r="HB14" s="45" t="s">
        <v>150</v>
      </c>
      <c r="HC14" s="45" t="s">
        <v>149</v>
      </c>
    </row>
    <row r="15" spans="1:211" s="11" customFormat="1" ht="30" customHeight="1" thickBot="1" x14ac:dyDescent="0.3">
      <c r="A15" s="20"/>
      <c r="B15" s="122">
        <v>12</v>
      </c>
      <c r="C15" s="122" t="s">
        <v>45</v>
      </c>
      <c r="D15" s="123">
        <v>45461</v>
      </c>
      <c r="E15" s="122" t="s">
        <v>87</v>
      </c>
      <c r="F15" s="124">
        <v>0.875</v>
      </c>
      <c r="G15" s="125">
        <f t="shared" si="8"/>
        <v>45461.625</v>
      </c>
      <c r="H15" s="122" t="s">
        <v>100</v>
      </c>
      <c r="I15" s="126"/>
      <c r="J15" s="118"/>
      <c r="K15" s="118"/>
      <c r="L15" s="119" t="str">
        <f>IF(tblActuals[[#This Row],[SCORE]]="","",IF(Q15=R15,"Draw",IF(Q15&gt;R15,M15,N15)))</f>
        <v/>
      </c>
      <c r="M15" s="120" t="str">
        <f>IF(tblActuals[[#This Row],[TEAMS]]="","",LEFT(H15,FIND(" -",H15,1)-1))</f>
        <v>Portugal</v>
      </c>
      <c r="N15" s="120" t="str">
        <f>IF(tblActuals[[#This Row],[TEAMS]]="","",MID(H15,FIND("-",H15,1)+2,LEN(H15)-FIND("-",H15,1)+2))</f>
        <v>Czechia</v>
      </c>
      <c r="O15" s="120" t="str">
        <f>IF(tblActuals[[#This Row],[Team 1 Goals]]&gt;tblActuals[[#This Row],[Team 2 Goals]],tblActuals[[#This Row],[Team 1]],IF(tblActuals[[#This Row],[Team 2 Goals]]&gt;tblActuals[[#This Row],[Team 1 Goals]],tblActuals[[#This Row],[Team 2]],""))</f>
        <v/>
      </c>
      <c r="P15" s="120" t="str">
        <f>IF(tblActuals[[#This Row],[Winner]]=tblActuals[[#This Row],[Team 1]],tblActuals[[#This Row],[Team 2]],IF(tblActuals[[#This Row],[Winner]]=tblActuals[[#This Row],[Team 2]],tblActuals[[#This Row],[Team 1]],""))</f>
        <v/>
      </c>
      <c r="Q15" s="120" t="str">
        <f>IF(tblActuals[[#This Row],[SCORE]]="","",LEFT(I15,FIND(":",I15,1)-1)*1)</f>
        <v/>
      </c>
      <c r="R15" s="120" t="str">
        <f>IF(tblActuals[[#This Row],[SCORE]]="","",MID(I15,FIND(":",I15,1)+1,LEN(I15)-FIND(":",I15,1)+1)*1)</f>
        <v/>
      </c>
      <c r="S15" s="120" t="str">
        <f>IF(OR(tblActuals[[#This Row],[Team 1 Goals]]="",tblActuals[[#This Row],[Team 2 Goals]]=""),"",tblActuals[[#This Row],[Team 1 Goals]]-tblActuals[[#This Row],[Team 2 Goals]])</f>
        <v/>
      </c>
      <c r="T15" s="120" t="str">
        <f>IF(OR(tblActuals[[#This Row],[Team 1 Goals]]="",tblActuals[[#This Row],[Team 2 Goals]]=""),"",tblActuals[[#This Row],[Team 2 Goals]]-tblActuals[[#This Row],[Team 1 Goals]])</f>
        <v/>
      </c>
      <c r="U15" s="120" t="str">
        <f>IF(tblActuals[[#This Row],[SCORE]]="","",IF(tblActuals[[#This Row],[WINNER / RESULT]]="Draw",1,IF(tblActuals[[#This Row],[WINNER / RESULT]]=tblActuals[[#This Row],[Team 1]],3,0)))</f>
        <v/>
      </c>
      <c r="V15" s="120" t="str">
        <f>IF(tblActuals[[#This Row],[SCORE]]="","",IF(tblActuals[[#This Row],[WINNER / RESULT]]="Draw",1,IF(tblActuals[[#This Row],[WINNER / RESULT]]=tblActuals[[#This Row],[Team 2]],3,0)))</f>
        <v/>
      </c>
      <c r="W15" s="121"/>
      <c r="X15" s="121"/>
      <c r="Y15" s="121"/>
      <c r="Z15" s="121"/>
      <c r="AA15" s="120" t="e">
        <f>tblActuals[[#This Row],[Team 1 Goals]]+tblActuals[[#This Row],[Team 1 ET Goals]]&amp;":"&amp;tblActuals[[#This Row],[Team 2 Goals]]+tblActuals[[#This Row],[Team 2 ET Goals]]</f>
        <v>#VALUE!</v>
      </c>
      <c r="AB15" s="120" t="e">
        <f>+tblActuals[[#This Row],[Team 1 Goals]]+tblActuals[[#This Row],[Team 2 Goals]]</f>
        <v>#VALUE!</v>
      </c>
      <c r="AC15" s="165">
        <f t="shared" si="0"/>
        <v>45461</v>
      </c>
      <c r="AD15" s="166">
        <f t="shared" si="9"/>
        <v>13.5</v>
      </c>
      <c r="AJ15" s="77" t="s">
        <v>5</v>
      </c>
      <c r="AK15" s="145">
        <v>4</v>
      </c>
      <c r="AL15" s="146" t="str">
        <f ca="1">IFERROR(INDEX(AT:AT,MATCH("4"&amp;AJ15,BD:BD,0),1),"")</f>
        <v>Spain</v>
      </c>
      <c r="AM15" s="146" t="str">
        <f ca="1">IF(AL15="","",VLOOKUP(AL15,AT:AY,2,FALSE)&amp;"-"&amp;VLOOKUP(AL15,AT:AY,3,FALSE)&amp;"-"&amp;VLOOKUP(AL15,AT:AY,4,FALSE))</f>
        <v>0-0-0</v>
      </c>
      <c r="AN15" s="146">
        <f ca="1">IF(AL15="","",VLOOKUP(AL15,AT:BA,8,FALSE))</f>
        <v>0</v>
      </c>
      <c r="AO15" s="147">
        <f ca="1">IF(AL15="","",VLOOKUP(AL15,AT:BD,5,FALSE))</f>
        <v>0</v>
      </c>
      <c r="AP15" s="75"/>
      <c r="AQ15" s="4"/>
      <c r="AR15" s="4"/>
      <c r="AS15" s="4" t="s">
        <v>6</v>
      </c>
      <c r="AT15" s="4" t="s">
        <v>24</v>
      </c>
      <c r="AU15" s="4">
        <f>COUNTIF(tblActuals[Winner],AT15)</f>
        <v>0</v>
      </c>
      <c r="AV15" s="4">
        <f>COUNTIFS(tblActuals[Team 2],AT15,tblActuals[WINNER / RESULT],"Draw")+COUNTIFS(tblActuals[Team 1],AT15,tblActuals[WINNER / RESULT],"Draw")</f>
        <v>0</v>
      </c>
      <c r="AW15" s="4">
        <f>COUNTIF(tblActuals[Loser],AT15)</f>
        <v>0</v>
      </c>
      <c r="AX15" s="4">
        <f>AV15+(3*AU15)</f>
        <v>0</v>
      </c>
      <c r="AY15" s="4">
        <f>SUMIFS(tblActuals[Team 1 Goals],tblActuals[Team 1],AT15)+SUMIFS(tblActuals[Team 2 Goals],tblActuals[Team 2],AT15)</f>
        <v>0</v>
      </c>
      <c r="AZ15" s="4">
        <f>SUMIFS(tblActuals[Team 2 Goals],tblActuals[Team 1],AT15)+SUMIFS(tblActuals[Team 1 Goals],tblActuals[Team 2],AT15)</f>
        <v>0</v>
      </c>
      <c r="BA15" s="4">
        <f>AY15-AZ15</f>
        <v>0</v>
      </c>
      <c r="BB15" s="4">
        <f ca="1">RANK(BO15,$BO$14:$BO$17,1)</f>
        <v>2</v>
      </c>
      <c r="BC15" s="4" t="str">
        <f t="shared" si="1"/>
        <v/>
      </c>
      <c r="BD15" s="4" t="str">
        <f ca="1">IF(BC15="",BB15&amp;AS15,BC15&amp;AS15)</f>
        <v>2C</v>
      </c>
      <c r="BE15" s="4">
        <f>RANK(AX15,$AX$14:$AX$17,0)</f>
        <v>1</v>
      </c>
      <c r="BF15" s="4" cm="1">
        <f t="array" aca="1" ref="BF15" ca="1">SUMPRODUCT((OFFSET($CL$3:$DQ$3,MATCH($AT15,$CK$4:$CK$35,0),0))*((IF($BE16=$BE15,$CL$3:$DQ$3=$AT16,0))+(IF($BE17=$BE15,$CL$3:$DQ$3=$AT17,0))+(IF($BE14=$BE15,$CL$3:$DQ$3=$AT14,0))))</f>
        <v>0</v>
      </c>
      <c r="BG15" s="4" cm="1">
        <f t="array" aca="1" ref="BG15" ca="1">SUMPRODUCT((OFFSET($DT$3:$EY$3,MATCH($AT15,$DS$4:$DS$35,0),0))*((IF($BE16=$BE15,$DT$3:$EY$3=$AT16,0))+(IF($BE17=$BE15,$DT$3:$EY$3=$AT17,0))+(IF($BE14=$BE15,$DT$3:$EY$3=$AT14,0))))</f>
        <v>0</v>
      </c>
      <c r="BH15" s="4" cm="1">
        <f t="array" aca="1" ref="BH15" ca="1">SUMPRODUCT((OFFSET($FB$3:$GG$3,MATCH($AT15,$FA$4:$FA$35,0),0))*((IF($BE16=$BE15,$FB$3:$GG$3=$AT16,0))+(IF($BE17=$BE15,$FB$3:$GG$3=$AT17,0))+(IF($BE14=$BE15,$FB$3:$GG$3=$AT14,0))))</f>
        <v>0</v>
      </c>
      <c r="BI15" s="4" cm="1">
        <f t="array" aca="1" ref="BI15" ca="1">SUMPRODUCT((OFFSET($CL$3:$DQ$3,MATCH($AT15,$CK$4:$CK$35,0),0))*((IF($BE16&lt;&gt;$BE15,$CL$3:$DQ$3=$AT16,0))+(IF($BE17&lt;&gt;$BE15,$CL$3:$DQ$3=$AT17,0))+(IF($BE14&lt;&gt;$BE15,$CL$3:$DQ$3=$AT14,0))))</f>
        <v>0</v>
      </c>
      <c r="BJ15" s="4" cm="1">
        <f t="array" aca="1" ref="BJ15" ca="1">SUMPRODUCT((OFFSET($DT$3:$EY$3,MATCH($AT15,$DS$4:$DS$35,0),0))*((IF($BE16&lt;&gt;$BE15,$DT$3:$EY$3=$AT16,0))+(IF($BE17&lt;&gt;$BE15,$DT$3:$EY$3=$AT17,0))+(IF($BE14&lt;&gt;$BE15,$DT$3:$EY$3=$AT14,0))))</f>
        <v>0</v>
      </c>
      <c r="BK15" s="4" cm="1">
        <f t="array" aca="1" ref="BK15" ca="1">SUMPRODUCT((OFFSET($FB$3:$GG$3,MATCH($AT15,$FA$4:$FA$35,0),0))*((IF($BE16&lt;&gt;$BE15,$FB$3:$GG$3=$AT16,0))+(IF($BE17&lt;&gt;$BE15,$FB$3:$GG$3=$AT17,0))+(IF($BE14&lt;&gt;$BE15,$FB$3:$GG$3=$AT14,0))))</f>
        <v>0</v>
      </c>
      <c r="BL15" s="4">
        <f t="shared" si="10"/>
        <v>0</v>
      </c>
      <c r="BM15" s="4">
        <f t="shared" si="11"/>
        <v>0</v>
      </c>
      <c r="BN15" s="4">
        <f ca="1">(BF15/10)+(BG15/100)+(BH15/1000)+(BJ15/10000)+(BK15/100000)+(BL15/1000000)+(BM15/10000000)+(ROW(BI16)/100000000)</f>
        <v>1.6E-7</v>
      </c>
      <c r="BO15" s="4">
        <f ca="1">+BE15-BN15</f>
        <v>0.99999983999999997</v>
      </c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K15" s="4" t="s">
        <v>24</v>
      </c>
      <c r="CL15" s="56">
        <f>SUMIFS(tblActuals[Team 2 Points],tblActuals[Team 2],$CK15,tblActuals[Team 1],CL$3)+SUMIFS(tblActuals[Team 1 Points],tblActuals[Team 1],$CK15,tblActuals[Team 2],CL$3)</f>
        <v>0</v>
      </c>
      <c r="CM15" s="56">
        <f>SUMIFS(tblActuals[Team 2 Points],tblActuals[Team 2],$CK15,tblActuals[Team 1],CM$3)+SUMIFS(tblActuals[Team 1 Points],tblActuals[Team 1],$CK15,tblActuals[Team 2],CM$3)</f>
        <v>0</v>
      </c>
      <c r="CN15" s="56">
        <f>SUMIFS(tblActuals[Team 2 Points],tblActuals[Team 2],$CK15,tblActuals[Team 1],CN$3)+SUMIFS(tblActuals[Team 1 Points],tblActuals[Team 1],$CK15,tblActuals[Team 2],CN$3)</f>
        <v>0</v>
      </c>
      <c r="CO15" s="56">
        <f>SUMIFS(tblActuals[Team 2 Points],tblActuals[Team 2],$CK15,tblActuals[Team 1],CO$3)+SUMIFS(tblActuals[Team 1 Points],tblActuals[Team 1],$CK15,tblActuals[Team 2],CO$3)</f>
        <v>0</v>
      </c>
      <c r="CP15" s="56">
        <f>SUMIFS(tblActuals[Team 2 Points],tblActuals[Team 2],$CK15,tblActuals[Team 1],CP$3)+SUMIFS(tblActuals[Team 1 Points],tblActuals[Team 1],$CK15,tblActuals[Team 2],CP$3)</f>
        <v>0</v>
      </c>
      <c r="CQ15" s="56">
        <f>SUMIFS(tblActuals[Team 2 Points],tblActuals[Team 2],$CK15,tblActuals[Team 1],CQ$3)+SUMIFS(tblActuals[Team 1 Points],tblActuals[Team 1],$CK15,tblActuals[Team 2],CQ$3)</f>
        <v>0</v>
      </c>
      <c r="CR15" s="56">
        <f>SUMIFS(tblActuals[Team 2 Points],tblActuals[Team 2],$CK15,tblActuals[Team 1],CR$3)+SUMIFS(tblActuals[Team 1 Points],tblActuals[Team 1],$CK15,tblActuals[Team 2],CR$3)</f>
        <v>0</v>
      </c>
      <c r="CS15" s="56">
        <f>SUMIFS(tblActuals[Team 2 Points],tblActuals[Team 2],$CK15,tblActuals[Team 1],CS$3)+SUMIFS(tblActuals[Team 1 Points],tblActuals[Team 1],$CK15,tblActuals[Team 2],CS$3)</f>
        <v>0</v>
      </c>
      <c r="CT15" s="56">
        <f>SUMIFS(tblActuals[Team 2 Points],tblActuals[Team 2],$CK15,tblActuals[Team 1],CT$3)+SUMIFS(tblActuals[Team 1 Points],tblActuals[Team 1],$CK15,tblActuals[Team 2],CT$3)</f>
        <v>0</v>
      </c>
      <c r="CU15" s="56">
        <f>SUMIFS(tblActuals[Team 2 Points],tblActuals[Team 2],$CK15,tblActuals[Team 1],CU$3)+SUMIFS(tblActuals[Team 1 Points],tblActuals[Team 1],$CK15,tblActuals[Team 2],CU$3)</f>
        <v>0</v>
      </c>
      <c r="CV15" s="56">
        <f>SUMIFS(tblActuals[Team 2 Points],tblActuals[Team 2],$CK15,tblActuals[Team 1],CV$3)+SUMIFS(tblActuals[Team 1 Points],tblActuals[Team 1],$CK15,tblActuals[Team 2],CV$3)</f>
        <v>0</v>
      </c>
      <c r="CW15" s="56">
        <f>SUMIFS(tblActuals[Team 2 Points],tblActuals[Team 2],$CK15,tblActuals[Team 1],CW$3)+SUMIFS(tblActuals[Team 1 Points],tblActuals[Team 1],$CK15,tblActuals[Team 2],CW$3)</f>
        <v>0</v>
      </c>
      <c r="CX15" s="56">
        <f>SUMIFS(tblActuals[Team 2 Points],tblActuals[Team 2],$CK15,tblActuals[Team 1],CX$3)+SUMIFS(tblActuals[Team 1 Points],tblActuals[Team 1],$CK15,tblActuals[Team 2],CX$3)</f>
        <v>0</v>
      </c>
      <c r="CY15" s="56">
        <f>SUMIFS(tblActuals[Team 2 Points],tblActuals[Team 2],$CK15,tblActuals[Team 1],CY$3)+SUMIFS(tblActuals[Team 1 Points],tblActuals[Team 1],$CK15,tblActuals[Team 2],CY$3)</f>
        <v>0</v>
      </c>
      <c r="CZ15" s="56">
        <f>SUMIFS(tblActuals[Team 2 Points],tblActuals[Team 2],$CK15,tblActuals[Team 1],CZ$3)+SUMIFS(tblActuals[Team 1 Points],tblActuals[Team 1],$CK15,tblActuals[Team 2],CZ$3)</f>
        <v>0</v>
      </c>
      <c r="DA15" s="56">
        <f>SUMIFS(tblActuals[Team 2 Points],tblActuals[Team 2],$CK15,tblActuals[Team 1],DA$3)+SUMIFS(tblActuals[Team 1 Points],tblActuals[Team 1],$CK15,tblActuals[Team 2],DA$3)</f>
        <v>0</v>
      </c>
      <c r="DB15" s="56">
        <f>SUMIFS(tblActuals[Team 2 Points],tblActuals[Team 2],$CK15,tblActuals[Team 1],DB$3)+SUMIFS(tblActuals[Team 1 Points],tblActuals[Team 1],$CK15,tblActuals[Team 2],DB$3)</f>
        <v>0</v>
      </c>
      <c r="DC15" s="56">
        <f>SUMIFS(tblActuals[Team 2 Points],tblActuals[Team 2],$CK15,tblActuals[Team 1],DC$3)+SUMIFS(tblActuals[Team 1 Points],tblActuals[Team 1],$CK15,tblActuals[Team 2],DC$3)</f>
        <v>0</v>
      </c>
      <c r="DD15" s="56">
        <f>SUMIFS(tblActuals[Team 2 Points],tblActuals[Team 2],$CK15,tblActuals[Team 1],DD$3)+SUMIFS(tblActuals[Team 1 Points],tblActuals[Team 1],$CK15,tblActuals[Team 2],DD$3)</f>
        <v>0</v>
      </c>
      <c r="DE15" s="56">
        <f>SUMIFS(tblActuals[Team 2 Points],tblActuals[Team 2],$CK15,tblActuals[Team 1],DE$3)+SUMIFS(tblActuals[Team 1 Points],tblActuals[Team 1],$CK15,tblActuals[Team 2],DE$3)</f>
        <v>0</v>
      </c>
      <c r="DF15" s="56">
        <f>SUMIFS(tblActuals[Team 2 Points],tblActuals[Team 2],$CK15,tblActuals[Team 1],DF$3)+SUMIFS(tblActuals[Team 1 Points],tblActuals[Team 1],$CK15,tblActuals[Team 2],DF$3)</f>
        <v>0</v>
      </c>
      <c r="DG15" s="56">
        <f>SUMIFS(tblActuals[Team 2 Points],tblActuals[Team 2],$CK15,tblActuals[Team 1],DG$3)+SUMIFS(tblActuals[Team 1 Points],tblActuals[Team 1],$CK15,tblActuals[Team 2],DG$3)</f>
        <v>0</v>
      </c>
      <c r="DH15" s="56">
        <f>SUMIFS(tblActuals[Team 2 Points],tblActuals[Team 2],$CK15,tblActuals[Team 1],DH$3)+SUMIFS(tblActuals[Team 1 Points],tblActuals[Team 1],$CK15,tblActuals[Team 2],DH$3)</f>
        <v>0</v>
      </c>
      <c r="DI15" s="56">
        <f>SUMIFS(tblActuals[Team 2 Points],tblActuals[Team 2],$CK15,tblActuals[Team 1],DI$3)+SUMIFS(tblActuals[Team 1 Points],tblActuals[Team 1],$CK15,tblActuals[Team 2],DI$3)</f>
        <v>0</v>
      </c>
      <c r="DJ15" s="57"/>
      <c r="DK15" s="57"/>
      <c r="DL15" s="57"/>
      <c r="DM15" s="57"/>
      <c r="DN15" s="57"/>
      <c r="DO15" s="57"/>
      <c r="DP15" s="57"/>
      <c r="DQ15" s="57"/>
      <c r="DR15" s="4"/>
      <c r="DS15" s="4" t="s">
        <v>24</v>
      </c>
      <c r="DT15" s="56">
        <f>SUMIFS(tblActuals[Team 2 GD],tblActuals[Team 2],$CK15,tblActuals[Team 1],DT$3)+SUMIFS(tblActuals[Team 1 GD],tblActuals[Team 1],$CK15,tblActuals[Team 2],DT$3)</f>
        <v>0</v>
      </c>
      <c r="DU15" s="56">
        <f>SUMIFS(tblActuals[Team 2 GD],tblActuals[Team 2],$CK15,tblActuals[Team 1],DU$3)+SUMIFS(tblActuals[Team 1 GD],tblActuals[Team 1],$CK15,tblActuals[Team 2],DU$3)</f>
        <v>0</v>
      </c>
      <c r="DV15" s="56">
        <f>SUMIFS(tblActuals[Team 2 GD],tblActuals[Team 2],$CK15,tblActuals[Team 1],DV$3)+SUMIFS(tblActuals[Team 1 GD],tblActuals[Team 1],$CK15,tblActuals[Team 2],DV$3)</f>
        <v>0</v>
      </c>
      <c r="DW15" s="56">
        <f>SUMIFS(tblActuals[Team 2 GD],tblActuals[Team 2],$CK15,tblActuals[Team 1],DW$3)+SUMIFS(tblActuals[Team 1 GD],tblActuals[Team 1],$CK15,tblActuals[Team 2],DW$3)</f>
        <v>0</v>
      </c>
      <c r="DX15" s="56">
        <f>SUMIFS(tblActuals[Team 2 GD],tblActuals[Team 2],$CK15,tblActuals[Team 1],DX$3)+SUMIFS(tblActuals[Team 1 GD],tblActuals[Team 1],$CK15,tblActuals[Team 2],DX$3)</f>
        <v>0</v>
      </c>
      <c r="DY15" s="56">
        <f>SUMIFS(tblActuals[Team 2 GD],tblActuals[Team 2],$CK15,tblActuals[Team 1],DY$3)+SUMIFS(tblActuals[Team 1 GD],tblActuals[Team 1],$CK15,tblActuals[Team 2],DY$3)</f>
        <v>0</v>
      </c>
      <c r="DZ15" s="56">
        <f>SUMIFS(tblActuals[Team 2 GD],tblActuals[Team 2],$CK15,tblActuals[Team 1],DZ$3)+SUMIFS(tblActuals[Team 1 GD],tblActuals[Team 1],$CK15,tblActuals[Team 2],DZ$3)</f>
        <v>0</v>
      </c>
      <c r="EA15" s="56">
        <f>SUMIFS(tblActuals[Team 2 GD],tblActuals[Team 2],$CK15,tblActuals[Team 1],EA$3)+SUMIFS(tblActuals[Team 1 GD],tblActuals[Team 1],$CK15,tblActuals[Team 2],EA$3)</f>
        <v>0</v>
      </c>
      <c r="EB15" s="56">
        <f>SUMIFS(tblActuals[Team 2 GD],tblActuals[Team 2],$CK15,tblActuals[Team 1],EB$3)+SUMIFS(tblActuals[Team 1 GD],tblActuals[Team 1],$CK15,tblActuals[Team 2],EB$3)</f>
        <v>0</v>
      </c>
      <c r="EC15" s="56">
        <f>SUMIFS(tblActuals[Team 2 GD],tblActuals[Team 2],$CK15,tblActuals[Team 1],EC$3)+SUMIFS(tblActuals[Team 1 GD],tblActuals[Team 1],$CK15,tblActuals[Team 2],EC$3)</f>
        <v>0</v>
      </c>
      <c r="ED15" s="56">
        <f>SUMIFS(tblActuals[Team 2 GD],tblActuals[Team 2],$CK15,tblActuals[Team 1],ED$3)+SUMIFS(tblActuals[Team 1 GD],tblActuals[Team 1],$CK15,tblActuals[Team 2],ED$3)</f>
        <v>0</v>
      </c>
      <c r="EE15" s="56">
        <f>SUMIFS(tblActuals[Team 2 GD],tblActuals[Team 2],$CK15,tblActuals[Team 1],EE$3)+SUMIFS(tblActuals[Team 1 GD],tblActuals[Team 1],$CK15,tblActuals[Team 2],EE$3)</f>
        <v>0</v>
      </c>
      <c r="EF15" s="56">
        <f>SUMIFS(tblActuals[Team 2 GD],tblActuals[Team 2],$CK15,tblActuals[Team 1],EF$3)+SUMIFS(tblActuals[Team 1 GD],tblActuals[Team 1],$CK15,tblActuals[Team 2],EF$3)</f>
        <v>0</v>
      </c>
      <c r="EG15" s="56">
        <f>SUMIFS(tblActuals[Team 2 GD],tblActuals[Team 2],$CK15,tblActuals[Team 1],EG$3)+SUMIFS(tblActuals[Team 1 GD],tblActuals[Team 1],$CK15,tblActuals[Team 2],EG$3)</f>
        <v>0</v>
      </c>
      <c r="EH15" s="56">
        <f>SUMIFS(tblActuals[Team 2 GD],tblActuals[Team 2],$CK15,tblActuals[Team 1],EH$3)+SUMIFS(tblActuals[Team 1 GD],tblActuals[Team 1],$CK15,tblActuals[Team 2],EH$3)</f>
        <v>0</v>
      </c>
      <c r="EI15" s="56">
        <f>SUMIFS(tblActuals[Team 2 GD],tblActuals[Team 2],$CK15,tblActuals[Team 1],EI$3)+SUMIFS(tblActuals[Team 1 GD],tblActuals[Team 1],$CK15,tblActuals[Team 2],EI$3)</f>
        <v>0</v>
      </c>
      <c r="EJ15" s="56">
        <f>SUMIFS(tblActuals[Team 2 GD],tblActuals[Team 2],$CK15,tblActuals[Team 1],EJ$3)+SUMIFS(tblActuals[Team 1 GD],tblActuals[Team 1],$CK15,tblActuals[Team 2],EJ$3)</f>
        <v>0</v>
      </c>
      <c r="EK15" s="56">
        <f>SUMIFS(tblActuals[Team 2 GD],tblActuals[Team 2],$CK15,tblActuals[Team 1],EK$3)+SUMIFS(tblActuals[Team 1 GD],tblActuals[Team 1],$CK15,tblActuals[Team 2],EK$3)</f>
        <v>0</v>
      </c>
      <c r="EL15" s="56">
        <f>SUMIFS(tblActuals[Team 2 GD],tblActuals[Team 2],$CK15,tblActuals[Team 1],EL$3)+SUMIFS(tblActuals[Team 1 GD],tblActuals[Team 1],$CK15,tblActuals[Team 2],EL$3)</f>
        <v>0</v>
      </c>
      <c r="EM15" s="56">
        <f>SUMIFS(tblActuals[Team 2 GD],tblActuals[Team 2],$CK15,tblActuals[Team 1],EM$3)+SUMIFS(tblActuals[Team 1 GD],tblActuals[Team 1],$CK15,tblActuals[Team 2],EM$3)</f>
        <v>0</v>
      </c>
      <c r="EN15" s="56">
        <f>SUMIFS(tblActuals[Team 2 GD],tblActuals[Team 2],$CK15,tblActuals[Team 1],EN$3)+SUMIFS(tblActuals[Team 1 GD],tblActuals[Team 1],$CK15,tblActuals[Team 2],EN$3)</f>
        <v>0</v>
      </c>
      <c r="EO15" s="56">
        <f>SUMIFS(tblActuals[Team 2 GD],tblActuals[Team 2],$CK15,tblActuals[Team 1],EO$3)+SUMIFS(tblActuals[Team 1 GD],tblActuals[Team 1],$CK15,tblActuals[Team 2],EO$3)</f>
        <v>0</v>
      </c>
      <c r="EP15" s="56">
        <f>SUMIFS(tblActuals[Team 2 GD],tblActuals[Team 2],$CK15,tblActuals[Team 1],EP$3)+SUMIFS(tblActuals[Team 1 GD],tblActuals[Team 1],$CK15,tblActuals[Team 2],EP$3)</f>
        <v>0</v>
      </c>
      <c r="EQ15" s="56">
        <f>SUMIFS(tblActuals[Team 2 GD],tblActuals[Team 2],$CK15,tblActuals[Team 1],EQ$3)+SUMIFS(tblActuals[Team 1 GD],tblActuals[Team 1],$CK15,tblActuals[Team 2],EQ$3)</f>
        <v>0</v>
      </c>
      <c r="ER15" s="57"/>
      <c r="ES15" s="57"/>
      <c r="ET15" s="57"/>
      <c r="EU15" s="57"/>
      <c r="EV15" s="57"/>
      <c r="EW15" s="57"/>
      <c r="EX15" s="57"/>
      <c r="EY15" s="57"/>
      <c r="EZ15" s="4"/>
      <c r="FA15" s="4" t="s">
        <v>24</v>
      </c>
      <c r="FB15" s="56">
        <f>SUMIFS(tblActuals[Team 2 Goals],tblActuals[Team 2],$CK15,tblActuals[Team 1],FB$3)+SUMIFS(tblActuals[Team 1 Goals],tblActuals[Team 1],$CK15,tblActuals[Team 2],FB$3)</f>
        <v>0</v>
      </c>
      <c r="FC15" s="56">
        <f>SUMIFS(tblActuals[Team 2 Goals],tblActuals[Team 2],$CK15,tblActuals[Team 1],FC$3)+SUMIFS(tblActuals[Team 1 Goals],tblActuals[Team 1],$CK15,tblActuals[Team 2],FC$3)</f>
        <v>0</v>
      </c>
      <c r="FD15" s="56">
        <f>SUMIFS(tblActuals[Team 2 Goals],tblActuals[Team 2],$CK15,tblActuals[Team 1],FD$3)+SUMIFS(tblActuals[Team 1 Goals],tblActuals[Team 1],$CK15,tblActuals[Team 2],FD$3)</f>
        <v>0</v>
      </c>
      <c r="FE15" s="56">
        <f>SUMIFS(tblActuals[Team 2 Goals],tblActuals[Team 2],$CK15,tblActuals[Team 1],FE$3)+SUMIFS(tblActuals[Team 1 Goals],tblActuals[Team 1],$CK15,tblActuals[Team 2],FE$3)</f>
        <v>0</v>
      </c>
      <c r="FF15" s="56">
        <f>SUMIFS(tblActuals[Team 2 Goals],tblActuals[Team 2],$CK15,tblActuals[Team 1],FF$3)+SUMIFS(tblActuals[Team 1 Goals],tblActuals[Team 1],$CK15,tblActuals[Team 2],FF$3)</f>
        <v>0</v>
      </c>
      <c r="FG15" s="56">
        <f>SUMIFS(tblActuals[Team 2 Goals],tblActuals[Team 2],$CK15,tblActuals[Team 1],FG$3)+SUMIFS(tblActuals[Team 1 Goals],tblActuals[Team 1],$CK15,tblActuals[Team 2],FG$3)</f>
        <v>0</v>
      </c>
      <c r="FH15" s="56">
        <f>SUMIFS(tblActuals[Team 2 Goals],tblActuals[Team 2],$CK15,tblActuals[Team 1],FH$3)+SUMIFS(tblActuals[Team 1 Goals],tblActuals[Team 1],$CK15,tblActuals[Team 2],FH$3)</f>
        <v>0</v>
      </c>
      <c r="FI15" s="56">
        <f>SUMIFS(tblActuals[Team 2 Goals],tblActuals[Team 2],$CK15,tblActuals[Team 1],FI$3)+SUMIFS(tblActuals[Team 1 Goals],tblActuals[Team 1],$CK15,tblActuals[Team 2],FI$3)</f>
        <v>0</v>
      </c>
      <c r="FJ15" s="56">
        <f>SUMIFS(tblActuals[Team 2 Goals],tblActuals[Team 2],$CK15,tblActuals[Team 1],FJ$3)+SUMIFS(tblActuals[Team 1 Goals],tblActuals[Team 1],$CK15,tblActuals[Team 2],FJ$3)</f>
        <v>0</v>
      </c>
      <c r="FK15" s="56">
        <f>SUMIFS(tblActuals[Team 2 Goals],tblActuals[Team 2],$CK15,tblActuals[Team 1],FK$3)+SUMIFS(tblActuals[Team 1 Goals],tblActuals[Team 1],$CK15,tblActuals[Team 2],FK$3)</f>
        <v>0</v>
      </c>
      <c r="FL15" s="56">
        <f>SUMIFS(tblActuals[Team 2 Goals],tblActuals[Team 2],$CK15,tblActuals[Team 1],FL$3)+SUMIFS(tblActuals[Team 1 Goals],tblActuals[Team 1],$CK15,tblActuals[Team 2],FL$3)</f>
        <v>0</v>
      </c>
      <c r="FM15" s="56">
        <f>SUMIFS(tblActuals[Team 2 Goals],tblActuals[Team 2],$CK15,tblActuals[Team 1],FM$3)+SUMIFS(tblActuals[Team 1 Goals],tblActuals[Team 1],$CK15,tblActuals[Team 2],FM$3)</f>
        <v>0</v>
      </c>
      <c r="FN15" s="56">
        <f>SUMIFS(tblActuals[Team 2 Goals],tblActuals[Team 2],$CK15,tblActuals[Team 1],FN$3)+SUMIFS(tblActuals[Team 1 Goals],tblActuals[Team 1],$CK15,tblActuals[Team 2],FN$3)</f>
        <v>0</v>
      </c>
      <c r="FO15" s="56">
        <f>SUMIFS(tblActuals[Team 2 Goals],tblActuals[Team 2],$CK15,tblActuals[Team 1],FO$3)+SUMIFS(tblActuals[Team 1 Goals],tblActuals[Team 1],$CK15,tblActuals[Team 2],FO$3)</f>
        <v>0</v>
      </c>
      <c r="FP15" s="56">
        <f>SUMIFS(tblActuals[Team 2 Goals],tblActuals[Team 2],$CK15,tblActuals[Team 1],FP$3)+SUMIFS(tblActuals[Team 1 Goals],tblActuals[Team 1],$CK15,tblActuals[Team 2],FP$3)</f>
        <v>0</v>
      </c>
      <c r="FQ15" s="56">
        <f>SUMIFS(tblActuals[Team 2 Goals],tblActuals[Team 2],$CK15,tblActuals[Team 1],FQ$3)+SUMIFS(tblActuals[Team 1 Goals],tblActuals[Team 1],$CK15,tblActuals[Team 2],FQ$3)</f>
        <v>0</v>
      </c>
      <c r="FR15" s="56">
        <f>SUMIFS(tblActuals[Team 2 Goals],tblActuals[Team 2],$CK15,tblActuals[Team 1],FR$3)+SUMIFS(tblActuals[Team 1 Goals],tblActuals[Team 1],$CK15,tblActuals[Team 2],FR$3)</f>
        <v>0</v>
      </c>
      <c r="FS15" s="56">
        <f>SUMIFS(tblActuals[Team 2 Goals],tblActuals[Team 2],$CK15,tblActuals[Team 1],FS$3)+SUMIFS(tblActuals[Team 1 Goals],tblActuals[Team 1],$CK15,tblActuals[Team 2],FS$3)</f>
        <v>0</v>
      </c>
      <c r="FT15" s="56">
        <f>SUMIFS(tblActuals[Team 2 Goals],tblActuals[Team 2],$CK15,tblActuals[Team 1],FT$3)+SUMIFS(tblActuals[Team 1 Goals],tblActuals[Team 1],$CK15,tblActuals[Team 2],FT$3)</f>
        <v>0</v>
      </c>
      <c r="FU15" s="56">
        <f>SUMIFS(tblActuals[Team 2 Goals],tblActuals[Team 2],$CK15,tblActuals[Team 1],FU$3)+SUMIFS(tblActuals[Team 1 Goals],tblActuals[Team 1],$CK15,tblActuals[Team 2],FU$3)</f>
        <v>0</v>
      </c>
      <c r="FV15" s="56">
        <f>SUMIFS(tblActuals[Team 2 Goals],tblActuals[Team 2],$CK15,tblActuals[Team 1],FV$3)+SUMIFS(tblActuals[Team 1 Goals],tblActuals[Team 1],$CK15,tblActuals[Team 2],FV$3)</f>
        <v>0</v>
      </c>
      <c r="FW15" s="56">
        <f>SUMIFS(tblActuals[Team 2 Goals],tblActuals[Team 2],$CK15,tblActuals[Team 1],FW$3)+SUMIFS(tblActuals[Team 1 Goals],tblActuals[Team 1],$CK15,tblActuals[Team 2],FW$3)</f>
        <v>0</v>
      </c>
      <c r="FX15" s="56">
        <f>SUMIFS(tblActuals[Team 2 Goals],tblActuals[Team 2],$CK15,tblActuals[Team 1],FX$3)+SUMIFS(tblActuals[Team 1 Goals],tblActuals[Team 1],$CK15,tblActuals[Team 2],FX$3)</f>
        <v>0</v>
      </c>
      <c r="FY15" s="56">
        <f>SUMIFS(tblActuals[Team 2 Goals],tblActuals[Team 2],$CK15,tblActuals[Team 1],FY$3)+SUMIFS(tblActuals[Team 1 Goals],tblActuals[Team 1],$CK15,tblActuals[Team 2],FY$3)</f>
        <v>0</v>
      </c>
      <c r="FZ15" s="57"/>
      <c r="GA15" s="57"/>
      <c r="GB15" s="37"/>
      <c r="GC15" s="37"/>
      <c r="GD15" s="37"/>
      <c r="GE15" s="37"/>
      <c r="GF15" s="37"/>
      <c r="GG15" s="37"/>
      <c r="GH15" s="75"/>
      <c r="GI15" s="156"/>
      <c r="GJ15" s="156"/>
      <c r="GK15" s="75"/>
      <c r="GL15" s="75"/>
      <c r="GM15" s="75"/>
      <c r="GN15" s="75"/>
      <c r="GO15" s="75"/>
      <c r="GP15" s="75"/>
      <c r="GR15" s="4" t="str">
        <f t="shared" si="12"/>
        <v>BCDE</v>
      </c>
      <c r="GS15" s="45"/>
      <c r="GT15" s="44" t="s">
        <v>5</v>
      </c>
      <c r="GU15" s="44" t="s">
        <v>6</v>
      </c>
      <c r="GV15" s="44" t="s">
        <v>7</v>
      </c>
      <c r="GW15" s="44" t="s">
        <v>12</v>
      </c>
      <c r="GX15" s="45"/>
      <c r="GY15" s="178"/>
      <c r="GZ15" s="45" t="s">
        <v>153</v>
      </c>
      <c r="HA15" s="45" t="s">
        <v>150</v>
      </c>
      <c r="HB15" s="45" t="s">
        <v>151</v>
      </c>
      <c r="HC15" s="45" t="s">
        <v>152</v>
      </c>
    </row>
    <row r="16" spans="1:211" s="11" customFormat="1" ht="30" customHeight="1" thickBot="1" x14ac:dyDescent="0.3">
      <c r="A16" s="20"/>
      <c r="B16" s="122">
        <v>13</v>
      </c>
      <c r="C16" s="122" t="s">
        <v>1</v>
      </c>
      <c r="D16" s="123">
        <v>45462</v>
      </c>
      <c r="E16" s="122" t="s">
        <v>79</v>
      </c>
      <c r="F16" s="124">
        <v>0.875</v>
      </c>
      <c r="G16" s="125">
        <f t="shared" si="8"/>
        <v>45462.625</v>
      </c>
      <c r="H16" s="122" t="s">
        <v>101</v>
      </c>
      <c r="I16" s="126"/>
      <c r="J16" s="118"/>
      <c r="K16" s="118"/>
      <c r="L16" s="119" t="str">
        <f>IF(tblActuals[[#This Row],[SCORE]]="","",IF(Q16=R16,"Draw",IF(Q16&gt;R16,M16,N16)))</f>
        <v/>
      </c>
      <c r="M16" s="120" t="str">
        <f>IF(tblActuals[[#This Row],[TEAMS]]="","",LEFT(H16,FIND(" -",H16,1)-1))</f>
        <v>Scotland</v>
      </c>
      <c r="N16" s="120" t="str">
        <f>IF(tblActuals[[#This Row],[TEAMS]]="","",MID(H16,FIND("-",H16,1)+2,LEN(H16)-FIND("-",H16,1)+2))</f>
        <v>Switzerland</v>
      </c>
      <c r="O16" s="120" t="str">
        <f>IF(tblActuals[[#This Row],[Team 1 Goals]]&gt;tblActuals[[#This Row],[Team 2 Goals]],tblActuals[[#This Row],[Team 1]],IF(tblActuals[[#This Row],[Team 2 Goals]]&gt;tblActuals[[#This Row],[Team 1 Goals]],tblActuals[[#This Row],[Team 2]],""))</f>
        <v/>
      </c>
      <c r="P16" s="120" t="str">
        <f>IF(tblActuals[[#This Row],[Winner]]=tblActuals[[#This Row],[Team 1]],tblActuals[[#This Row],[Team 2]],IF(tblActuals[[#This Row],[Winner]]=tblActuals[[#This Row],[Team 2]],tblActuals[[#This Row],[Team 1]],""))</f>
        <v/>
      </c>
      <c r="Q16" s="120" t="str">
        <f>IF(tblActuals[[#This Row],[SCORE]]="","",LEFT(I16,FIND(":",I16,1)-1)*1)</f>
        <v/>
      </c>
      <c r="R16" s="120" t="str">
        <f>IF(tblActuals[[#This Row],[SCORE]]="","",MID(I16,FIND(":",I16,1)+1,LEN(I16)-FIND(":",I16,1)+1)*1)</f>
        <v/>
      </c>
      <c r="S16" s="120" t="str">
        <f>IF(OR(tblActuals[[#This Row],[Team 1 Goals]]="",tblActuals[[#This Row],[Team 2 Goals]]=""),"",tblActuals[[#This Row],[Team 1 Goals]]-tblActuals[[#This Row],[Team 2 Goals]])</f>
        <v/>
      </c>
      <c r="T16" s="120" t="str">
        <f>IF(OR(tblActuals[[#This Row],[Team 1 Goals]]="",tblActuals[[#This Row],[Team 2 Goals]]=""),"",tblActuals[[#This Row],[Team 2 Goals]]-tblActuals[[#This Row],[Team 1 Goals]])</f>
        <v/>
      </c>
      <c r="U16" s="120" t="str">
        <f>IF(tblActuals[[#This Row],[SCORE]]="","",IF(tblActuals[[#This Row],[WINNER / RESULT]]="Draw",1,IF(tblActuals[[#This Row],[WINNER / RESULT]]=tblActuals[[#This Row],[Team 1]],3,0)))</f>
        <v/>
      </c>
      <c r="V16" s="120" t="str">
        <f>IF(tblActuals[[#This Row],[SCORE]]="","",IF(tblActuals[[#This Row],[WINNER / RESULT]]="Draw",1,IF(tblActuals[[#This Row],[WINNER / RESULT]]=tblActuals[[#This Row],[Team 2]],3,0)))</f>
        <v/>
      </c>
      <c r="W16" s="121"/>
      <c r="X16" s="121"/>
      <c r="Y16" s="121"/>
      <c r="Z16" s="121"/>
      <c r="AA16" s="120" t="e">
        <f>tblActuals[[#This Row],[Team 1 Goals]]+tblActuals[[#This Row],[Team 1 ET Goals]]&amp;":"&amp;tblActuals[[#This Row],[Team 2 Goals]]+tblActuals[[#This Row],[Team 2 ET Goals]]</f>
        <v>#VALUE!</v>
      </c>
      <c r="AB16" s="120" t="e">
        <f>+tblActuals[[#This Row],[Team 1 Goals]]+tblActuals[[#This Row],[Team 2 Goals]]</f>
        <v>#VALUE!</v>
      </c>
      <c r="AC16" s="165">
        <f t="shared" si="0"/>
        <v>45462</v>
      </c>
      <c r="AD16" s="166">
        <f t="shared" si="9"/>
        <v>16.600000000000001</v>
      </c>
      <c r="AJ16" s="77"/>
      <c r="AK16" s="148"/>
      <c r="AL16" s="148"/>
      <c r="AM16" s="148"/>
      <c r="AN16" s="148"/>
      <c r="AO16" s="148"/>
      <c r="AP16" s="75"/>
      <c r="AQ16" s="4"/>
      <c r="AR16" s="4"/>
      <c r="AS16" s="4" t="s">
        <v>6</v>
      </c>
      <c r="AT16" s="4" t="s">
        <v>34</v>
      </c>
      <c r="AU16" s="4">
        <f>COUNTIF(tblActuals[Winner],AT16)</f>
        <v>0</v>
      </c>
      <c r="AV16" s="4">
        <f>COUNTIFS(tblActuals[Team 2],AT16,tblActuals[WINNER / RESULT],"Draw")+COUNTIFS(tblActuals[Team 1],AT16,tblActuals[WINNER / RESULT],"Draw")</f>
        <v>0</v>
      </c>
      <c r="AW16" s="4">
        <f>COUNTIF(tblActuals[Loser],AT16)</f>
        <v>0</v>
      </c>
      <c r="AX16" s="4">
        <f>AV16+(3*AU16)</f>
        <v>0</v>
      </c>
      <c r="AY16" s="4">
        <f>SUMIFS(tblActuals[Team 1 Goals],tblActuals[Team 1],AT16)+SUMIFS(tblActuals[Team 2 Goals],tblActuals[Team 2],AT16)</f>
        <v>0</v>
      </c>
      <c r="AZ16" s="4">
        <f>SUMIFS(tblActuals[Team 2 Goals],tblActuals[Team 1],AT16)+SUMIFS(tblActuals[Team 1 Goals],tblActuals[Team 2],AT16)</f>
        <v>0</v>
      </c>
      <c r="BA16" s="4">
        <f>AY16-AZ16</f>
        <v>0</v>
      </c>
      <c r="BB16" s="4">
        <f ca="1">RANK(BO16,$BO$14:$BO$17,1)</f>
        <v>3</v>
      </c>
      <c r="BC16" s="4" t="str">
        <f t="shared" si="1"/>
        <v/>
      </c>
      <c r="BD16" s="4" t="str">
        <f ca="1">IF(BC16="",BB16&amp;AS16,BC16&amp;AS16)</f>
        <v>3C</v>
      </c>
      <c r="BE16" s="4">
        <f>RANK(AX16,$AX$14:$AX$17,0)</f>
        <v>1</v>
      </c>
      <c r="BF16" s="4" cm="1">
        <f t="array" aca="1" ref="BF16" ca="1">SUMPRODUCT((OFFSET($CL$3:$DQ$3,MATCH($AT16,$CK$4:$CK$35,0),0))*((IF($BE14=$BE16,$CL$3:$DQ$3=$AT14,0))+(IF($BE17=$BE16,$CL$3:$DQ$3=$AT17,0))+(IF($BE15=$BE16,$CL$3:$DQ$3=$AT15,0))))</f>
        <v>0</v>
      </c>
      <c r="BG16" s="4" cm="1">
        <f t="array" aca="1" ref="BG16" ca="1">SUMPRODUCT((OFFSET($DT$3:$EY$3,MATCH($AT16,$DS$4:$DS$35,0),0))*((IF($BE14=$BE16,$DT$3:$EY$3=$AT14,0))+(IF($BE17=$BE16,$DT$3:$EY$3=$AT17,0))+(IF($BE15=$BE16,$DT$3:$EY$3=$AT15,0))))</f>
        <v>0</v>
      </c>
      <c r="BH16" s="4" cm="1">
        <f t="array" aca="1" ref="BH16" ca="1">SUMPRODUCT((OFFSET($FB$3:$GG$3,MATCH($AT16,$FA$4:$FA$35,0),0))*((IF($BE14=$BE16,$FB$3:$GG$3=$AT14,0))+(IF($BE17=$BE16,$FB$3:$GG$3=$AT17,0))+(IF($BE15=$BE16,$FB$3:$GG$3=$AT15,0))))</f>
        <v>0</v>
      </c>
      <c r="BI16" s="4" cm="1">
        <f t="array" aca="1" ref="BI16" ca="1">SUMPRODUCT((OFFSET($CL$3:$DQ$3,MATCH($AT16,$CK$4:$CK$35,0),0))*((IF($BE14&lt;&gt;$BE16,$CL$3:$DQ$3=$AT14,0))+(IF($BE17&lt;&gt;$BE16,$CL$3:$DQ$3=$AT17,0))+(IF($BE15&lt;&gt;$BE16,$CL$3:$DQ$3=$AT15,0))))</f>
        <v>0</v>
      </c>
      <c r="BJ16" s="4" cm="1">
        <f t="array" aca="1" ref="BJ16" ca="1">SUMPRODUCT((OFFSET($DT$3:$EY$3,MATCH($AT16,$DS$4:$DS$35,0),0))*((IF($BE14&lt;&gt;$BE16,$DT$3:$EY$3=$AT14,0))+(IF($BE17&lt;&gt;$BE16,$DT$3:$EY$3=$AT17,0))+(IF($BE15&lt;&gt;$BE16,$DT$3:$EY$3=$AT15,0))))</f>
        <v>0</v>
      </c>
      <c r="BK16" s="4" cm="1">
        <f t="array" aca="1" ref="BK16" ca="1">SUMPRODUCT((OFFSET($FB$3:$GG$3,MATCH($AT16,$FA$4:$FA$35,0),0))*((IF($BE14&lt;&gt;$BE16,$FB$3:$GG$3=$AT14,0))+(IF($BE17&lt;&gt;$BE16,$FB$3:$GG$3=$AT17,0))+(IF($BE15&lt;&gt;$BE16,$FB$3:$GG$3=$AT15,0))))</f>
        <v>0</v>
      </c>
      <c r="BL16" s="4">
        <f t="shared" si="10"/>
        <v>0</v>
      </c>
      <c r="BM16" s="4">
        <f t="shared" si="11"/>
        <v>0</v>
      </c>
      <c r="BN16" s="4">
        <f ca="1">(BF16/10)+(BG16/100)+(BH16/1000)+(BJ16/10000)+(BK16/100000)+(BL16/1000000)+(BM16/10000000)+(ROW(BI15)/100000000)</f>
        <v>1.4999999999999999E-7</v>
      </c>
      <c r="BO16" s="4">
        <f ca="1">+BE16-BN16</f>
        <v>0.99999985000000002</v>
      </c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K16" s="4" t="s">
        <v>32</v>
      </c>
      <c r="CL16" s="56">
        <f>SUMIFS(tblActuals[Team 2 Points],tblActuals[Team 2],$CK16,tblActuals[Team 1],CL$3)+SUMIFS(tblActuals[Team 1 Points],tblActuals[Team 1],$CK16,tblActuals[Team 2],CL$3)</f>
        <v>0</v>
      </c>
      <c r="CM16" s="56">
        <f>SUMIFS(tblActuals[Team 2 Points],tblActuals[Team 2],$CK16,tblActuals[Team 1],CM$3)+SUMIFS(tblActuals[Team 1 Points],tblActuals[Team 1],$CK16,tblActuals[Team 2],CM$3)</f>
        <v>0</v>
      </c>
      <c r="CN16" s="56">
        <f>SUMIFS(tblActuals[Team 2 Points],tblActuals[Team 2],$CK16,tblActuals[Team 1],CN$3)+SUMIFS(tblActuals[Team 1 Points],tblActuals[Team 1],$CK16,tblActuals[Team 2],CN$3)</f>
        <v>0</v>
      </c>
      <c r="CO16" s="56">
        <f>SUMIFS(tblActuals[Team 2 Points],tblActuals[Team 2],$CK16,tblActuals[Team 1],CO$3)+SUMIFS(tblActuals[Team 1 Points],tblActuals[Team 1],$CK16,tblActuals[Team 2],CO$3)</f>
        <v>0</v>
      </c>
      <c r="CP16" s="56">
        <f>SUMIFS(tblActuals[Team 2 Points],tblActuals[Team 2],$CK16,tblActuals[Team 1],CP$3)+SUMIFS(tblActuals[Team 1 Points],tblActuals[Team 1],$CK16,tblActuals[Team 2],CP$3)</f>
        <v>0</v>
      </c>
      <c r="CQ16" s="56">
        <f>SUMIFS(tblActuals[Team 2 Points],tblActuals[Team 2],$CK16,tblActuals[Team 1],CQ$3)+SUMIFS(tblActuals[Team 1 Points],tblActuals[Team 1],$CK16,tblActuals[Team 2],CQ$3)</f>
        <v>0</v>
      </c>
      <c r="CR16" s="56">
        <f>SUMIFS(tblActuals[Team 2 Points],tblActuals[Team 2],$CK16,tblActuals[Team 1],CR$3)+SUMIFS(tblActuals[Team 1 Points],tblActuals[Team 1],$CK16,tblActuals[Team 2],CR$3)</f>
        <v>0</v>
      </c>
      <c r="CS16" s="56">
        <f>SUMIFS(tblActuals[Team 2 Points],tblActuals[Team 2],$CK16,tblActuals[Team 1],CS$3)+SUMIFS(tblActuals[Team 1 Points],tblActuals[Team 1],$CK16,tblActuals[Team 2],CS$3)</f>
        <v>0</v>
      </c>
      <c r="CT16" s="56">
        <f>SUMIFS(tblActuals[Team 2 Points],tblActuals[Team 2],$CK16,tblActuals[Team 1],CT$3)+SUMIFS(tblActuals[Team 1 Points],tblActuals[Team 1],$CK16,tblActuals[Team 2],CT$3)</f>
        <v>0</v>
      </c>
      <c r="CU16" s="56">
        <f>SUMIFS(tblActuals[Team 2 Points],tblActuals[Team 2],$CK16,tblActuals[Team 1],CU$3)+SUMIFS(tblActuals[Team 1 Points],tblActuals[Team 1],$CK16,tblActuals[Team 2],CU$3)</f>
        <v>0</v>
      </c>
      <c r="CV16" s="56">
        <f>SUMIFS(tblActuals[Team 2 Points],tblActuals[Team 2],$CK16,tblActuals[Team 1],CV$3)+SUMIFS(tblActuals[Team 1 Points],tblActuals[Team 1],$CK16,tblActuals[Team 2],CV$3)</f>
        <v>0</v>
      </c>
      <c r="CW16" s="56">
        <f>SUMIFS(tblActuals[Team 2 Points],tblActuals[Team 2],$CK16,tblActuals[Team 1],CW$3)+SUMIFS(tblActuals[Team 1 Points],tblActuals[Team 1],$CK16,tblActuals[Team 2],CW$3)</f>
        <v>0</v>
      </c>
      <c r="CX16" s="56">
        <f>SUMIFS(tblActuals[Team 2 Points],tblActuals[Team 2],$CK16,tblActuals[Team 1],CX$3)+SUMIFS(tblActuals[Team 1 Points],tblActuals[Team 1],$CK16,tblActuals[Team 2],CX$3)</f>
        <v>0</v>
      </c>
      <c r="CY16" s="56">
        <f>SUMIFS(tblActuals[Team 2 Points],tblActuals[Team 2],$CK16,tblActuals[Team 1],CY$3)+SUMIFS(tblActuals[Team 1 Points],tblActuals[Team 1],$CK16,tblActuals[Team 2],CY$3)</f>
        <v>0</v>
      </c>
      <c r="CZ16" s="56">
        <f>SUMIFS(tblActuals[Team 2 Points],tblActuals[Team 2],$CK16,tblActuals[Team 1],CZ$3)+SUMIFS(tblActuals[Team 1 Points],tblActuals[Team 1],$CK16,tblActuals[Team 2],CZ$3)</f>
        <v>0</v>
      </c>
      <c r="DA16" s="56">
        <f>SUMIFS(tblActuals[Team 2 Points],tblActuals[Team 2],$CK16,tblActuals[Team 1],DA$3)+SUMIFS(tblActuals[Team 1 Points],tblActuals[Team 1],$CK16,tblActuals[Team 2],DA$3)</f>
        <v>0</v>
      </c>
      <c r="DB16" s="56">
        <f>SUMIFS(tblActuals[Team 2 Points],tblActuals[Team 2],$CK16,tblActuals[Team 1],DB$3)+SUMIFS(tblActuals[Team 1 Points],tblActuals[Team 1],$CK16,tblActuals[Team 2],DB$3)</f>
        <v>0</v>
      </c>
      <c r="DC16" s="56">
        <f>SUMIFS(tblActuals[Team 2 Points],tblActuals[Team 2],$CK16,tblActuals[Team 1],DC$3)+SUMIFS(tblActuals[Team 1 Points],tblActuals[Team 1],$CK16,tblActuals[Team 2],DC$3)</f>
        <v>0</v>
      </c>
      <c r="DD16" s="56">
        <f>SUMIFS(tblActuals[Team 2 Points],tblActuals[Team 2],$CK16,tblActuals[Team 1],DD$3)+SUMIFS(tblActuals[Team 1 Points],tblActuals[Team 1],$CK16,tblActuals[Team 2],DD$3)</f>
        <v>0</v>
      </c>
      <c r="DE16" s="56">
        <f>SUMIFS(tblActuals[Team 2 Points],tblActuals[Team 2],$CK16,tblActuals[Team 1],DE$3)+SUMIFS(tblActuals[Team 1 Points],tblActuals[Team 1],$CK16,tblActuals[Team 2],DE$3)</f>
        <v>0</v>
      </c>
      <c r="DF16" s="56">
        <f>SUMIFS(tblActuals[Team 2 Points],tblActuals[Team 2],$CK16,tblActuals[Team 1],DF$3)+SUMIFS(tblActuals[Team 1 Points],tblActuals[Team 1],$CK16,tblActuals[Team 2],DF$3)</f>
        <v>0</v>
      </c>
      <c r="DG16" s="56">
        <f>SUMIFS(tblActuals[Team 2 Points],tblActuals[Team 2],$CK16,tblActuals[Team 1],DG$3)+SUMIFS(tblActuals[Team 1 Points],tblActuals[Team 1],$CK16,tblActuals[Team 2],DG$3)</f>
        <v>0</v>
      </c>
      <c r="DH16" s="56">
        <f>SUMIFS(tblActuals[Team 2 Points],tblActuals[Team 2],$CK16,tblActuals[Team 1],DH$3)+SUMIFS(tblActuals[Team 1 Points],tblActuals[Team 1],$CK16,tblActuals[Team 2],DH$3)</f>
        <v>0</v>
      </c>
      <c r="DI16" s="56">
        <f>SUMIFS(tblActuals[Team 2 Points],tblActuals[Team 2],$CK16,tblActuals[Team 1],DI$3)+SUMIFS(tblActuals[Team 1 Points],tblActuals[Team 1],$CK16,tblActuals[Team 2],DI$3)</f>
        <v>0</v>
      </c>
      <c r="DJ16" s="57"/>
      <c r="DK16" s="57"/>
      <c r="DL16" s="57"/>
      <c r="DM16" s="57"/>
      <c r="DN16" s="57"/>
      <c r="DO16" s="57"/>
      <c r="DP16" s="57"/>
      <c r="DQ16" s="57"/>
      <c r="DR16" s="4"/>
      <c r="DS16" s="4" t="s">
        <v>32</v>
      </c>
      <c r="DT16" s="56">
        <f>SUMIFS(tblActuals[Team 2 GD],tblActuals[Team 2],$CK16,tblActuals[Team 1],DT$3)+SUMIFS(tblActuals[Team 1 GD],tblActuals[Team 1],$CK16,tblActuals[Team 2],DT$3)</f>
        <v>0</v>
      </c>
      <c r="DU16" s="56">
        <f>SUMIFS(tblActuals[Team 2 GD],tblActuals[Team 2],$CK16,tblActuals[Team 1],DU$3)+SUMIFS(tblActuals[Team 1 GD],tblActuals[Team 1],$CK16,tblActuals[Team 2],DU$3)</f>
        <v>0</v>
      </c>
      <c r="DV16" s="56">
        <f>SUMIFS(tblActuals[Team 2 GD],tblActuals[Team 2],$CK16,tblActuals[Team 1],DV$3)+SUMIFS(tblActuals[Team 1 GD],tblActuals[Team 1],$CK16,tblActuals[Team 2],DV$3)</f>
        <v>0</v>
      </c>
      <c r="DW16" s="56">
        <f>SUMIFS(tblActuals[Team 2 GD],tblActuals[Team 2],$CK16,tblActuals[Team 1],DW$3)+SUMIFS(tblActuals[Team 1 GD],tblActuals[Team 1],$CK16,tblActuals[Team 2],DW$3)</f>
        <v>0</v>
      </c>
      <c r="DX16" s="56">
        <f>SUMIFS(tblActuals[Team 2 GD],tblActuals[Team 2],$CK16,tblActuals[Team 1],DX$3)+SUMIFS(tblActuals[Team 1 GD],tblActuals[Team 1],$CK16,tblActuals[Team 2],DX$3)</f>
        <v>0</v>
      </c>
      <c r="DY16" s="56">
        <f>SUMIFS(tblActuals[Team 2 GD],tblActuals[Team 2],$CK16,tblActuals[Team 1],DY$3)+SUMIFS(tblActuals[Team 1 GD],tblActuals[Team 1],$CK16,tblActuals[Team 2],DY$3)</f>
        <v>0</v>
      </c>
      <c r="DZ16" s="56">
        <f>SUMIFS(tblActuals[Team 2 GD],tblActuals[Team 2],$CK16,tblActuals[Team 1],DZ$3)+SUMIFS(tblActuals[Team 1 GD],tblActuals[Team 1],$CK16,tblActuals[Team 2],DZ$3)</f>
        <v>0</v>
      </c>
      <c r="EA16" s="56">
        <f>SUMIFS(tblActuals[Team 2 GD],tblActuals[Team 2],$CK16,tblActuals[Team 1],EA$3)+SUMIFS(tblActuals[Team 1 GD],tblActuals[Team 1],$CK16,tblActuals[Team 2],EA$3)</f>
        <v>0</v>
      </c>
      <c r="EB16" s="56">
        <f>SUMIFS(tblActuals[Team 2 GD],tblActuals[Team 2],$CK16,tblActuals[Team 1],EB$3)+SUMIFS(tblActuals[Team 1 GD],tblActuals[Team 1],$CK16,tblActuals[Team 2],EB$3)</f>
        <v>0</v>
      </c>
      <c r="EC16" s="56">
        <f>SUMIFS(tblActuals[Team 2 GD],tblActuals[Team 2],$CK16,tblActuals[Team 1],EC$3)+SUMIFS(tblActuals[Team 1 GD],tblActuals[Team 1],$CK16,tblActuals[Team 2],EC$3)</f>
        <v>0</v>
      </c>
      <c r="ED16" s="56">
        <f>SUMIFS(tblActuals[Team 2 GD],tblActuals[Team 2],$CK16,tblActuals[Team 1],ED$3)+SUMIFS(tblActuals[Team 1 GD],tblActuals[Team 1],$CK16,tblActuals[Team 2],ED$3)</f>
        <v>0</v>
      </c>
      <c r="EE16" s="56">
        <f>SUMIFS(tblActuals[Team 2 GD],tblActuals[Team 2],$CK16,tblActuals[Team 1],EE$3)+SUMIFS(tblActuals[Team 1 GD],tblActuals[Team 1],$CK16,tblActuals[Team 2],EE$3)</f>
        <v>0</v>
      </c>
      <c r="EF16" s="56">
        <f>SUMIFS(tblActuals[Team 2 GD],tblActuals[Team 2],$CK16,tblActuals[Team 1],EF$3)+SUMIFS(tblActuals[Team 1 GD],tblActuals[Team 1],$CK16,tblActuals[Team 2],EF$3)</f>
        <v>0</v>
      </c>
      <c r="EG16" s="56">
        <f>SUMIFS(tblActuals[Team 2 GD],tblActuals[Team 2],$CK16,tblActuals[Team 1],EG$3)+SUMIFS(tblActuals[Team 1 GD],tblActuals[Team 1],$CK16,tblActuals[Team 2],EG$3)</f>
        <v>0</v>
      </c>
      <c r="EH16" s="56">
        <f>SUMIFS(tblActuals[Team 2 GD],tblActuals[Team 2],$CK16,tblActuals[Team 1],EH$3)+SUMIFS(tblActuals[Team 1 GD],tblActuals[Team 1],$CK16,tblActuals[Team 2],EH$3)</f>
        <v>0</v>
      </c>
      <c r="EI16" s="56">
        <f>SUMIFS(tblActuals[Team 2 GD],tblActuals[Team 2],$CK16,tblActuals[Team 1],EI$3)+SUMIFS(tblActuals[Team 1 GD],tblActuals[Team 1],$CK16,tblActuals[Team 2],EI$3)</f>
        <v>0</v>
      </c>
      <c r="EJ16" s="56">
        <f>SUMIFS(tblActuals[Team 2 GD],tblActuals[Team 2],$CK16,tblActuals[Team 1],EJ$3)+SUMIFS(tblActuals[Team 1 GD],tblActuals[Team 1],$CK16,tblActuals[Team 2],EJ$3)</f>
        <v>0</v>
      </c>
      <c r="EK16" s="56">
        <f>SUMIFS(tblActuals[Team 2 GD],tblActuals[Team 2],$CK16,tblActuals[Team 1],EK$3)+SUMIFS(tblActuals[Team 1 GD],tblActuals[Team 1],$CK16,tblActuals[Team 2],EK$3)</f>
        <v>0</v>
      </c>
      <c r="EL16" s="56">
        <f>SUMIFS(tblActuals[Team 2 GD],tblActuals[Team 2],$CK16,tblActuals[Team 1],EL$3)+SUMIFS(tblActuals[Team 1 GD],tblActuals[Team 1],$CK16,tblActuals[Team 2],EL$3)</f>
        <v>0</v>
      </c>
      <c r="EM16" s="56">
        <f>SUMIFS(tblActuals[Team 2 GD],tblActuals[Team 2],$CK16,tblActuals[Team 1],EM$3)+SUMIFS(tblActuals[Team 1 GD],tblActuals[Team 1],$CK16,tblActuals[Team 2],EM$3)</f>
        <v>0</v>
      </c>
      <c r="EN16" s="56">
        <f>SUMIFS(tblActuals[Team 2 GD],tblActuals[Team 2],$CK16,tblActuals[Team 1],EN$3)+SUMIFS(tblActuals[Team 1 GD],tblActuals[Team 1],$CK16,tblActuals[Team 2],EN$3)</f>
        <v>0</v>
      </c>
      <c r="EO16" s="56">
        <f>SUMIFS(tblActuals[Team 2 GD],tblActuals[Team 2],$CK16,tblActuals[Team 1],EO$3)+SUMIFS(tblActuals[Team 1 GD],tblActuals[Team 1],$CK16,tblActuals[Team 2],EO$3)</f>
        <v>0</v>
      </c>
      <c r="EP16" s="56">
        <f>SUMIFS(tblActuals[Team 2 GD],tblActuals[Team 2],$CK16,tblActuals[Team 1],EP$3)+SUMIFS(tblActuals[Team 1 GD],tblActuals[Team 1],$CK16,tblActuals[Team 2],EP$3)</f>
        <v>0</v>
      </c>
      <c r="EQ16" s="56">
        <f>SUMIFS(tblActuals[Team 2 GD],tblActuals[Team 2],$CK16,tblActuals[Team 1],EQ$3)+SUMIFS(tblActuals[Team 1 GD],tblActuals[Team 1],$CK16,tblActuals[Team 2],EQ$3)</f>
        <v>0</v>
      </c>
      <c r="ER16" s="57"/>
      <c r="ES16" s="57"/>
      <c r="ET16" s="57"/>
      <c r="EU16" s="57"/>
      <c r="EV16" s="57"/>
      <c r="EW16" s="57"/>
      <c r="EX16" s="57"/>
      <c r="EY16" s="57"/>
      <c r="EZ16" s="4"/>
      <c r="FA16" s="4" t="s">
        <v>32</v>
      </c>
      <c r="FB16" s="56">
        <f>SUMIFS(tblActuals[Team 2 Goals],tblActuals[Team 2],$CK16,tblActuals[Team 1],FB$3)+SUMIFS(tblActuals[Team 1 Goals],tblActuals[Team 1],$CK16,tblActuals[Team 2],FB$3)</f>
        <v>0</v>
      </c>
      <c r="FC16" s="56">
        <f>SUMIFS(tblActuals[Team 2 Goals],tblActuals[Team 2],$CK16,tblActuals[Team 1],FC$3)+SUMIFS(tblActuals[Team 1 Goals],tblActuals[Team 1],$CK16,tblActuals[Team 2],FC$3)</f>
        <v>0</v>
      </c>
      <c r="FD16" s="56">
        <f>SUMIFS(tblActuals[Team 2 Goals],tblActuals[Team 2],$CK16,tblActuals[Team 1],FD$3)+SUMIFS(tblActuals[Team 1 Goals],tblActuals[Team 1],$CK16,tblActuals[Team 2],FD$3)</f>
        <v>0</v>
      </c>
      <c r="FE16" s="56">
        <f>SUMIFS(tblActuals[Team 2 Goals],tblActuals[Team 2],$CK16,tblActuals[Team 1],FE$3)+SUMIFS(tblActuals[Team 1 Goals],tblActuals[Team 1],$CK16,tblActuals[Team 2],FE$3)</f>
        <v>0</v>
      </c>
      <c r="FF16" s="56">
        <f>SUMIFS(tblActuals[Team 2 Goals],tblActuals[Team 2],$CK16,tblActuals[Team 1],FF$3)+SUMIFS(tblActuals[Team 1 Goals],tblActuals[Team 1],$CK16,tblActuals[Team 2],FF$3)</f>
        <v>0</v>
      </c>
      <c r="FG16" s="56">
        <f>SUMIFS(tblActuals[Team 2 Goals],tblActuals[Team 2],$CK16,tblActuals[Team 1],FG$3)+SUMIFS(tblActuals[Team 1 Goals],tblActuals[Team 1],$CK16,tblActuals[Team 2],FG$3)</f>
        <v>0</v>
      </c>
      <c r="FH16" s="56">
        <f>SUMIFS(tblActuals[Team 2 Goals],tblActuals[Team 2],$CK16,tblActuals[Team 1],FH$3)+SUMIFS(tblActuals[Team 1 Goals],tblActuals[Team 1],$CK16,tblActuals[Team 2],FH$3)</f>
        <v>0</v>
      </c>
      <c r="FI16" s="56">
        <f>SUMIFS(tblActuals[Team 2 Goals],tblActuals[Team 2],$CK16,tblActuals[Team 1],FI$3)+SUMIFS(tblActuals[Team 1 Goals],tblActuals[Team 1],$CK16,tblActuals[Team 2],FI$3)</f>
        <v>0</v>
      </c>
      <c r="FJ16" s="56">
        <f>SUMIFS(tblActuals[Team 2 Goals],tblActuals[Team 2],$CK16,tblActuals[Team 1],FJ$3)+SUMIFS(tblActuals[Team 1 Goals],tblActuals[Team 1],$CK16,tblActuals[Team 2],FJ$3)</f>
        <v>0</v>
      </c>
      <c r="FK16" s="56">
        <f>SUMIFS(tblActuals[Team 2 Goals],tblActuals[Team 2],$CK16,tblActuals[Team 1],FK$3)+SUMIFS(tblActuals[Team 1 Goals],tblActuals[Team 1],$CK16,tblActuals[Team 2],FK$3)</f>
        <v>0</v>
      </c>
      <c r="FL16" s="56">
        <f>SUMIFS(tblActuals[Team 2 Goals],tblActuals[Team 2],$CK16,tblActuals[Team 1],FL$3)+SUMIFS(tblActuals[Team 1 Goals],tblActuals[Team 1],$CK16,tblActuals[Team 2],FL$3)</f>
        <v>0</v>
      </c>
      <c r="FM16" s="56">
        <f>SUMIFS(tblActuals[Team 2 Goals],tblActuals[Team 2],$CK16,tblActuals[Team 1],FM$3)+SUMIFS(tblActuals[Team 1 Goals],tblActuals[Team 1],$CK16,tblActuals[Team 2],FM$3)</f>
        <v>0</v>
      </c>
      <c r="FN16" s="56">
        <f>SUMIFS(tblActuals[Team 2 Goals],tblActuals[Team 2],$CK16,tblActuals[Team 1],FN$3)+SUMIFS(tblActuals[Team 1 Goals],tblActuals[Team 1],$CK16,tblActuals[Team 2],FN$3)</f>
        <v>0</v>
      </c>
      <c r="FO16" s="56">
        <f>SUMIFS(tblActuals[Team 2 Goals],tblActuals[Team 2],$CK16,tblActuals[Team 1],FO$3)+SUMIFS(tblActuals[Team 1 Goals],tblActuals[Team 1],$CK16,tblActuals[Team 2],FO$3)</f>
        <v>0</v>
      </c>
      <c r="FP16" s="56">
        <f>SUMIFS(tblActuals[Team 2 Goals],tblActuals[Team 2],$CK16,tblActuals[Team 1],FP$3)+SUMIFS(tblActuals[Team 1 Goals],tblActuals[Team 1],$CK16,tblActuals[Team 2],FP$3)</f>
        <v>0</v>
      </c>
      <c r="FQ16" s="56">
        <f>SUMIFS(tblActuals[Team 2 Goals],tblActuals[Team 2],$CK16,tblActuals[Team 1],FQ$3)+SUMIFS(tblActuals[Team 1 Goals],tblActuals[Team 1],$CK16,tblActuals[Team 2],FQ$3)</f>
        <v>0</v>
      </c>
      <c r="FR16" s="56">
        <f>SUMIFS(tblActuals[Team 2 Goals],tblActuals[Team 2],$CK16,tblActuals[Team 1],FR$3)+SUMIFS(tblActuals[Team 1 Goals],tblActuals[Team 1],$CK16,tblActuals[Team 2],FR$3)</f>
        <v>0</v>
      </c>
      <c r="FS16" s="56">
        <f>SUMIFS(tblActuals[Team 2 Goals],tblActuals[Team 2],$CK16,tblActuals[Team 1],FS$3)+SUMIFS(tblActuals[Team 1 Goals],tblActuals[Team 1],$CK16,tblActuals[Team 2],FS$3)</f>
        <v>0</v>
      </c>
      <c r="FT16" s="56">
        <f>SUMIFS(tblActuals[Team 2 Goals],tblActuals[Team 2],$CK16,tblActuals[Team 1],FT$3)+SUMIFS(tblActuals[Team 1 Goals],tblActuals[Team 1],$CK16,tblActuals[Team 2],FT$3)</f>
        <v>0</v>
      </c>
      <c r="FU16" s="56">
        <f>SUMIFS(tblActuals[Team 2 Goals],tblActuals[Team 2],$CK16,tblActuals[Team 1],FU$3)+SUMIFS(tblActuals[Team 1 Goals],tblActuals[Team 1],$CK16,tblActuals[Team 2],FU$3)</f>
        <v>0</v>
      </c>
      <c r="FV16" s="56">
        <f>SUMIFS(tblActuals[Team 2 Goals],tblActuals[Team 2],$CK16,tblActuals[Team 1],FV$3)+SUMIFS(tblActuals[Team 1 Goals],tblActuals[Team 1],$CK16,tblActuals[Team 2],FV$3)</f>
        <v>0</v>
      </c>
      <c r="FW16" s="56">
        <f>SUMIFS(tblActuals[Team 2 Goals],tblActuals[Team 2],$CK16,tblActuals[Team 1],FW$3)+SUMIFS(tblActuals[Team 1 Goals],tblActuals[Team 1],$CK16,tblActuals[Team 2],FW$3)</f>
        <v>0</v>
      </c>
      <c r="FX16" s="56">
        <f>SUMIFS(tblActuals[Team 2 Goals],tblActuals[Team 2],$CK16,tblActuals[Team 1],FX$3)+SUMIFS(tblActuals[Team 1 Goals],tblActuals[Team 1],$CK16,tblActuals[Team 2],FX$3)</f>
        <v>0</v>
      </c>
      <c r="FY16" s="56">
        <f>SUMIFS(tblActuals[Team 2 Goals],tblActuals[Team 2],$CK16,tblActuals[Team 1],FY$3)+SUMIFS(tblActuals[Team 1 Goals],tblActuals[Team 1],$CK16,tblActuals[Team 2],FY$3)</f>
        <v>0</v>
      </c>
      <c r="FZ16" s="57"/>
      <c r="GA16" s="57"/>
      <c r="GB16" s="37"/>
      <c r="GC16" s="37"/>
      <c r="GD16" s="37"/>
      <c r="GE16" s="37"/>
      <c r="GF16" s="37"/>
      <c r="GG16" s="37"/>
      <c r="GH16" s="75"/>
      <c r="GI16" s="156"/>
      <c r="GJ16" s="156"/>
      <c r="GK16" s="75"/>
      <c r="GL16" s="75"/>
      <c r="GM16" s="75"/>
      <c r="GN16" s="75"/>
      <c r="GO16" s="75"/>
      <c r="GP16" s="75"/>
      <c r="GR16" s="4" t="str">
        <f t="shared" si="12"/>
        <v>BCDF</v>
      </c>
      <c r="GS16" s="45"/>
      <c r="GT16" s="44" t="s">
        <v>5</v>
      </c>
      <c r="GU16" s="44" t="s">
        <v>6</v>
      </c>
      <c r="GV16" s="44" t="s">
        <v>7</v>
      </c>
      <c r="GW16" s="45"/>
      <c r="GX16" s="44" t="s">
        <v>45</v>
      </c>
      <c r="GY16" s="178"/>
      <c r="GZ16" s="45" t="s">
        <v>154</v>
      </c>
      <c r="HA16" s="45" t="s">
        <v>150</v>
      </c>
      <c r="HB16" s="45" t="s">
        <v>152</v>
      </c>
      <c r="HC16" s="45" t="s">
        <v>151</v>
      </c>
    </row>
    <row r="17" spans="1:211" s="11" customFormat="1" ht="30" customHeight="1" thickBot="1" x14ac:dyDescent="0.3">
      <c r="A17" s="20"/>
      <c r="B17" s="122">
        <v>14</v>
      </c>
      <c r="C17" s="122" t="s">
        <v>1</v>
      </c>
      <c r="D17" s="123">
        <v>45462</v>
      </c>
      <c r="E17" s="122" t="s">
        <v>83</v>
      </c>
      <c r="F17" s="124">
        <v>0.75</v>
      </c>
      <c r="G17" s="125">
        <f t="shared" si="8"/>
        <v>45462.5</v>
      </c>
      <c r="H17" s="122" t="s">
        <v>102</v>
      </c>
      <c r="I17" s="126"/>
      <c r="J17" s="118"/>
      <c r="K17" s="118"/>
      <c r="L17" s="119" t="str">
        <f>IF(tblActuals[[#This Row],[SCORE]]="","",IF(Q17=R17,"Draw",IF(Q17&gt;R17,M17,N17)))</f>
        <v/>
      </c>
      <c r="M17" s="120" t="str">
        <f>IF(tblActuals[[#This Row],[TEAMS]]="","",LEFT(H17,FIND(" -",H17,1)-1))</f>
        <v>Germany</v>
      </c>
      <c r="N17" s="120" t="str">
        <f>IF(tblActuals[[#This Row],[TEAMS]]="","",MID(H17,FIND("-",H17,1)+2,LEN(H17)-FIND("-",H17,1)+2))</f>
        <v>Hungary</v>
      </c>
      <c r="O17" s="120" t="str">
        <f>IF(tblActuals[[#This Row],[Team 1 Goals]]&gt;tblActuals[[#This Row],[Team 2 Goals]],tblActuals[[#This Row],[Team 1]],IF(tblActuals[[#This Row],[Team 2 Goals]]&gt;tblActuals[[#This Row],[Team 1 Goals]],tblActuals[[#This Row],[Team 2]],""))</f>
        <v/>
      </c>
      <c r="P17" s="120" t="str">
        <f>IF(tblActuals[[#This Row],[Winner]]=tblActuals[[#This Row],[Team 1]],tblActuals[[#This Row],[Team 2]],IF(tblActuals[[#This Row],[Winner]]=tblActuals[[#This Row],[Team 2]],tblActuals[[#This Row],[Team 1]],""))</f>
        <v/>
      </c>
      <c r="Q17" s="120" t="str">
        <f>IF(tblActuals[[#This Row],[SCORE]]="","",LEFT(I17,FIND(":",I17,1)-1)*1)</f>
        <v/>
      </c>
      <c r="R17" s="120" t="str">
        <f>IF(tblActuals[[#This Row],[SCORE]]="","",MID(I17,FIND(":",I17,1)+1,LEN(I17)-FIND(":",I17,1)+1)*1)</f>
        <v/>
      </c>
      <c r="S17" s="120" t="str">
        <f>IF(OR(tblActuals[[#This Row],[Team 1 Goals]]="",tblActuals[[#This Row],[Team 2 Goals]]=""),"",tblActuals[[#This Row],[Team 1 Goals]]-tblActuals[[#This Row],[Team 2 Goals]])</f>
        <v/>
      </c>
      <c r="T17" s="120" t="str">
        <f>IF(OR(tblActuals[[#This Row],[Team 1 Goals]]="",tblActuals[[#This Row],[Team 2 Goals]]=""),"",tblActuals[[#This Row],[Team 2 Goals]]-tblActuals[[#This Row],[Team 1 Goals]])</f>
        <v/>
      </c>
      <c r="U17" s="120" t="str">
        <f>IF(tblActuals[[#This Row],[SCORE]]="","",IF(tblActuals[[#This Row],[WINNER / RESULT]]="Draw",1,IF(tblActuals[[#This Row],[WINNER / RESULT]]=tblActuals[[#This Row],[Team 1]],3,0)))</f>
        <v/>
      </c>
      <c r="V17" s="120" t="str">
        <f>IF(tblActuals[[#This Row],[SCORE]]="","",IF(tblActuals[[#This Row],[WINNER / RESULT]]="Draw",1,IF(tblActuals[[#This Row],[WINNER / RESULT]]=tblActuals[[#This Row],[Team 2]],3,0)))</f>
        <v/>
      </c>
      <c r="W17" s="121"/>
      <c r="X17" s="121"/>
      <c r="Y17" s="121"/>
      <c r="Z17" s="121"/>
      <c r="AA17" s="120" t="e">
        <f>tblActuals[[#This Row],[Team 1 Goals]]+tblActuals[[#This Row],[Team 1 ET Goals]]&amp;":"&amp;tblActuals[[#This Row],[Team 2 Goals]]+tblActuals[[#This Row],[Team 2 ET Goals]]</f>
        <v>#VALUE!</v>
      </c>
      <c r="AB17" s="120" t="e">
        <f>+tblActuals[[#This Row],[Team 1 Goals]]+tblActuals[[#This Row],[Team 2 Goals]]</f>
        <v>#VALUE!</v>
      </c>
      <c r="AC17" s="165">
        <f t="shared" si="0"/>
        <v>45462</v>
      </c>
      <c r="AD17" s="166">
        <f t="shared" si="9"/>
        <v>15.7</v>
      </c>
      <c r="AJ17" s="78"/>
      <c r="AK17" s="179" t="s">
        <v>53</v>
      </c>
      <c r="AL17" s="180"/>
      <c r="AM17" s="133" t="s">
        <v>46</v>
      </c>
      <c r="AN17" s="134" t="s">
        <v>57</v>
      </c>
      <c r="AO17" s="135" t="s">
        <v>11</v>
      </c>
      <c r="AP17" s="75"/>
      <c r="AQ17" s="4"/>
      <c r="AR17" s="4"/>
      <c r="AS17" s="4" t="s">
        <v>6</v>
      </c>
      <c r="AT17" s="4" t="s">
        <v>128</v>
      </c>
      <c r="AU17" s="4">
        <f>COUNTIF(tblActuals[Winner],AT17)</f>
        <v>0</v>
      </c>
      <c r="AV17" s="4">
        <f>COUNTIFS(tblActuals[Team 2],AT17,tblActuals[WINNER / RESULT],"Draw")+COUNTIFS(tblActuals[Team 1],AT17,tblActuals[WINNER / RESULT],"Draw")</f>
        <v>0</v>
      </c>
      <c r="AW17" s="4">
        <f>COUNTIF(tblActuals[Loser],AT17)</f>
        <v>0</v>
      </c>
      <c r="AX17" s="4">
        <f>AV17+(3*AU17)</f>
        <v>0</v>
      </c>
      <c r="AY17" s="4">
        <f>SUMIFS(tblActuals[Team 1 Goals],tblActuals[Team 1],AT17)+SUMIFS(tblActuals[Team 2 Goals],tblActuals[Team 2],AT17)</f>
        <v>0</v>
      </c>
      <c r="AZ17" s="4">
        <f>SUMIFS(tblActuals[Team 2 Goals],tblActuals[Team 1],AT17)+SUMIFS(tblActuals[Team 1 Goals],tblActuals[Team 2],AT17)</f>
        <v>0</v>
      </c>
      <c r="BA17" s="4">
        <f>AY17-AZ17</f>
        <v>0</v>
      </c>
      <c r="BB17" s="4">
        <f ca="1">RANK(BO17,$BO$14:$BO$17,1)</f>
        <v>4</v>
      </c>
      <c r="BC17" s="4" t="str">
        <f t="shared" si="1"/>
        <v/>
      </c>
      <c r="BD17" s="4" t="str">
        <f ca="1">IF(BC17="",BB17&amp;AS17,BC17&amp;AS17)</f>
        <v>4C</v>
      </c>
      <c r="BE17" s="4">
        <f>RANK(AX17,$AX$14:$AX$17,0)</f>
        <v>1</v>
      </c>
      <c r="BF17" s="4" cm="1">
        <f t="array" aca="1" ref="BF17" ca="1">SUMPRODUCT((OFFSET($CL$3:$DQ$3,MATCH($AT17,$CK$4:$CK$35,0),0))*((IF($BE15=$BE17,$CL$3:$DQ$3=$AT15,0))+(IF($BE14=$BE17,$CL$3:$DQ$3=$AT14,0))+(IF($BE16=$BE17,$CL$3:$DQ$3=$AT16,0))))</f>
        <v>0</v>
      </c>
      <c r="BG17" s="4" cm="1">
        <f t="array" aca="1" ref="BG17" ca="1">SUMPRODUCT((OFFSET($DT$3:$EY$3,MATCH($AT17,$DS$4:$DS$35,0),0))*((IF($BE15=$BE17,$DT$3:$EY$3=$AT15,0))+(IF($BE14=$BE17,$DT$3:$EY$3=$AT14,0))+(IF($BE16=$BE17,$DT$3:$EY$3=$AT16,0))))</f>
        <v>0</v>
      </c>
      <c r="BH17" s="4" cm="1">
        <f t="array" aca="1" ref="BH17" ca="1">SUMPRODUCT((OFFSET($FB$3:$GG$3,MATCH($AT17,$FA$4:$FA$35,0),0))*((IF($BE15=$BE17,$FB$3:$GG$3=$AT15,0))+(IF($BE14=$BE17,$FB$3:$GG$3=$AT14,0))+(IF($BE16=$BE17,$FB$3:$GG$3=$AT16,0))))</f>
        <v>0</v>
      </c>
      <c r="BI17" s="4" cm="1">
        <f t="array" aca="1" ref="BI17" ca="1">SUMPRODUCT((OFFSET($CL$3:$DQ$3,MATCH($AT17,$CK$4:$CK$35,0),0))*((IF($BE15&lt;&gt;$BE17,$CL$3:$DQ$3=$AT15,0))+(IF($BE14&lt;&gt;$BE17,$CL$3:$DQ$3=$AT14,0))+(IF($BE16&lt;&gt;$BE17,$CL$3:$DQ$3=$AT16,0))))</f>
        <v>0</v>
      </c>
      <c r="BJ17" s="4" cm="1">
        <f t="array" aca="1" ref="BJ17" ca="1">SUMPRODUCT((OFFSET($DT$3:$EY$3,MATCH($AT17,$DS$4:$DS$35,0),0))*((IF($BE15&lt;&gt;$BE17,$DT$3:$EY$3=$AT15,0))+(IF($BE14&lt;&gt;$BE17,$DT$3:$EY$3=$AT14,0))+(IF($BE16&lt;&gt;$BE17,$DT$3:$EY$3=$AT16,0))))</f>
        <v>0</v>
      </c>
      <c r="BK17" s="4" cm="1">
        <f t="array" aca="1" ref="BK17" ca="1">SUMPRODUCT((OFFSET($FB$3:$GG$3,MATCH($AT17,$FA$4:$FA$35,0),0))*((IF($BE15&lt;&gt;$BE17,$FB$3:$GG$3=$AT15,0))+(IF($BE14&lt;&gt;$BE17,$FB$3:$GG$3=$AT14,0))+(IF($BE16&lt;&gt;$BE17,$FB$3:$GG$3=$AT16,0))))</f>
        <v>0</v>
      </c>
      <c r="BL17" s="4">
        <f t="shared" si="10"/>
        <v>0</v>
      </c>
      <c r="BM17" s="4">
        <f t="shared" si="11"/>
        <v>0</v>
      </c>
      <c r="BN17" s="4">
        <f ca="1">(BF17/10)+(BG17/100)+(BH17/1000)+(BJ17/10000)+(BK17/100000)+(BL17/1000000)+(BM17/10000000)+(ROW(BI14)/100000000)</f>
        <v>1.4000000000000001E-7</v>
      </c>
      <c r="BO17" s="4">
        <f ca="1">+BE17-BN17</f>
        <v>0.99999985999999996</v>
      </c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K17" s="4" t="s">
        <v>8</v>
      </c>
      <c r="CL17" s="56">
        <f>SUMIFS(tblActuals[Team 2 Points],tblActuals[Team 2],$CK17,tblActuals[Team 1],CL$3)+SUMIFS(tblActuals[Team 1 Points],tblActuals[Team 1],$CK17,tblActuals[Team 2],CL$3)</f>
        <v>0</v>
      </c>
      <c r="CM17" s="56">
        <f>SUMIFS(tblActuals[Team 2 Points],tblActuals[Team 2],$CK17,tblActuals[Team 1],CM$3)+SUMIFS(tblActuals[Team 1 Points],tblActuals[Team 1],$CK17,tblActuals[Team 2],CM$3)</f>
        <v>0</v>
      </c>
      <c r="CN17" s="56">
        <f>SUMIFS(tblActuals[Team 2 Points],tblActuals[Team 2],$CK17,tblActuals[Team 1],CN$3)+SUMIFS(tblActuals[Team 1 Points],tblActuals[Team 1],$CK17,tblActuals[Team 2],CN$3)</f>
        <v>0</v>
      </c>
      <c r="CO17" s="56">
        <f>SUMIFS(tblActuals[Team 2 Points],tblActuals[Team 2],$CK17,tblActuals[Team 1],CO$3)+SUMIFS(tblActuals[Team 1 Points],tblActuals[Team 1],$CK17,tblActuals[Team 2],CO$3)</f>
        <v>0</v>
      </c>
      <c r="CP17" s="56">
        <f>SUMIFS(tblActuals[Team 2 Points],tblActuals[Team 2],$CK17,tblActuals[Team 1],CP$3)+SUMIFS(tblActuals[Team 1 Points],tblActuals[Team 1],$CK17,tblActuals[Team 2],CP$3)</f>
        <v>0</v>
      </c>
      <c r="CQ17" s="56">
        <f>SUMIFS(tblActuals[Team 2 Points],tblActuals[Team 2],$CK17,tblActuals[Team 1],CQ$3)+SUMIFS(tblActuals[Team 1 Points],tblActuals[Team 1],$CK17,tblActuals[Team 2],CQ$3)</f>
        <v>0</v>
      </c>
      <c r="CR17" s="56">
        <f>SUMIFS(tblActuals[Team 2 Points],tblActuals[Team 2],$CK17,tblActuals[Team 1],CR$3)+SUMIFS(tblActuals[Team 1 Points],tblActuals[Team 1],$CK17,tblActuals[Team 2],CR$3)</f>
        <v>0</v>
      </c>
      <c r="CS17" s="56">
        <f>SUMIFS(tblActuals[Team 2 Points],tblActuals[Team 2],$CK17,tblActuals[Team 1],CS$3)+SUMIFS(tblActuals[Team 1 Points],tblActuals[Team 1],$CK17,tblActuals[Team 2],CS$3)</f>
        <v>0</v>
      </c>
      <c r="CT17" s="56">
        <f>SUMIFS(tblActuals[Team 2 Points],tblActuals[Team 2],$CK17,tblActuals[Team 1],CT$3)+SUMIFS(tblActuals[Team 1 Points],tblActuals[Team 1],$CK17,tblActuals[Team 2],CT$3)</f>
        <v>0</v>
      </c>
      <c r="CU17" s="56">
        <f>SUMIFS(tblActuals[Team 2 Points],tblActuals[Team 2],$CK17,tblActuals[Team 1],CU$3)+SUMIFS(tblActuals[Team 1 Points],tblActuals[Team 1],$CK17,tblActuals[Team 2],CU$3)</f>
        <v>0</v>
      </c>
      <c r="CV17" s="56">
        <f>SUMIFS(tblActuals[Team 2 Points],tblActuals[Team 2],$CK17,tblActuals[Team 1],CV$3)+SUMIFS(tblActuals[Team 1 Points],tblActuals[Team 1],$CK17,tblActuals[Team 2],CV$3)</f>
        <v>0</v>
      </c>
      <c r="CW17" s="56">
        <f>SUMIFS(tblActuals[Team 2 Points],tblActuals[Team 2],$CK17,tblActuals[Team 1],CW$3)+SUMIFS(tblActuals[Team 1 Points],tblActuals[Team 1],$CK17,tblActuals[Team 2],CW$3)</f>
        <v>0</v>
      </c>
      <c r="CX17" s="56">
        <f>SUMIFS(tblActuals[Team 2 Points],tblActuals[Team 2],$CK17,tblActuals[Team 1],CX$3)+SUMIFS(tblActuals[Team 1 Points],tblActuals[Team 1],$CK17,tblActuals[Team 2],CX$3)</f>
        <v>0</v>
      </c>
      <c r="CY17" s="56">
        <f>SUMIFS(tblActuals[Team 2 Points],tblActuals[Team 2],$CK17,tblActuals[Team 1],CY$3)+SUMIFS(tblActuals[Team 1 Points],tblActuals[Team 1],$CK17,tblActuals[Team 2],CY$3)</f>
        <v>0</v>
      </c>
      <c r="CZ17" s="56">
        <f>SUMIFS(tblActuals[Team 2 Points],tblActuals[Team 2],$CK17,tblActuals[Team 1],CZ$3)+SUMIFS(tblActuals[Team 1 Points],tblActuals[Team 1],$CK17,tblActuals[Team 2],CZ$3)</f>
        <v>0</v>
      </c>
      <c r="DA17" s="56">
        <f>SUMIFS(tblActuals[Team 2 Points],tblActuals[Team 2],$CK17,tblActuals[Team 1],DA$3)+SUMIFS(tblActuals[Team 1 Points],tblActuals[Team 1],$CK17,tblActuals[Team 2],DA$3)</f>
        <v>0</v>
      </c>
      <c r="DB17" s="56">
        <f>SUMIFS(tblActuals[Team 2 Points],tblActuals[Team 2],$CK17,tblActuals[Team 1],DB$3)+SUMIFS(tblActuals[Team 1 Points],tblActuals[Team 1],$CK17,tblActuals[Team 2],DB$3)</f>
        <v>0</v>
      </c>
      <c r="DC17" s="56">
        <f>SUMIFS(tblActuals[Team 2 Points],tblActuals[Team 2],$CK17,tblActuals[Team 1],DC$3)+SUMIFS(tblActuals[Team 1 Points],tblActuals[Team 1],$CK17,tblActuals[Team 2],DC$3)</f>
        <v>0</v>
      </c>
      <c r="DD17" s="56">
        <f>SUMIFS(tblActuals[Team 2 Points],tblActuals[Team 2],$CK17,tblActuals[Team 1],DD$3)+SUMIFS(tblActuals[Team 1 Points],tblActuals[Team 1],$CK17,tblActuals[Team 2],DD$3)</f>
        <v>0</v>
      </c>
      <c r="DE17" s="56">
        <f>SUMIFS(tblActuals[Team 2 Points],tblActuals[Team 2],$CK17,tblActuals[Team 1],DE$3)+SUMIFS(tblActuals[Team 1 Points],tblActuals[Team 1],$CK17,tblActuals[Team 2],DE$3)</f>
        <v>0</v>
      </c>
      <c r="DF17" s="56">
        <f>SUMIFS(tblActuals[Team 2 Points],tblActuals[Team 2],$CK17,tblActuals[Team 1],DF$3)+SUMIFS(tblActuals[Team 1 Points],tblActuals[Team 1],$CK17,tblActuals[Team 2],DF$3)</f>
        <v>0</v>
      </c>
      <c r="DG17" s="56">
        <f>SUMIFS(tblActuals[Team 2 Points],tblActuals[Team 2],$CK17,tblActuals[Team 1],DG$3)+SUMIFS(tblActuals[Team 1 Points],tblActuals[Team 1],$CK17,tblActuals[Team 2],DG$3)</f>
        <v>0</v>
      </c>
      <c r="DH17" s="56">
        <f>SUMIFS(tblActuals[Team 2 Points],tblActuals[Team 2],$CK17,tblActuals[Team 1],DH$3)+SUMIFS(tblActuals[Team 1 Points],tblActuals[Team 1],$CK17,tblActuals[Team 2],DH$3)</f>
        <v>0</v>
      </c>
      <c r="DI17" s="56">
        <f>SUMIFS(tblActuals[Team 2 Points],tblActuals[Team 2],$CK17,tblActuals[Team 1],DI$3)+SUMIFS(tblActuals[Team 1 Points],tblActuals[Team 1],$CK17,tblActuals[Team 2],DI$3)</f>
        <v>0</v>
      </c>
      <c r="DJ17" s="57"/>
      <c r="DK17" s="57"/>
      <c r="DL17" s="57"/>
      <c r="DM17" s="57"/>
      <c r="DN17" s="57"/>
      <c r="DO17" s="57"/>
      <c r="DP17" s="57"/>
      <c r="DQ17" s="57"/>
      <c r="DR17" s="4"/>
      <c r="DS17" s="4" t="s">
        <v>8</v>
      </c>
      <c r="DT17" s="56">
        <f>SUMIFS(tblActuals[Team 2 GD],tblActuals[Team 2],$CK17,tblActuals[Team 1],DT$3)+SUMIFS(tblActuals[Team 1 GD],tblActuals[Team 1],$CK17,tblActuals[Team 2],DT$3)</f>
        <v>0</v>
      </c>
      <c r="DU17" s="56">
        <f>SUMIFS(tblActuals[Team 2 GD],tblActuals[Team 2],$CK17,tblActuals[Team 1],DU$3)+SUMIFS(tblActuals[Team 1 GD],tblActuals[Team 1],$CK17,tblActuals[Team 2],DU$3)</f>
        <v>0</v>
      </c>
      <c r="DV17" s="56">
        <f>SUMIFS(tblActuals[Team 2 GD],tblActuals[Team 2],$CK17,tblActuals[Team 1],DV$3)+SUMIFS(tblActuals[Team 1 GD],tblActuals[Team 1],$CK17,tblActuals[Team 2],DV$3)</f>
        <v>0</v>
      </c>
      <c r="DW17" s="56">
        <f>SUMIFS(tblActuals[Team 2 GD],tblActuals[Team 2],$CK17,tblActuals[Team 1],DW$3)+SUMIFS(tblActuals[Team 1 GD],tblActuals[Team 1],$CK17,tblActuals[Team 2],DW$3)</f>
        <v>0</v>
      </c>
      <c r="DX17" s="56">
        <f>SUMIFS(tblActuals[Team 2 GD],tblActuals[Team 2],$CK17,tblActuals[Team 1],DX$3)+SUMIFS(tblActuals[Team 1 GD],tblActuals[Team 1],$CK17,tblActuals[Team 2],DX$3)</f>
        <v>0</v>
      </c>
      <c r="DY17" s="56">
        <f>SUMIFS(tblActuals[Team 2 GD],tblActuals[Team 2],$CK17,tblActuals[Team 1],DY$3)+SUMIFS(tblActuals[Team 1 GD],tblActuals[Team 1],$CK17,tblActuals[Team 2],DY$3)</f>
        <v>0</v>
      </c>
      <c r="DZ17" s="56">
        <f>SUMIFS(tblActuals[Team 2 GD],tblActuals[Team 2],$CK17,tblActuals[Team 1],DZ$3)+SUMIFS(tblActuals[Team 1 GD],tblActuals[Team 1],$CK17,tblActuals[Team 2],DZ$3)</f>
        <v>0</v>
      </c>
      <c r="EA17" s="56">
        <f>SUMIFS(tblActuals[Team 2 GD],tblActuals[Team 2],$CK17,tblActuals[Team 1],EA$3)+SUMIFS(tblActuals[Team 1 GD],tblActuals[Team 1],$CK17,tblActuals[Team 2],EA$3)</f>
        <v>0</v>
      </c>
      <c r="EB17" s="56">
        <f>SUMIFS(tblActuals[Team 2 GD],tblActuals[Team 2],$CK17,tblActuals[Team 1],EB$3)+SUMIFS(tblActuals[Team 1 GD],tblActuals[Team 1],$CK17,tblActuals[Team 2],EB$3)</f>
        <v>0</v>
      </c>
      <c r="EC17" s="56">
        <f>SUMIFS(tblActuals[Team 2 GD],tblActuals[Team 2],$CK17,tblActuals[Team 1],EC$3)+SUMIFS(tblActuals[Team 1 GD],tblActuals[Team 1],$CK17,tblActuals[Team 2],EC$3)</f>
        <v>0</v>
      </c>
      <c r="ED17" s="56">
        <f>SUMIFS(tblActuals[Team 2 GD],tblActuals[Team 2],$CK17,tblActuals[Team 1],ED$3)+SUMIFS(tblActuals[Team 1 GD],tblActuals[Team 1],$CK17,tblActuals[Team 2],ED$3)</f>
        <v>0</v>
      </c>
      <c r="EE17" s="56">
        <f>SUMIFS(tblActuals[Team 2 GD],tblActuals[Team 2],$CK17,tblActuals[Team 1],EE$3)+SUMIFS(tblActuals[Team 1 GD],tblActuals[Team 1],$CK17,tblActuals[Team 2],EE$3)</f>
        <v>0</v>
      </c>
      <c r="EF17" s="56">
        <f>SUMIFS(tblActuals[Team 2 GD],tblActuals[Team 2],$CK17,tblActuals[Team 1],EF$3)+SUMIFS(tblActuals[Team 1 GD],tblActuals[Team 1],$CK17,tblActuals[Team 2],EF$3)</f>
        <v>0</v>
      </c>
      <c r="EG17" s="56">
        <f>SUMIFS(tblActuals[Team 2 GD],tblActuals[Team 2],$CK17,tblActuals[Team 1],EG$3)+SUMIFS(tblActuals[Team 1 GD],tblActuals[Team 1],$CK17,tblActuals[Team 2],EG$3)</f>
        <v>0</v>
      </c>
      <c r="EH17" s="56">
        <f>SUMIFS(tblActuals[Team 2 GD],tblActuals[Team 2],$CK17,tblActuals[Team 1],EH$3)+SUMIFS(tblActuals[Team 1 GD],tblActuals[Team 1],$CK17,tblActuals[Team 2],EH$3)</f>
        <v>0</v>
      </c>
      <c r="EI17" s="56">
        <f>SUMIFS(tblActuals[Team 2 GD],tblActuals[Team 2],$CK17,tblActuals[Team 1],EI$3)+SUMIFS(tblActuals[Team 1 GD],tblActuals[Team 1],$CK17,tblActuals[Team 2],EI$3)</f>
        <v>0</v>
      </c>
      <c r="EJ17" s="56">
        <f>SUMIFS(tblActuals[Team 2 GD],tblActuals[Team 2],$CK17,tblActuals[Team 1],EJ$3)+SUMIFS(tblActuals[Team 1 GD],tblActuals[Team 1],$CK17,tblActuals[Team 2],EJ$3)</f>
        <v>0</v>
      </c>
      <c r="EK17" s="56">
        <f>SUMIFS(tblActuals[Team 2 GD],tblActuals[Team 2],$CK17,tblActuals[Team 1],EK$3)+SUMIFS(tblActuals[Team 1 GD],tblActuals[Team 1],$CK17,tblActuals[Team 2],EK$3)</f>
        <v>0</v>
      </c>
      <c r="EL17" s="56">
        <f>SUMIFS(tblActuals[Team 2 GD],tblActuals[Team 2],$CK17,tblActuals[Team 1],EL$3)+SUMIFS(tblActuals[Team 1 GD],tblActuals[Team 1],$CK17,tblActuals[Team 2],EL$3)</f>
        <v>0</v>
      </c>
      <c r="EM17" s="56">
        <f>SUMIFS(tblActuals[Team 2 GD],tblActuals[Team 2],$CK17,tblActuals[Team 1],EM$3)+SUMIFS(tblActuals[Team 1 GD],tblActuals[Team 1],$CK17,tblActuals[Team 2],EM$3)</f>
        <v>0</v>
      </c>
      <c r="EN17" s="56">
        <f>SUMIFS(tblActuals[Team 2 GD],tblActuals[Team 2],$CK17,tblActuals[Team 1],EN$3)+SUMIFS(tblActuals[Team 1 GD],tblActuals[Team 1],$CK17,tblActuals[Team 2],EN$3)</f>
        <v>0</v>
      </c>
      <c r="EO17" s="56">
        <f>SUMIFS(tblActuals[Team 2 GD],tblActuals[Team 2],$CK17,tblActuals[Team 1],EO$3)+SUMIFS(tblActuals[Team 1 GD],tblActuals[Team 1],$CK17,tblActuals[Team 2],EO$3)</f>
        <v>0</v>
      </c>
      <c r="EP17" s="56">
        <f>SUMIFS(tblActuals[Team 2 GD],tblActuals[Team 2],$CK17,tblActuals[Team 1],EP$3)+SUMIFS(tblActuals[Team 1 GD],tblActuals[Team 1],$CK17,tblActuals[Team 2],EP$3)</f>
        <v>0</v>
      </c>
      <c r="EQ17" s="56">
        <f>SUMIFS(tblActuals[Team 2 GD],tblActuals[Team 2],$CK17,tblActuals[Team 1],EQ$3)+SUMIFS(tblActuals[Team 1 GD],tblActuals[Team 1],$CK17,tblActuals[Team 2],EQ$3)</f>
        <v>0</v>
      </c>
      <c r="ER17" s="57"/>
      <c r="ES17" s="57"/>
      <c r="ET17" s="57"/>
      <c r="EU17" s="57"/>
      <c r="EV17" s="57"/>
      <c r="EW17" s="57"/>
      <c r="EX17" s="57"/>
      <c r="EY17" s="57"/>
      <c r="EZ17" s="4"/>
      <c r="FA17" s="4" t="s">
        <v>8</v>
      </c>
      <c r="FB17" s="56">
        <f>SUMIFS(tblActuals[Team 2 Goals],tblActuals[Team 2],$CK17,tblActuals[Team 1],FB$3)+SUMIFS(tblActuals[Team 1 Goals],tblActuals[Team 1],$CK17,tblActuals[Team 2],FB$3)</f>
        <v>0</v>
      </c>
      <c r="FC17" s="56">
        <f>SUMIFS(tblActuals[Team 2 Goals],tblActuals[Team 2],$CK17,tblActuals[Team 1],FC$3)+SUMIFS(tblActuals[Team 1 Goals],tblActuals[Team 1],$CK17,tblActuals[Team 2],FC$3)</f>
        <v>0</v>
      </c>
      <c r="FD17" s="56">
        <f>SUMIFS(tblActuals[Team 2 Goals],tblActuals[Team 2],$CK17,tblActuals[Team 1],FD$3)+SUMIFS(tblActuals[Team 1 Goals],tblActuals[Team 1],$CK17,tblActuals[Team 2],FD$3)</f>
        <v>0</v>
      </c>
      <c r="FE17" s="56">
        <f>SUMIFS(tblActuals[Team 2 Goals],tblActuals[Team 2],$CK17,tblActuals[Team 1],FE$3)+SUMIFS(tblActuals[Team 1 Goals],tblActuals[Team 1],$CK17,tblActuals[Team 2],FE$3)</f>
        <v>0</v>
      </c>
      <c r="FF17" s="56">
        <f>SUMIFS(tblActuals[Team 2 Goals],tblActuals[Team 2],$CK17,tblActuals[Team 1],FF$3)+SUMIFS(tblActuals[Team 1 Goals],tblActuals[Team 1],$CK17,tblActuals[Team 2],FF$3)</f>
        <v>0</v>
      </c>
      <c r="FG17" s="56">
        <f>SUMIFS(tblActuals[Team 2 Goals],tblActuals[Team 2],$CK17,tblActuals[Team 1],FG$3)+SUMIFS(tblActuals[Team 1 Goals],tblActuals[Team 1],$CK17,tblActuals[Team 2],FG$3)</f>
        <v>0</v>
      </c>
      <c r="FH17" s="56">
        <f>SUMIFS(tblActuals[Team 2 Goals],tblActuals[Team 2],$CK17,tblActuals[Team 1],FH$3)+SUMIFS(tblActuals[Team 1 Goals],tblActuals[Team 1],$CK17,tblActuals[Team 2],FH$3)</f>
        <v>0</v>
      </c>
      <c r="FI17" s="56">
        <f>SUMIFS(tblActuals[Team 2 Goals],tblActuals[Team 2],$CK17,tblActuals[Team 1],FI$3)+SUMIFS(tblActuals[Team 1 Goals],tblActuals[Team 1],$CK17,tblActuals[Team 2],FI$3)</f>
        <v>0</v>
      </c>
      <c r="FJ17" s="56">
        <f>SUMIFS(tblActuals[Team 2 Goals],tblActuals[Team 2],$CK17,tblActuals[Team 1],FJ$3)+SUMIFS(tblActuals[Team 1 Goals],tblActuals[Team 1],$CK17,tblActuals[Team 2],FJ$3)</f>
        <v>0</v>
      </c>
      <c r="FK17" s="56">
        <f>SUMIFS(tblActuals[Team 2 Goals],tblActuals[Team 2],$CK17,tblActuals[Team 1],FK$3)+SUMIFS(tblActuals[Team 1 Goals],tblActuals[Team 1],$CK17,tblActuals[Team 2],FK$3)</f>
        <v>0</v>
      </c>
      <c r="FL17" s="56">
        <f>SUMIFS(tblActuals[Team 2 Goals],tblActuals[Team 2],$CK17,tblActuals[Team 1],FL$3)+SUMIFS(tblActuals[Team 1 Goals],tblActuals[Team 1],$CK17,tblActuals[Team 2],FL$3)</f>
        <v>0</v>
      </c>
      <c r="FM17" s="56">
        <f>SUMIFS(tblActuals[Team 2 Goals],tblActuals[Team 2],$CK17,tblActuals[Team 1],FM$3)+SUMIFS(tblActuals[Team 1 Goals],tblActuals[Team 1],$CK17,tblActuals[Team 2],FM$3)</f>
        <v>0</v>
      </c>
      <c r="FN17" s="56">
        <f>SUMIFS(tblActuals[Team 2 Goals],tblActuals[Team 2],$CK17,tblActuals[Team 1],FN$3)+SUMIFS(tblActuals[Team 1 Goals],tblActuals[Team 1],$CK17,tblActuals[Team 2],FN$3)</f>
        <v>0</v>
      </c>
      <c r="FO17" s="56">
        <f>SUMIFS(tblActuals[Team 2 Goals],tblActuals[Team 2],$CK17,tblActuals[Team 1],FO$3)+SUMIFS(tblActuals[Team 1 Goals],tblActuals[Team 1],$CK17,tblActuals[Team 2],FO$3)</f>
        <v>0</v>
      </c>
      <c r="FP17" s="56">
        <f>SUMIFS(tblActuals[Team 2 Goals],tblActuals[Team 2],$CK17,tblActuals[Team 1],FP$3)+SUMIFS(tblActuals[Team 1 Goals],tblActuals[Team 1],$CK17,tblActuals[Team 2],FP$3)</f>
        <v>0</v>
      </c>
      <c r="FQ17" s="56">
        <f>SUMIFS(tblActuals[Team 2 Goals],tblActuals[Team 2],$CK17,tblActuals[Team 1],FQ$3)+SUMIFS(tblActuals[Team 1 Goals],tblActuals[Team 1],$CK17,tblActuals[Team 2],FQ$3)</f>
        <v>0</v>
      </c>
      <c r="FR17" s="56">
        <f>SUMIFS(tblActuals[Team 2 Goals],tblActuals[Team 2],$CK17,tblActuals[Team 1],FR$3)+SUMIFS(tblActuals[Team 1 Goals],tblActuals[Team 1],$CK17,tblActuals[Team 2],FR$3)</f>
        <v>0</v>
      </c>
      <c r="FS17" s="56">
        <f>SUMIFS(tblActuals[Team 2 Goals],tblActuals[Team 2],$CK17,tblActuals[Team 1],FS$3)+SUMIFS(tblActuals[Team 1 Goals],tblActuals[Team 1],$CK17,tblActuals[Team 2],FS$3)</f>
        <v>0</v>
      </c>
      <c r="FT17" s="56">
        <f>SUMIFS(tblActuals[Team 2 Goals],tblActuals[Team 2],$CK17,tblActuals[Team 1],FT$3)+SUMIFS(tblActuals[Team 1 Goals],tblActuals[Team 1],$CK17,tblActuals[Team 2],FT$3)</f>
        <v>0</v>
      </c>
      <c r="FU17" s="56">
        <f>SUMIFS(tblActuals[Team 2 Goals],tblActuals[Team 2],$CK17,tblActuals[Team 1],FU$3)+SUMIFS(tblActuals[Team 1 Goals],tblActuals[Team 1],$CK17,tblActuals[Team 2],FU$3)</f>
        <v>0</v>
      </c>
      <c r="FV17" s="56">
        <f>SUMIFS(tblActuals[Team 2 Goals],tblActuals[Team 2],$CK17,tblActuals[Team 1],FV$3)+SUMIFS(tblActuals[Team 1 Goals],tblActuals[Team 1],$CK17,tblActuals[Team 2],FV$3)</f>
        <v>0</v>
      </c>
      <c r="FW17" s="56">
        <f>SUMIFS(tblActuals[Team 2 Goals],tblActuals[Team 2],$CK17,tblActuals[Team 1],FW$3)+SUMIFS(tblActuals[Team 1 Goals],tblActuals[Team 1],$CK17,tblActuals[Team 2],FW$3)</f>
        <v>0</v>
      </c>
      <c r="FX17" s="56">
        <f>SUMIFS(tblActuals[Team 2 Goals],tblActuals[Team 2],$CK17,tblActuals[Team 1],FX$3)+SUMIFS(tblActuals[Team 1 Goals],tblActuals[Team 1],$CK17,tblActuals[Team 2],FX$3)</f>
        <v>0</v>
      </c>
      <c r="FY17" s="56">
        <f>SUMIFS(tblActuals[Team 2 Goals],tblActuals[Team 2],$CK17,tblActuals[Team 1],FY$3)+SUMIFS(tblActuals[Team 1 Goals],tblActuals[Team 1],$CK17,tblActuals[Team 2],FY$3)</f>
        <v>0</v>
      </c>
      <c r="FZ17" s="57"/>
      <c r="GA17" s="57"/>
      <c r="GB17" s="37"/>
      <c r="GC17" s="37"/>
      <c r="GD17" s="37"/>
      <c r="GE17" s="37"/>
      <c r="GF17" s="37"/>
      <c r="GG17" s="37"/>
      <c r="GH17" s="75"/>
      <c r="GI17" s="156"/>
      <c r="GJ17" s="156"/>
      <c r="GK17" s="75"/>
      <c r="GL17" s="75"/>
      <c r="GM17" s="75"/>
      <c r="GN17" s="75"/>
      <c r="GO17" s="75"/>
      <c r="GP17" s="75"/>
      <c r="GR17" s="4" t="str">
        <f t="shared" si="12"/>
        <v>BCEF</v>
      </c>
      <c r="GS17" s="45"/>
      <c r="GT17" s="44" t="s">
        <v>5</v>
      </c>
      <c r="GU17" s="44" t="s">
        <v>6</v>
      </c>
      <c r="GV17" s="45"/>
      <c r="GW17" s="44" t="s">
        <v>12</v>
      </c>
      <c r="GX17" s="44" t="s">
        <v>45</v>
      </c>
      <c r="GY17" s="178"/>
      <c r="GZ17" s="45" t="s">
        <v>154</v>
      </c>
      <c r="HA17" s="45" t="s">
        <v>153</v>
      </c>
      <c r="HB17" s="45" t="s">
        <v>152</v>
      </c>
      <c r="HC17" s="45" t="s">
        <v>151</v>
      </c>
    </row>
    <row r="18" spans="1:211" s="11" customFormat="1" ht="30" customHeight="1" x14ac:dyDescent="0.25">
      <c r="A18" s="20"/>
      <c r="B18" s="122">
        <v>15</v>
      </c>
      <c r="C18" s="122" t="s">
        <v>5</v>
      </c>
      <c r="D18" s="123">
        <v>45462</v>
      </c>
      <c r="E18" s="122" t="s">
        <v>84</v>
      </c>
      <c r="F18" s="124">
        <v>0.625</v>
      </c>
      <c r="G18" s="125">
        <f t="shared" si="8"/>
        <v>45462.375</v>
      </c>
      <c r="H18" s="122" t="s">
        <v>103</v>
      </c>
      <c r="I18" s="126"/>
      <c r="J18" s="118"/>
      <c r="K18" s="118"/>
      <c r="L18" s="119" t="str">
        <f>IF(tblActuals[[#This Row],[SCORE]]="","",IF(Q18=R18,"Draw",IF(Q18&gt;R18,M18,N18)))</f>
        <v/>
      </c>
      <c r="M18" s="120" t="str">
        <f>IF(tblActuals[[#This Row],[TEAMS]]="","",LEFT(H18,FIND(" -",H18,1)-1))</f>
        <v>Croatia</v>
      </c>
      <c r="N18" s="120" t="str">
        <f>IF(tblActuals[[#This Row],[TEAMS]]="","",MID(H18,FIND("-",H18,1)+2,LEN(H18)-FIND("-",H18,1)+2))</f>
        <v>Albania</v>
      </c>
      <c r="O18" s="120" t="str">
        <f>IF(tblActuals[[#This Row],[Team 1 Goals]]&gt;tblActuals[[#This Row],[Team 2 Goals]],tblActuals[[#This Row],[Team 1]],IF(tblActuals[[#This Row],[Team 2 Goals]]&gt;tblActuals[[#This Row],[Team 1 Goals]],tblActuals[[#This Row],[Team 2]],""))</f>
        <v/>
      </c>
      <c r="P18" s="120" t="str">
        <f>IF(tblActuals[[#This Row],[Winner]]=tblActuals[[#This Row],[Team 1]],tblActuals[[#This Row],[Team 2]],IF(tblActuals[[#This Row],[Winner]]=tblActuals[[#This Row],[Team 2]],tblActuals[[#This Row],[Team 1]],""))</f>
        <v/>
      </c>
      <c r="Q18" s="120" t="str">
        <f>IF(tblActuals[[#This Row],[SCORE]]="","",LEFT(I18,FIND(":",I18,1)-1)*1)</f>
        <v/>
      </c>
      <c r="R18" s="120" t="str">
        <f>IF(tblActuals[[#This Row],[SCORE]]="","",MID(I18,FIND(":",I18,1)+1,LEN(I18)-FIND(":",I18,1)+1)*1)</f>
        <v/>
      </c>
      <c r="S18" s="120" t="str">
        <f>IF(OR(tblActuals[[#This Row],[Team 1 Goals]]="",tblActuals[[#This Row],[Team 2 Goals]]=""),"",tblActuals[[#This Row],[Team 1 Goals]]-tblActuals[[#This Row],[Team 2 Goals]])</f>
        <v/>
      </c>
      <c r="T18" s="120" t="str">
        <f>IF(OR(tblActuals[[#This Row],[Team 1 Goals]]="",tblActuals[[#This Row],[Team 2 Goals]]=""),"",tblActuals[[#This Row],[Team 2 Goals]]-tblActuals[[#This Row],[Team 1 Goals]])</f>
        <v/>
      </c>
      <c r="U18" s="120" t="str">
        <f>IF(tblActuals[[#This Row],[SCORE]]="","",IF(tblActuals[[#This Row],[WINNER / RESULT]]="Draw",1,IF(tblActuals[[#This Row],[WINNER / RESULT]]=tblActuals[[#This Row],[Team 1]],3,0)))</f>
        <v/>
      </c>
      <c r="V18" s="120" t="str">
        <f>IF(tblActuals[[#This Row],[SCORE]]="","",IF(tblActuals[[#This Row],[WINNER / RESULT]]="Draw",1,IF(tblActuals[[#This Row],[WINNER / RESULT]]=tblActuals[[#This Row],[Team 2]],3,0)))</f>
        <v/>
      </c>
      <c r="W18" s="121"/>
      <c r="X18" s="121"/>
      <c r="Y18" s="121"/>
      <c r="Z18" s="121"/>
      <c r="AA18" s="120" t="e">
        <f>tblActuals[[#This Row],[Team 1 Goals]]+tblActuals[[#This Row],[Team 1 ET Goals]]&amp;":"&amp;tblActuals[[#This Row],[Team 2 Goals]]+tblActuals[[#This Row],[Team 2 ET Goals]]</f>
        <v>#VALUE!</v>
      </c>
      <c r="AB18" s="120" t="e">
        <f>+tblActuals[[#This Row],[Team 1 Goals]]+tblActuals[[#This Row],[Team 2 Goals]]</f>
        <v>#VALUE!</v>
      </c>
      <c r="AC18" s="165">
        <f t="shared" si="0"/>
        <v>45462</v>
      </c>
      <c r="AD18" s="166">
        <f t="shared" si="9"/>
        <v>14.8</v>
      </c>
      <c r="AJ18" s="77" t="s">
        <v>6</v>
      </c>
      <c r="AK18" s="136">
        <v>1</v>
      </c>
      <c r="AL18" s="137" t="str">
        <f ca="1">IFERROR(INDEX(AT:AT,MATCH("1"&amp;AJ18,BD:BD,0),1),"")</f>
        <v>Denmark</v>
      </c>
      <c r="AM18" s="137" t="str">
        <f ca="1">IF(AL18="","",VLOOKUP(AL18,AT:AY,2,FALSE)&amp;"-"&amp;VLOOKUP(AL18,AT:AY,3,FALSE)&amp;"-"&amp;VLOOKUP(AL18,AT:AY,4,FALSE))</f>
        <v>0-0-0</v>
      </c>
      <c r="AN18" s="137">
        <f ca="1">IF(AL18="","",VLOOKUP(AL18,AT:BA,8,FALSE))</f>
        <v>0</v>
      </c>
      <c r="AO18" s="138">
        <f ca="1">IF(AL18="","",VLOOKUP(AL18,AT:BD,5,FALSE))</f>
        <v>0</v>
      </c>
      <c r="AP18" s="75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 t="str">
        <f t="shared" si="1"/>
        <v/>
      </c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K18" s="4" t="s">
        <v>129</v>
      </c>
      <c r="CL18" s="56">
        <f>SUMIFS(tblActuals[Team 2 Points],tblActuals[Team 2],$CK18,tblActuals[Team 1],CL$3)+SUMIFS(tblActuals[Team 1 Points],tblActuals[Team 1],$CK18,tblActuals[Team 2],CL$3)</f>
        <v>0</v>
      </c>
      <c r="CM18" s="56">
        <f>SUMIFS(tblActuals[Team 2 Points],tblActuals[Team 2],$CK18,tblActuals[Team 1],CM$3)+SUMIFS(tblActuals[Team 1 Points],tblActuals[Team 1],$CK18,tblActuals[Team 2],CM$3)</f>
        <v>0</v>
      </c>
      <c r="CN18" s="56">
        <f>SUMIFS(tblActuals[Team 2 Points],tblActuals[Team 2],$CK18,tblActuals[Team 1],CN$3)+SUMIFS(tblActuals[Team 1 Points],tblActuals[Team 1],$CK18,tblActuals[Team 2],CN$3)</f>
        <v>0</v>
      </c>
      <c r="CO18" s="56">
        <f>SUMIFS(tblActuals[Team 2 Points],tblActuals[Team 2],$CK18,tblActuals[Team 1],CO$3)+SUMIFS(tblActuals[Team 1 Points],tblActuals[Team 1],$CK18,tblActuals[Team 2],CO$3)</f>
        <v>0</v>
      </c>
      <c r="CP18" s="56">
        <f>SUMIFS(tblActuals[Team 2 Points],tblActuals[Team 2],$CK18,tblActuals[Team 1],CP$3)+SUMIFS(tblActuals[Team 1 Points],tblActuals[Team 1],$CK18,tblActuals[Team 2],CP$3)</f>
        <v>0</v>
      </c>
      <c r="CQ18" s="56">
        <f>SUMIFS(tblActuals[Team 2 Points],tblActuals[Team 2],$CK18,tblActuals[Team 1],CQ$3)+SUMIFS(tblActuals[Team 1 Points],tblActuals[Team 1],$CK18,tblActuals[Team 2],CQ$3)</f>
        <v>0</v>
      </c>
      <c r="CR18" s="56">
        <f>SUMIFS(tblActuals[Team 2 Points],tblActuals[Team 2],$CK18,tblActuals[Team 1],CR$3)+SUMIFS(tblActuals[Team 1 Points],tblActuals[Team 1],$CK18,tblActuals[Team 2],CR$3)</f>
        <v>0</v>
      </c>
      <c r="CS18" s="56">
        <f>SUMIFS(tblActuals[Team 2 Points],tblActuals[Team 2],$CK18,tblActuals[Team 1],CS$3)+SUMIFS(tblActuals[Team 1 Points],tblActuals[Team 1],$CK18,tblActuals[Team 2],CS$3)</f>
        <v>0</v>
      </c>
      <c r="CT18" s="56">
        <f>SUMIFS(tblActuals[Team 2 Points],tblActuals[Team 2],$CK18,tblActuals[Team 1],CT$3)+SUMIFS(tblActuals[Team 1 Points],tblActuals[Team 1],$CK18,tblActuals[Team 2],CT$3)</f>
        <v>0</v>
      </c>
      <c r="CU18" s="56">
        <f>SUMIFS(tblActuals[Team 2 Points],tblActuals[Team 2],$CK18,tblActuals[Team 1],CU$3)+SUMIFS(tblActuals[Team 1 Points],tblActuals[Team 1],$CK18,tblActuals[Team 2],CU$3)</f>
        <v>0</v>
      </c>
      <c r="CV18" s="56">
        <f>SUMIFS(tblActuals[Team 2 Points],tblActuals[Team 2],$CK18,tblActuals[Team 1],CV$3)+SUMIFS(tblActuals[Team 1 Points],tblActuals[Team 1],$CK18,tblActuals[Team 2],CV$3)</f>
        <v>0</v>
      </c>
      <c r="CW18" s="56">
        <f>SUMIFS(tblActuals[Team 2 Points],tblActuals[Team 2],$CK18,tblActuals[Team 1],CW$3)+SUMIFS(tblActuals[Team 1 Points],tblActuals[Team 1],$CK18,tblActuals[Team 2],CW$3)</f>
        <v>0</v>
      </c>
      <c r="CX18" s="56">
        <f>SUMIFS(tblActuals[Team 2 Points],tblActuals[Team 2],$CK18,tblActuals[Team 1],CX$3)+SUMIFS(tblActuals[Team 1 Points],tblActuals[Team 1],$CK18,tblActuals[Team 2],CX$3)</f>
        <v>0</v>
      </c>
      <c r="CY18" s="56">
        <f>SUMIFS(tblActuals[Team 2 Points],tblActuals[Team 2],$CK18,tblActuals[Team 1],CY$3)+SUMIFS(tblActuals[Team 1 Points],tblActuals[Team 1],$CK18,tblActuals[Team 2],CY$3)</f>
        <v>0</v>
      </c>
      <c r="CZ18" s="56">
        <f>SUMIFS(tblActuals[Team 2 Points],tblActuals[Team 2],$CK18,tblActuals[Team 1],CZ$3)+SUMIFS(tblActuals[Team 1 Points],tblActuals[Team 1],$CK18,tblActuals[Team 2],CZ$3)</f>
        <v>0</v>
      </c>
      <c r="DA18" s="56">
        <f>SUMIFS(tblActuals[Team 2 Points],tblActuals[Team 2],$CK18,tblActuals[Team 1],DA$3)+SUMIFS(tblActuals[Team 1 Points],tblActuals[Team 1],$CK18,tblActuals[Team 2],DA$3)</f>
        <v>0</v>
      </c>
      <c r="DB18" s="56">
        <f>SUMIFS(tblActuals[Team 2 Points],tblActuals[Team 2],$CK18,tblActuals[Team 1],DB$3)+SUMIFS(tblActuals[Team 1 Points],tblActuals[Team 1],$CK18,tblActuals[Team 2],DB$3)</f>
        <v>0</v>
      </c>
      <c r="DC18" s="56">
        <f>SUMIFS(tblActuals[Team 2 Points],tblActuals[Team 2],$CK18,tblActuals[Team 1],DC$3)+SUMIFS(tblActuals[Team 1 Points],tblActuals[Team 1],$CK18,tblActuals[Team 2],DC$3)</f>
        <v>0</v>
      </c>
      <c r="DD18" s="56">
        <f>SUMIFS(tblActuals[Team 2 Points],tblActuals[Team 2],$CK18,tblActuals[Team 1],DD$3)+SUMIFS(tblActuals[Team 1 Points],tblActuals[Team 1],$CK18,tblActuals[Team 2],DD$3)</f>
        <v>0</v>
      </c>
      <c r="DE18" s="56">
        <f>SUMIFS(tblActuals[Team 2 Points],tblActuals[Team 2],$CK18,tblActuals[Team 1],DE$3)+SUMIFS(tblActuals[Team 1 Points],tblActuals[Team 1],$CK18,tblActuals[Team 2],DE$3)</f>
        <v>0</v>
      </c>
      <c r="DF18" s="56">
        <f>SUMIFS(tblActuals[Team 2 Points],tblActuals[Team 2],$CK18,tblActuals[Team 1],DF$3)+SUMIFS(tblActuals[Team 1 Points],tblActuals[Team 1],$CK18,tblActuals[Team 2],DF$3)</f>
        <v>0</v>
      </c>
      <c r="DG18" s="56">
        <f>SUMIFS(tblActuals[Team 2 Points],tblActuals[Team 2],$CK18,tblActuals[Team 1],DG$3)+SUMIFS(tblActuals[Team 1 Points],tblActuals[Team 1],$CK18,tblActuals[Team 2],DG$3)</f>
        <v>0</v>
      </c>
      <c r="DH18" s="56">
        <f>SUMIFS(tblActuals[Team 2 Points],tblActuals[Team 2],$CK18,tblActuals[Team 1],DH$3)+SUMIFS(tblActuals[Team 1 Points],tblActuals[Team 1],$CK18,tblActuals[Team 2],DH$3)</f>
        <v>0</v>
      </c>
      <c r="DI18" s="56">
        <f>SUMIFS(tblActuals[Team 2 Points],tblActuals[Team 2],$CK18,tblActuals[Team 1],DI$3)+SUMIFS(tblActuals[Team 1 Points],tblActuals[Team 1],$CK18,tblActuals[Team 2],DI$3)</f>
        <v>0</v>
      </c>
      <c r="DJ18" s="57"/>
      <c r="DK18" s="57"/>
      <c r="DL18" s="57"/>
      <c r="DM18" s="57"/>
      <c r="DN18" s="57"/>
      <c r="DO18" s="57"/>
      <c r="DP18" s="57"/>
      <c r="DQ18" s="57"/>
      <c r="DR18" s="4"/>
      <c r="DS18" s="4" t="s">
        <v>129</v>
      </c>
      <c r="DT18" s="56">
        <f>SUMIFS(tblActuals[Team 2 GD],tblActuals[Team 2],$CK18,tblActuals[Team 1],DT$3)+SUMIFS(tblActuals[Team 1 GD],tblActuals[Team 1],$CK18,tblActuals[Team 2],DT$3)</f>
        <v>0</v>
      </c>
      <c r="DU18" s="56">
        <f>SUMIFS(tblActuals[Team 2 GD],tblActuals[Team 2],$CK18,tblActuals[Team 1],DU$3)+SUMIFS(tblActuals[Team 1 GD],tblActuals[Team 1],$CK18,tblActuals[Team 2],DU$3)</f>
        <v>0</v>
      </c>
      <c r="DV18" s="56">
        <f>SUMIFS(tblActuals[Team 2 GD],tblActuals[Team 2],$CK18,tblActuals[Team 1],DV$3)+SUMIFS(tblActuals[Team 1 GD],tblActuals[Team 1],$CK18,tblActuals[Team 2],DV$3)</f>
        <v>0</v>
      </c>
      <c r="DW18" s="56">
        <f>SUMIFS(tblActuals[Team 2 GD],tblActuals[Team 2],$CK18,tblActuals[Team 1],DW$3)+SUMIFS(tblActuals[Team 1 GD],tblActuals[Team 1],$CK18,tblActuals[Team 2],DW$3)</f>
        <v>0</v>
      </c>
      <c r="DX18" s="56">
        <f>SUMIFS(tblActuals[Team 2 GD],tblActuals[Team 2],$CK18,tblActuals[Team 1],DX$3)+SUMIFS(tblActuals[Team 1 GD],tblActuals[Team 1],$CK18,tblActuals[Team 2],DX$3)</f>
        <v>0</v>
      </c>
      <c r="DY18" s="56">
        <f>SUMIFS(tblActuals[Team 2 GD],tblActuals[Team 2],$CK18,tblActuals[Team 1],DY$3)+SUMIFS(tblActuals[Team 1 GD],tblActuals[Team 1],$CK18,tblActuals[Team 2],DY$3)</f>
        <v>0</v>
      </c>
      <c r="DZ18" s="56">
        <f>SUMIFS(tblActuals[Team 2 GD],tblActuals[Team 2],$CK18,tblActuals[Team 1],DZ$3)+SUMIFS(tblActuals[Team 1 GD],tblActuals[Team 1],$CK18,tblActuals[Team 2],DZ$3)</f>
        <v>0</v>
      </c>
      <c r="EA18" s="56">
        <f>SUMIFS(tblActuals[Team 2 GD],tblActuals[Team 2],$CK18,tblActuals[Team 1],EA$3)+SUMIFS(tblActuals[Team 1 GD],tblActuals[Team 1],$CK18,tblActuals[Team 2],EA$3)</f>
        <v>0</v>
      </c>
      <c r="EB18" s="56">
        <f>SUMIFS(tblActuals[Team 2 GD],tblActuals[Team 2],$CK18,tblActuals[Team 1],EB$3)+SUMIFS(tblActuals[Team 1 GD],tblActuals[Team 1],$CK18,tblActuals[Team 2],EB$3)</f>
        <v>0</v>
      </c>
      <c r="EC18" s="56">
        <f>SUMIFS(tblActuals[Team 2 GD],tblActuals[Team 2],$CK18,tblActuals[Team 1],EC$3)+SUMIFS(tblActuals[Team 1 GD],tblActuals[Team 1],$CK18,tblActuals[Team 2],EC$3)</f>
        <v>0</v>
      </c>
      <c r="ED18" s="56">
        <f>SUMIFS(tblActuals[Team 2 GD],tblActuals[Team 2],$CK18,tblActuals[Team 1],ED$3)+SUMIFS(tblActuals[Team 1 GD],tblActuals[Team 1],$CK18,tblActuals[Team 2],ED$3)</f>
        <v>0</v>
      </c>
      <c r="EE18" s="56">
        <f>SUMIFS(tblActuals[Team 2 GD],tblActuals[Team 2],$CK18,tblActuals[Team 1],EE$3)+SUMIFS(tblActuals[Team 1 GD],tblActuals[Team 1],$CK18,tblActuals[Team 2],EE$3)</f>
        <v>0</v>
      </c>
      <c r="EF18" s="56">
        <f>SUMIFS(tblActuals[Team 2 GD],tblActuals[Team 2],$CK18,tblActuals[Team 1],EF$3)+SUMIFS(tblActuals[Team 1 GD],tblActuals[Team 1],$CK18,tblActuals[Team 2],EF$3)</f>
        <v>0</v>
      </c>
      <c r="EG18" s="56">
        <f>SUMIFS(tblActuals[Team 2 GD],tblActuals[Team 2],$CK18,tblActuals[Team 1],EG$3)+SUMIFS(tblActuals[Team 1 GD],tblActuals[Team 1],$CK18,tblActuals[Team 2],EG$3)</f>
        <v>0</v>
      </c>
      <c r="EH18" s="56">
        <f>SUMIFS(tblActuals[Team 2 GD],tblActuals[Team 2],$CK18,tblActuals[Team 1],EH$3)+SUMIFS(tblActuals[Team 1 GD],tblActuals[Team 1],$CK18,tblActuals[Team 2],EH$3)</f>
        <v>0</v>
      </c>
      <c r="EI18" s="56">
        <f>SUMIFS(tblActuals[Team 2 GD],tblActuals[Team 2],$CK18,tblActuals[Team 1],EI$3)+SUMIFS(tblActuals[Team 1 GD],tblActuals[Team 1],$CK18,tblActuals[Team 2],EI$3)</f>
        <v>0</v>
      </c>
      <c r="EJ18" s="56">
        <f>SUMIFS(tblActuals[Team 2 GD],tblActuals[Team 2],$CK18,tblActuals[Team 1],EJ$3)+SUMIFS(tblActuals[Team 1 GD],tblActuals[Team 1],$CK18,tblActuals[Team 2],EJ$3)</f>
        <v>0</v>
      </c>
      <c r="EK18" s="56">
        <f>SUMIFS(tblActuals[Team 2 GD],tblActuals[Team 2],$CK18,tblActuals[Team 1],EK$3)+SUMIFS(tblActuals[Team 1 GD],tblActuals[Team 1],$CK18,tblActuals[Team 2],EK$3)</f>
        <v>0</v>
      </c>
      <c r="EL18" s="56">
        <f>SUMIFS(tblActuals[Team 2 GD],tblActuals[Team 2],$CK18,tblActuals[Team 1],EL$3)+SUMIFS(tblActuals[Team 1 GD],tblActuals[Team 1],$CK18,tblActuals[Team 2],EL$3)</f>
        <v>0</v>
      </c>
      <c r="EM18" s="56">
        <f>SUMIFS(tblActuals[Team 2 GD],tblActuals[Team 2],$CK18,tblActuals[Team 1],EM$3)+SUMIFS(tblActuals[Team 1 GD],tblActuals[Team 1],$CK18,tblActuals[Team 2],EM$3)</f>
        <v>0</v>
      </c>
      <c r="EN18" s="56">
        <f>SUMIFS(tblActuals[Team 2 GD],tblActuals[Team 2],$CK18,tblActuals[Team 1],EN$3)+SUMIFS(tblActuals[Team 1 GD],tblActuals[Team 1],$CK18,tblActuals[Team 2],EN$3)</f>
        <v>0</v>
      </c>
      <c r="EO18" s="56">
        <f>SUMIFS(tblActuals[Team 2 GD],tblActuals[Team 2],$CK18,tblActuals[Team 1],EO$3)+SUMIFS(tblActuals[Team 1 GD],tblActuals[Team 1],$CK18,tblActuals[Team 2],EO$3)</f>
        <v>0</v>
      </c>
      <c r="EP18" s="56">
        <f>SUMIFS(tblActuals[Team 2 GD],tblActuals[Team 2],$CK18,tblActuals[Team 1],EP$3)+SUMIFS(tblActuals[Team 1 GD],tblActuals[Team 1],$CK18,tblActuals[Team 2],EP$3)</f>
        <v>0</v>
      </c>
      <c r="EQ18" s="56">
        <f>SUMIFS(tblActuals[Team 2 GD],tblActuals[Team 2],$CK18,tblActuals[Team 1],EQ$3)+SUMIFS(tblActuals[Team 1 GD],tblActuals[Team 1],$CK18,tblActuals[Team 2],EQ$3)</f>
        <v>0</v>
      </c>
      <c r="ER18" s="57"/>
      <c r="ES18" s="57"/>
      <c r="ET18" s="57"/>
      <c r="EU18" s="57"/>
      <c r="EV18" s="57"/>
      <c r="EW18" s="57"/>
      <c r="EX18" s="57"/>
      <c r="EY18" s="57"/>
      <c r="EZ18" s="4"/>
      <c r="FA18" s="4" t="s">
        <v>129</v>
      </c>
      <c r="FB18" s="56">
        <f>SUMIFS(tblActuals[Team 2 Goals],tblActuals[Team 2],$CK18,tblActuals[Team 1],FB$3)+SUMIFS(tblActuals[Team 1 Goals],tblActuals[Team 1],$CK18,tblActuals[Team 2],FB$3)</f>
        <v>0</v>
      </c>
      <c r="FC18" s="56">
        <f>SUMIFS(tblActuals[Team 2 Goals],tblActuals[Team 2],$CK18,tblActuals[Team 1],FC$3)+SUMIFS(tblActuals[Team 1 Goals],tblActuals[Team 1],$CK18,tblActuals[Team 2],FC$3)</f>
        <v>0</v>
      </c>
      <c r="FD18" s="56">
        <f>SUMIFS(tblActuals[Team 2 Goals],tblActuals[Team 2],$CK18,tblActuals[Team 1],FD$3)+SUMIFS(tblActuals[Team 1 Goals],tblActuals[Team 1],$CK18,tblActuals[Team 2],FD$3)</f>
        <v>0</v>
      </c>
      <c r="FE18" s="56">
        <f>SUMIFS(tblActuals[Team 2 Goals],tblActuals[Team 2],$CK18,tblActuals[Team 1],FE$3)+SUMIFS(tblActuals[Team 1 Goals],tblActuals[Team 1],$CK18,tblActuals[Team 2],FE$3)</f>
        <v>0</v>
      </c>
      <c r="FF18" s="56">
        <f>SUMIFS(tblActuals[Team 2 Goals],tblActuals[Team 2],$CK18,tblActuals[Team 1],FF$3)+SUMIFS(tblActuals[Team 1 Goals],tblActuals[Team 1],$CK18,tblActuals[Team 2],FF$3)</f>
        <v>0</v>
      </c>
      <c r="FG18" s="56">
        <f>SUMIFS(tblActuals[Team 2 Goals],tblActuals[Team 2],$CK18,tblActuals[Team 1],FG$3)+SUMIFS(tblActuals[Team 1 Goals],tblActuals[Team 1],$CK18,tblActuals[Team 2],FG$3)</f>
        <v>0</v>
      </c>
      <c r="FH18" s="56">
        <f>SUMIFS(tblActuals[Team 2 Goals],tblActuals[Team 2],$CK18,tblActuals[Team 1],FH$3)+SUMIFS(tblActuals[Team 1 Goals],tblActuals[Team 1],$CK18,tblActuals[Team 2],FH$3)</f>
        <v>0</v>
      </c>
      <c r="FI18" s="56">
        <f>SUMIFS(tblActuals[Team 2 Goals],tblActuals[Team 2],$CK18,tblActuals[Team 1],FI$3)+SUMIFS(tblActuals[Team 1 Goals],tblActuals[Team 1],$CK18,tblActuals[Team 2],FI$3)</f>
        <v>0</v>
      </c>
      <c r="FJ18" s="56">
        <f>SUMIFS(tblActuals[Team 2 Goals],tblActuals[Team 2],$CK18,tblActuals[Team 1],FJ$3)+SUMIFS(tblActuals[Team 1 Goals],tblActuals[Team 1],$CK18,tblActuals[Team 2],FJ$3)</f>
        <v>0</v>
      </c>
      <c r="FK18" s="56">
        <f>SUMIFS(tblActuals[Team 2 Goals],tblActuals[Team 2],$CK18,tblActuals[Team 1],FK$3)+SUMIFS(tblActuals[Team 1 Goals],tblActuals[Team 1],$CK18,tblActuals[Team 2],FK$3)</f>
        <v>0</v>
      </c>
      <c r="FL18" s="56">
        <f>SUMIFS(tblActuals[Team 2 Goals],tblActuals[Team 2],$CK18,tblActuals[Team 1],FL$3)+SUMIFS(tblActuals[Team 1 Goals],tblActuals[Team 1],$CK18,tblActuals[Team 2],FL$3)</f>
        <v>0</v>
      </c>
      <c r="FM18" s="56">
        <f>SUMIFS(tblActuals[Team 2 Goals],tblActuals[Team 2],$CK18,tblActuals[Team 1],FM$3)+SUMIFS(tblActuals[Team 1 Goals],tblActuals[Team 1],$CK18,tblActuals[Team 2],FM$3)</f>
        <v>0</v>
      </c>
      <c r="FN18" s="56">
        <f>SUMIFS(tblActuals[Team 2 Goals],tblActuals[Team 2],$CK18,tblActuals[Team 1],FN$3)+SUMIFS(tblActuals[Team 1 Goals],tblActuals[Team 1],$CK18,tblActuals[Team 2],FN$3)</f>
        <v>0</v>
      </c>
      <c r="FO18" s="56">
        <f>SUMIFS(tblActuals[Team 2 Goals],tblActuals[Team 2],$CK18,tblActuals[Team 1],FO$3)+SUMIFS(tblActuals[Team 1 Goals],tblActuals[Team 1],$CK18,tblActuals[Team 2],FO$3)</f>
        <v>0</v>
      </c>
      <c r="FP18" s="56">
        <f>SUMIFS(tblActuals[Team 2 Goals],tblActuals[Team 2],$CK18,tblActuals[Team 1],FP$3)+SUMIFS(tblActuals[Team 1 Goals],tblActuals[Team 1],$CK18,tblActuals[Team 2],FP$3)</f>
        <v>0</v>
      </c>
      <c r="FQ18" s="56">
        <f>SUMIFS(tblActuals[Team 2 Goals],tblActuals[Team 2],$CK18,tblActuals[Team 1],FQ$3)+SUMIFS(tblActuals[Team 1 Goals],tblActuals[Team 1],$CK18,tblActuals[Team 2],FQ$3)</f>
        <v>0</v>
      </c>
      <c r="FR18" s="56">
        <f>SUMIFS(tblActuals[Team 2 Goals],tblActuals[Team 2],$CK18,tblActuals[Team 1],FR$3)+SUMIFS(tblActuals[Team 1 Goals],tblActuals[Team 1],$CK18,tblActuals[Team 2],FR$3)</f>
        <v>0</v>
      </c>
      <c r="FS18" s="56">
        <f>SUMIFS(tblActuals[Team 2 Goals],tblActuals[Team 2],$CK18,tblActuals[Team 1],FS$3)+SUMIFS(tblActuals[Team 1 Goals],tblActuals[Team 1],$CK18,tblActuals[Team 2],FS$3)</f>
        <v>0</v>
      </c>
      <c r="FT18" s="56">
        <f>SUMIFS(tblActuals[Team 2 Goals],tblActuals[Team 2],$CK18,tblActuals[Team 1],FT$3)+SUMIFS(tblActuals[Team 1 Goals],tblActuals[Team 1],$CK18,tblActuals[Team 2],FT$3)</f>
        <v>0</v>
      </c>
      <c r="FU18" s="56">
        <f>SUMIFS(tblActuals[Team 2 Goals],tblActuals[Team 2],$CK18,tblActuals[Team 1],FU$3)+SUMIFS(tblActuals[Team 1 Goals],tblActuals[Team 1],$CK18,tblActuals[Team 2],FU$3)</f>
        <v>0</v>
      </c>
      <c r="FV18" s="56">
        <f>SUMIFS(tblActuals[Team 2 Goals],tblActuals[Team 2],$CK18,tblActuals[Team 1],FV$3)+SUMIFS(tblActuals[Team 1 Goals],tblActuals[Team 1],$CK18,tblActuals[Team 2],FV$3)</f>
        <v>0</v>
      </c>
      <c r="FW18" s="56">
        <f>SUMIFS(tblActuals[Team 2 Goals],tblActuals[Team 2],$CK18,tblActuals[Team 1],FW$3)+SUMIFS(tblActuals[Team 1 Goals],tblActuals[Team 1],$CK18,tblActuals[Team 2],FW$3)</f>
        <v>0</v>
      </c>
      <c r="FX18" s="56">
        <f>SUMIFS(tblActuals[Team 2 Goals],tblActuals[Team 2],$CK18,tblActuals[Team 1],FX$3)+SUMIFS(tblActuals[Team 1 Goals],tblActuals[Team 1],$CK18,tblActuals[Team 2],FX$3)</f>
        <v>0</v>
      </c>
      <c r="FY18" s="56">
        <f>SUMIFS(tblActuals[Team 2 Goals],tblActuals[Team 2],$CK18,tblActuals[Team 1],FY$3)+SUMIFS(tblActuals[Team 1 Goals],tblActuals[Team 1],$CK18,tblActuals[Team 2],FY$3)</f>
        <v>0</v>
      </c>
      <c r="FZ18" s="57"/>
      <c r="GA18" s="57"/>
      <c r="GB18" s="37"/>
      <c r="GC18" s="37"/>
      <c r="GD18" s="37"/>
      <c r="GE18" s="37"/>
      <c r="GF18" s="37"/>
      <c r="GG18" s="37"/>
      <c r="GH18" s="75"/>
      <c r="GI18" s="156"/>
      <c r="GJ18" s="156"/>
      <c r="GK18" s="75"/>
      <c r="GL18" s="75"/>
      <c r="GM18" s="75"/>
      <c r="GN18" s="75"/>
      <c r="GO18" s="75"/>
      <c r="GP18" s="75"/>
      <c r="GR18" s="4" t="str">
        <f t="shared" si="12"/>
        <v>BDEF</v>
      </c>
      <c r="GS18" s="45"/>
      <c r="GT18" s="44" t="s">
        <v>5</v>
      </c>
      <c r="GU18" s="45"/>
      <c r="GV18" s="44" t="s">
        <v>7</v>
      </c>
      <c r="GW18" s="44" t="s">
        <v>12</v>
      </c>
      <c r="GX18" s="44" t="s">
        <v>45</v>
      </c>
      <c r="GY18" s="178"/>
      <c r="GZ18" s="45" t="s">
        <v>154</v>
      </c>
      <c r="HA18" s="45" t="s">
        <v>153</v>
      </c>
      <c r="HB18" s="45" t="s">
        <v>150</v>
      </c>
      <c r="HC18" s="45" t="s">
        <v>151</v>
      </c>
    </row>
    <row r="19" spans="1:211" s="11" customFormat="1" ht="30" customHeight="1" x14ac:dyDescent="0.25">
      <c r="A19" s="20"/>
      <c r="B19" s="122">
        <v>16</v>
      </c>
      <c r="C19" s="122" t="s">
        <v>5</v>
      </c>
      <c r="D19" s="123">
        <v>45463</v>
      </c>
      <c r="E19" s="122" t="s">
        <v>82</v>
      </c>
      <c r="F19" s="124">
        <v>0.875</v>
      </c>
      <c r="G19" s="125">
        <f t="shared" si="8"/>
        <v>45463.625</v>
      </c>
      <c r="H19" s="124" t="s">
        <v>104</v>
      </c>
      <c r="I19" s="126"/>
      <c r="J19" s="118"/>
      <c r="K19" s="118"/>
      <c r="L19" s="119" t="str">
        <f>IF(tblActuals[[#This Row],[SCORE]]="","",IF(Q19=R19,"Draw",IF(Q19&gt;R19,M19,N19)))</f>
        <v/>
      </c>
      <c r="M19" s="120" t="str">
        <f>IF(tblActuals[[#This Row],[TEAMS]]="","",LEFT(H19,FIND(" -",H19,1)-1))</f>
        <v>Spain</v>
      </c>
      <c r="N19" s="120" t="str">
        <f>IF(tblActuals[[#This Row],[TEAMS]]="","",MID(H19,FIND("-",H19,1)+2,LEN(H19)-FIND("-",H19,1)+2))</f>
        <v>Italy</v>
      </c>
      <c r="O19" s="120" t="str">
        <f>IF(tblActuals[[#This Row],[Team 1 Goals]]&gt;tblActuals[[#This Row],[Team 2 Goals]],tblActuals[[#This Row],[Team 1]],IF(tblActuals[[#This Row],[Team 2 Goals]]&gt;tblActuals[[#This Row],[Team 1 Goals]],tblActuals[[#This Row],[Team 2]],""))</f>
        <v/>
      </c>
      <c r="P19" s="120" t="str">
        <f>IF(tblActuals[[#This Row],[Winner]]=tblActuals[[#This Row],[Team 1]],tblActuals[[#This Row],[Team 2]],IF(tblActuals[[#This Row],[Winner]]=tblActuals[[#This Row],[Team 2]],tblActuals[[#This Row],[Team 1]],""))</f>
        <v/>
      </c>
      <c r="Q19" s="120" t="str">
        <f>IF(tblActuals[[#This Row],[SCORE]]="","",LEFT(I19,FIND(":",I19,1)-1)*1)</f>
        <v/>
      </c>
      <c r="R19" s="120" t="str">
        <f>IF(tblActuals[[#This Row],[SCORE]]="","",MID(I19,FIND(":",I19,1)+1,LEN(I19)-FIND(":",I19,1)+1)*1)</f>
        <v/>
      </c>
      <c r="S19" s="120" t="str">
        <f>IF(OR(tblActuals[[#This Row],[Team 1 Goals]]="",tblActuals[[#This Row],[Team 2 Goals]]=""),"",tblActuals[[#This Row],[Team 1 Goals]]-tblActuals[[#This Row],[Team 2 Goals]])</f>
        <v/>
      </c>
      <c r="T19" s="120" t="str">
        <f>IF(OR(tblActuals[[#This Row],[Team 1 Goals]]="",tblActuals[[#This Row],[Team 2 Goals]]=""),"",tblActuals[[#This Row],[Team 2 Goals]]-tblActuals[[#This Row],[Team 1 Goals]])</f>
        <v/>
      </c>
      <c r="U19" s="120" t="str">
        <f>IF(tblActuals[[#This Row],[SCORE]]="","",IF(tblActuals[[#This Row],[WINNER / RESULT]]="Draw",1,IF(tblActuals[[#This Row],[WINNER / RESULT]]=tblActuals[[#This Row],[Team 1]],3,0)))</f>
        <v/>
      </c>
      <c r="V19" s="120" t="str">
        <f>IF(tblActuals[[#This Row],[SCORE]]="","",IF(tblActuals[[#This Row],[WINNER / RESULT]]="Draw",1,IF(tblActuals[[#This Row],[WINNER / RESULT]]=tblActuals[[#This Row],[Team 2]],3,0)))</f>
        <v/>
      </c>
      <c r="W19" s="121"/>
      <c r="X19" s="121"/>
      <c r="Y19" s="121"/>
      <c r="Z19" s="121"/>
      <c r="AA19" s="120" t="e">
        <f>tblActuals[[#This Row],[Team 1 Goals]]+tblActuals[[#This Row],[Team 1 ET Goals]]&amp;":"&amp;tblActuals[[#This Row],[Team 2 Goals]]+tblActuals[[#This Row],[Team 2 ET Goals]]</f>
        <v>#VALUE!</v>
      </c>
      <c r="AB19" s="120" t="e">
        <f>+tblActuals[[#This Row],[Team 1 Goals]]+tblActuals[[#This Row],[Team 2 Goals]]</f>
        <v>#VALUE!</v>
      </c>
      <c r="AC19" s="165">
        <f t="shared" si="0"/>
        <v>45463</v>
      </c>
      <c r="AD19" s="166">
        <f t="shared" si="9"/>
        <v>19.899999999999999</v>
      </c>
      <c r="AJ19" s="77" t="s">
        <v>6</v>
      </c>
      <c r="AK19" s="139">
        <v>2</v>
      </c>
      <c r="AL19" s="140" t="str">
        <f ca="1">IFERROR(INDEX(AT:AT,MATCH("2"&amp;AJ19,BD:BD,0),1),"")</f>
        <v>England</v>
      </c>
      <c r="AM19" s="140" t="str">
        <f ca="1">IF(AL19="","",VLOOKUP(AL19,AT:AY,2,FALSE)&amp;"-"&amp;VLOOKUP(AL19,AT:AY,3,FALSE)&amp;"-"&amp;VLOOKUP(AL19,AT:AY,4,FALSE))</f>
        <v>0-0-0</v>
      </c>
      <c r="AN19" s="140">
        <f ca="1">IF(AL19="","",VLOOKUP(AL19,AT:BA,8,FALSE))</f>
        <v>0</v>
      </c>
      <c r="AO19" s="141">
        <f ca="1">IF(AL19="","",VLOOKUP(AL19,AT:BD,5,FALSE))</f>
        <v>0</v>
      </c>
      <c r="AP19" s="75"/>
      <c r="AQ19" s="4"/>
      <c r="AR19" s="4"/>
      <c r="AS19" s="4" t="s">
        <v>7</v>
      </c>
      <c r="AT19" s="4" t="s">
        <v>129</v>
      </c>
      <c r="AU19" s="4">
        <f>COUNTIF(tblActuals[Winner],AT19)</f>
        <v>0</v>
      </c>
      <c r="AV19" s="4">
        <f>COUNTIFS(tblActuals[Team 2],AT19,tblActuals[WINNER / RESULT],"Draw")+COUNTIFS(tblActuals[Team 1],AT19,tblActuals[WINNER / RESULT],"Draw")</f>
        <v>0</v>
      </c>
      <c r="AW19" s="4">
        <f>COUNTIF(tblActuals[Loser],AT19)</f>
        <v>0</v>
      </c>
      <c r="AX19" s="4">
        <f>AV19+(3*AU19)</f>
        <v>0</v>
      </c>
      <c r="AY19" s="4">
        <f>SUMIFS(tblActuals[Team 1 Goals],tblActuals[Team 1],AT19)+SUMIFS(tblActuals[Team 2 Goals],tblActuals[Team 2],AT19)</f>
        <v>0</v>
      </c>
      <c r="AZ19" s="4">
        <f>SUMIFS(tblActuals[Team 2 Goals],tblActuals[Team 1],AT19)+SUMIFS(tblActuals[Team 1 Goals],tblActuals[Team 2],AT19)</f>
        <v>0</v>
      </c>
      <c r="BA19" s="4">
        <f>AY19-AZ19</f>
        <v>0</v>
      </c>
      <c r="BB19" s="4">
        <f ca="1">RANK(BO19,$BO$19:$BO$22,1)</f>
        <v>1</v>
      </c>
      <c r="BC19" s="4" t="str">
        <f t="shared" si="1"/>
        <v/>
      </c>
      <c r="BD19" s="4" t="str">
        <f ca="1">IF(BC19="",BB19&amp;AS19,BC19&amp;AS19)</f>
        <v>1D</v>
      </c>
      <c r="BE19" s="4">
        <f>RANK(AX19,$AX$19:$AX$22,0)</f>
        <v>1</v>
      </c>
      <c r="BF19" s="4" cm="1">
        <f t="array" aca="1" ref="BF19" ca="1">SUMPRODUCT((OFFSET($CL$3:$DQ$3,MATCH($AT19,$CK$4:$CK$35,0),0))*((IF($BE21=$BE19,$CL$3:$DQ$3=$AT21,0))+(IF($BE22=$BE19,$CL$3:$DQ$3=$AT22,0))+(IF($BE20=$BE19,$CL$3:$DQ$3=$AT20,0))))</f>
        <v>0</v>
      </c>
      <c r="BG19" s="4" cm="1">
        <f t="array" aca="1" ref="BG19" ca="1">SUMPRODUCT((OFFSET($DT$3:$EY$3,MATCH($AT19,$DS$4:$DS$35,0),0))*((IF($BE21=$BE19,$DT$3:$EY$3=$AT21,0))+(IF($BE22=$BE19,$DT$3:$EY$3=$AT22,0))+(IF($BE20=$BE19,$DT$3:$EY$3=$AT20,0))))</f>
        <v>0</v>
      </c>
      <c r="BH19" s="4" cm="1">
        <f t="array" aca="1" ref="BH19" ca="1">SUMPRODUCT((OFFSET($FB$3:$GG$3,MATCH($AT19,$FA$4:$FA$35,0),0))*((IF($BE21=$BE19,$FB$3:$GG$3=$AT21,0))+(IF($BE22=$BE19,$FB$3:$GG$3=$AT22,0))+(IF($BE20=$BE19,$FB$3:$GG$3=$AT20,0))))</f>
        <v>0</v>
      </c>
      <c r="BI19" s="4" cm="1">
        <f t="array" aca="1" ref="BI19" ca="1">SUMPRODUCT((OFFSET($CL$3:$DQ$3,MATCH($AT19,$CK$4:$CK$35,0),0))*((IF($BE21&lt;&gt;$BE19,$CL$3:$DQ$3=$AT21,0))+(IF($BE22&lt;&gt;$BE19,$CL$3:$DQ$3=$AT22,0))+(IF($BE20&lt;&gt;$BE19,$CL$3:$DQ$3=$AT20,0))))</f>
        <v>0</v>
      </c>
      <c r="BJ19" s="4" cm="1">
        <f t="array" aca="1" ref="BJ19" ca="1">SUMPRODUCT((OFFSET($DT$3:$EY$3,MATCH($AT19,$DS$4:$DS$35,0),0))*((IF($BE21&lt;&gt;$BE19,$DT$3:$EY$3=$AT21,0))+(IF($BE22&lt;&gt;$BE19,$DT$3:$EY$3=$AT22,0))+(IF($BE20&lt;&gt;$BE19,$DT$3:$EY$3=$AT20,0))))</f>
        <v>0</v>
      </c>
      <c r="BK19" s="4" cm="1">
        <f t="array" aca="1" ref="BK19" ca="1">SUMPRODUCT((OFFSET($FB$3:$GG$3,MATCH($AT19,$FA$4:$FA$35,0),0))*((IF($BE21&lt;&gt;$BE19,$FB$3:$GG$3=$AT21,0))+(IF($BE22&lt;&gt;$BE19,$FB$3:$GG$3=$AT22,0))+(IF($BE20&lt;&gt;$BE19,$FB$3:$GG$3=$AT20,0))))</f>
        <v>0</v>
      </c>
      <c r="BL19" s="4">
        <f t="shared" si="10"/>
        <v>0</v>
      </c>
      <c r="BM19" s="4">
        <f t="shared" si="11"/>
        <v>0</v>
      </c>
      <c r="BN19" s="4">
        <f ca="1">(BF19/10)+(BG19/100)+(BH19/1000)+(BJ19/10000)+(BK19/100000)+(BL19/1000000)+(BM19/10000000)+(ROW(BI22)/100000000)</f>
        <v>2.2000000000000001E-7</v>
      </c>
      <c r="BO19" s="4">
        <f ca="1">+BE19-BN19</f>
        <v>0.99999978</v>
      </c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K19" s="4" t="s">
        <v>26</v>
      </c>
      <c r="CL19" s="56">
        <f>SUMIFS(tblActuals[Team 2 Points],tblActuals[Team 2],$CK19,tblActuals[Team 1],CL$3)+SUMIFS(tblActuals[Team 1 Points],tblActuals[Team 1],$CK19,tblActuals[Team 2],CL$3)</f>
        <v>0</v>
      </c>
      <c r="CM19" s="56">
        <f>SUMIFS(tblActuals[Team 2 Points],tblActuals[Team 2],$CK19,tblActuals[Team 1],CM$3)+SUMIFS(tblActuals[Team 1 Points],tblActuals[Team 1],$CK19,tblActuals[Team 2],CM$3)</f>
        <v>0</v>
      </c>
      <c r="CN19" s="56">
        <f>SUMIFS(tblActuals[Team 2 Points],tblActuals[Team 2],$CK19,tblActuals[Team 1],CN$3)+SUMIFS(tblActuals[Team 1 Points],tblActuals[Team 1],$CK19,tblActuals[Team 2],CN$3)</f>
        <v>0</v>
      </c>
      <c r="CO19" s="56">
        <f>SUMIFS(tblActuals[Team 2 Points],tblActuals[Team 2],$CK19,tblActuals[Team 1],CO$3)+SUMIFS(tblActuals[Team 1 Points],tblActuals[Team 1],$CK19,tblActuals[Team 2],CO$3)</f>
        <v>0</v>
      </c>
      <c r="CP19" s="56">
        <f>SUMIFS(tblActuals[Team 2 Points],tblActuals[Team 2],$CK19,tblActuals[Team 1],CP$3)+SUMIFS(tblActuals[Team 1 Points],tblActuals[Team 1],$CK19,tblActuals[Team 2],CP$3)</f>
        <v>0</v>
      </c>
      <c r="CQ19" s="56">
        <f>SUMIFS(tblActuals[Team 2 Points],tblActuals[Team 2],$CK19,tblActuals[Team 1],CQ$3)+SUMIFS(tblActuals[Team 1 Points],tblActuals[Team 1],$CK19,tblActuals[Team 2],CQ$3)</f>
        <v>0</v>
      </c>
      <c r="CR19" s="56">
        <f>SUMIFS(tblActuals[Team 2 Points],tblActuals[Team 2],$CK19,tblActuals[Team 1],CR$3)+SUMIFS(tblActuals[Team 1 Points],tblActuals[Team 1],$CK19,tblActuals[Team 2],CR$3)</f>
        <v>0</v>
      </c>
      <c r="CS19" s="56">
        <f>SUMIFS(tblActuals[Team 2 Points],tblActuals[Team 2],$CK19,tblActuals[Team 1],CS$3)+SUMIFS(tblActuals[Team 1 Points],tblActuals[Team 1],$CK19,tblActuals[Team 2],CS$3)</f>
        <v>0</v>
      </c>
      <c r="CT19" s="56">
        <f>SUMIFS(tblActuals[Team 2 Points],tblActuals[Team 2],$CK19,tblActuals[Team 1],CT$3)+SUMIFS(tblActuals[Team 1 Points],tblActuals[Team 1],$CK19,tblActuals[Team 2],CT$3)</f>
        <v>0</v>
      </c>
      <c r="CU19" s="56">
        <f>SUMIFS(tblActuals[Team 2 Points],tblActuals[Team 2],$CK19,tblActuals[Team 1],CU$3)+SUMIFS(tblActuals[Team 1 Points],tblActuals[Team 1],$CK19,tblActuals[Team 2],CU$3)</f>
        <v>0</v>
      </c>
      <c r="CV19" s="56">
        <f>SUMIFS(tblActuals[Team 2 Points],tblActuals[Team 2],$CK19,tblActuals[Team 1],CV$3)+SUMIFS(tblActuals[Team 1 Points],tblActuals[Team 1],$CK19,tblActuals[Team 2],CV$3)</f>
        <v>0</v>
      </c>
      <c r="CW19" s="56">
        <f>SUMIFS(tblActuals[Team 2 Points],tblActuals[Team 2],$CK19,tblActuals[Team 1],CW$3)+SUMIFS(tblActuals[Team 1 Points],tblActuals[Team 1],$CK19,tblActuals[Team 2],CW$3)</f>
        <v>0</v>
      </c>
      <c r="CX19" s="56">
        <f>SUMIFS(tblActuals[Team 2 Points],tblActuals[Team 2],$CK19,tblActuals[Team 1],CX$3)+SUMIFS(tblActuals[Team 1 Points],tblActuals[Team 1],$CK19,tblActuals[Team 2],CX$3)</f>
        <v>0</v>
      </c>
      <c r="CY19" s="56">
        <f>SUMIFS(tblActuals[Team 2 Points],tblActuals[Team 2],$CK19,tblActuals[Team 1],CY$3)+SUMIFS(tblActuals[Team 1 Points],tblActuals[Team 1],$CK19,tblActuals[Team 2],CY$3)</f>
        <v>0</v>
      </c>
      <c r="CZ19" s="56">
        <f>SUMIFS(tblActuals[Team 2 Points],tblActuals[Team 2],$CK19,tblActuals[Team 1],CZ$3)+SUMIFS(tblActuals[Team 1 Points],tblActuals[Team 1],$CK19,tblActuals[Team 2],CZ$3)</f>
        <v>0</v>
      </c>
      <c r="DA19" s="56">
        <f>SUMIFS(tblActuals[Team 2 Points],tblActuals[Team 2],$CK19,tblActuals[Team 1],DA$3)+SUMIFS(tblActuals[Team 1 Points],tblActuals[Team 1],$CK19,tblActuals[Team 2],DA$3)</f>
        <v>0</v>
      </c>
      <c r="DB19" s="56">
        <f>SUMIFS(tblActuals[Team 2 Points],tblActuals[Team 2],$CK19,tblActuals[Team 1],DB$3)+SUMIFS(tblActuals[Team 1 Points],tblActuals[Team 1],$CK19,tblActuals[Team 2],DB$3)</f>
        <v>0</v>
      </c>
      <c r="DC19" s="56">
        <f>SUMIFS(tblActuals[Team 2 Points],tblActuals[Team 2],$CK19,tblActuals[Team 1],DC$3)+SUMIFS(tblActuals[Team 1 Points],tblActuals[Team 1],$CK19,tblActuals[Team 2],DC$3)</f>
        <v>0</v>
      </c>
      <c r="DD19" s="56">
        <f>SUMIFS(tblActuals[Team 2 Points],tblActuals[Team 2],$CK19,tblActuals[Team 1],DD$3)+SUMIFS(tblActuals[Team 1 Points],tblActuals[Team 1],$CK19,tblActuals[Team 2],DD$3)</f>
        <v>0</v>
      </c>
      <c r="DE19" s="56">
        <f>SUMIFS(tblActuals[Team 2 Points],tblActuals[Team 2],$CK19,tblActuals[Team 1],DE$3)+SUMIFS(tblActuals[Team 1 Points],tblActuals[Team 1],$CK19,tblActuals[Team 2],DE$3)</f>
        <v>0</v>
      </c>
      <c r="DF19" s="56">
        <f>SUMIFS(tblActuals[Team 2 Points],tblActuals[Team 2],$CK19,tblActuals[Team 1],DF$3)+SUMIFS(tblActuals[Team 1 Points],tblActuals[Team 1],$CK19,tblActuals[Team 2],DF$3)</f>
        <v>0</v>
      </c>
      <c r="DG19" s="56">
        <f>SUMIFS(tblActuals[Team 2 Points],tblActuals[Team 2],$CK19,tblActuals[Team 1],DG$3)+SUMIFS(tblActuals[Team 1 Points],tblActuals[Team 1],$CK19,tblActuals[Team 2],DG$3)</f>
        <v>0</v>
      </c>
      <c r="DH19" s="56">
        <f>SUMIFS(tblActuals[Team 2 Points],tblActuals[Team 2],$CK19,tblActuals[Team 1],DH$3)+SUMIFS(tblActuals[Team 1 Points],tblActuals[Team 1],$CK19,tblActuals[Team 2],DH$3)</f>
        <v>0</v>
      </c>
      <c r="DI19" s="56">
        <f>SUMIFS(tblActuals[Team 2 Points],tblActuals[Team 2],$CK19,tblActuals[Team 1],DI$3)+SUMIFS(tblActuals[Team 1 Points],tblActuals[Team 1],$CK19,tblActuals[Team 2],DI$3)</f>
        <v>0</v>
      </c>
      <c r="DJ19" s="57"/>
      <c r="DK19" s="57"/>
      <c r="DL19" s="57"/>
      <c r="DM19" s="57"/>
      <c r="DN19" s="57"/>
      <c r="DO19" s="57"/>
      <c r="DP19" s="57"/>
      <c r="DQ19" s="57"/>
      <c r="DR19" s="4"/>
      <c r="DS19" s="4" t="s">
        <v>26</v>
      </c>
      <c r="DT19" s="56">
        <f>SUMIFS(tblActuals[Team 2 GD],tblActuals[Team 2],$CK19,tblActuals[Team 1],DT$3)+SUMIFS(tblActuals[Team 1 GD],tblActuals[Team 1],$CK19,tblActuals[Team 2],DT$3)</f>
        <v>0</v>
      </c>
      <c r="DU19" s="56">
        <f>SUMIFS(tblActuals[Team 2 GD],tblActuals[Team 2],$CK19,tblActuals[Team 1],DU$3)+SUMIFS(tblActuals[Team 1 GD],tblActuals[Team 1],$CK19,tblActuals[Team 2],DU$3)</f>
        <v>0</v>
      </c>
      <c r="DV19" s="56">
        <f>SUMIFS(tblActuals[Team 2 GD],tblActuals[Team 2],$CK19,tblActuals[Team 1],DV$3)+SUMIFS(tblActuals[Team 1 GD],tblActuals[Team 1],$CK19,tblActuals[Team 2],DV$3)</f>
        <v>0</v>
      </c>
      <c r="DW19" s="56">
        <f>SUMIFS(tblActuals[Team 2 GD],tblActuals[Team 2],$CK19,tblActuals[Team 1],DW$3)+SUMIFS(tblActuals[Team 1 GD],tblActuals[Team 1],$CK19,tblActuals[Team 2],DW$3)</f>
        <v>0</v>
      </c>
      <c r="DX19" s="56">
        <f>SUMIFS(tblActuals[Team 2 GD],tblActuals[Team 2],$CK19,tblActuals[Team 1],DX$3)+SUMIFS(tblActuals[Team 1 GD],tblActuals[Team 1],$CK19,tblActuals[Team 2],DX$3)</f>
        <v>0</v>
      </c>
      <c r="DY19" s="56">
        <f>SUMIFS(tblActuals[Team 2 GD],tblActuals[Team 2],$CK19,tblActuals[Team 1],DY$3)+SUMIFS(tblActuals[Team 1 GD],tblActuals[Team 1],$CK19,tblActuals[Team 2],DY$3)</f>
        <v>0</v>
      </c>
      <c r="DZ19" s="56">
        <f>SUMIFS(tblActuals[Team 2 GD],tblActuals[Team 2],$CK19,tblActuals[Team 1],DZ$3)+SUMIFS(tblActuals[Team 1 GD],tblActuals[Team 1],$CK19,tblActuals[Team 2],DZ$3)</f>
        <v>0</v>
      </c>
      <c r="EA19" s="56">
        <f>SUMIFS(tblActuals[Team 2 GD],tblActuals[Team 2],$CK19,tblActuals[Team 1],EA$3)+SUMIFS(tblActuals[Team 1 GD],tblActuals[Team 1],$CK19,tblActuals[Team 2],EA$3)</f>
        <v>0</v>
      </c>
      <c r="EB19" s="56">
        <f>SUMIFS(tblActuals[Team 2 GD],tblActuals[Team 2],$CK19,tblActuals[Team 1],EB$3)+SUMIFS(tblActuals[Team 1 GD],tblActuals[Team 1],$CK19,tblActuals[Team 2],EB$3)</f>
        <v>0</v>
      </c>
      <c r="EC19" s="56">
        <f>SUMIFS(tblActuals[Team 2 GD],tblActuals[Team 2],$CK19,tblActuals[Team 1],EC$3)+SUMIFS(tblActuals[Team 1 GD],tblActuals[Team 1],$CK19,tblActuals[Team 2],EC$3)</f>
        <v>0</v>
      </c>
      <c r="ED19" s="56">
        <f>SUMIFS(tblActuals[Team 2 GD],tblActuals[Team 2],$CK19,tblActuals[Team 1],ED$3)+SUMIFS(tblActuals[Team 1 GD],tblActuals[Team 1],$CK19,tblActuals[Team 2],ED$3)</f>
        <v>0</v>
      </c>
      <c r="EE19" s="56">
        <f>SUMIFS(tblActuals[Team 2 GD],tblActuals[Team 2],$CK19,tblActuals[Team 1],EE$3)+SUMIFS(tblActuals[Team 1 GD],tblActuals[Team 1],$CK19,tblActuals[Team 2],EE$3)</f>
        <v>0</v>
      </c>
      <c r="EF19" s="56">
        <f>SUMIFS(tblActuals[Team 2 GD],tblActuals[Team 2],$CK19,tblActuals[Team 1],EF$3)+SUMIFS(tblActuals[Team 1 GD],tblActuals[Team 1],$CK19,tblActuals[Team 2],EF$3)</f>
        <v>0</v>
      </c>
      <c r="EG19" s="56">
        <f>SUMIFS(tblActuals[Team 2 GD],tblActuals[Team 2],$CK19,tblActuals[Team 1],EG$3)+SUMIFS(tblActuals[Team 1 GD],tblActuals[Team 1],$CK19,tblActuals[Team 2],EG$3)</f>
        <v>0</v>
      </c>
      <c r="EH19" s="56">
        <f>SUMIFS(tblActuals[Team 2 GD],tblActuals[Team 2],$CK19,tblActuals[Team 1],EH$3)+SUMIFS(tblActuals[Team 1 GD],tblActuals[Team 1],$CK19,tblActuals[Team 2],EH$3)</f>
        <v>0</v>
      </c>
      <c r="EI19" s="56">
        <f>SUMIFS(tblActuals[Team 2 GD],tblActuals[Team 2],$CK19,tblActuals[Team 1],EI$3)+SUMIFS(tblActuals[Team 1 GD],tblActuals[Team 1],$CK19,tblActuals[Team 2],EI$3)</f>
        <v>0</v>
      </c>
      <c r="EJ19" s="56">
        <f>SUMIFS(tblActuals[Team 2 GD],tblActuals[Team 2],$CK19,tblActuals[Team 1],EJ$3)+SUMIFS(tblActuals[Team 1 GD],tblActuals[Team 1],$CK19,tblActuals[Team 2],EJ$3)</f>
        <v>0</v>
      </c>
      <c r="EK19" s="56">
        <f>SUMIFS(tblActuals[Team 2 GD],tblActuals[Team 2],$CK19,tblActuals[Team 1],EK$3)+SUMIFS(tblActuals[Team 1 GD],tblActuals[Team 1],$CK19,tblActuals[Team 2],EK$3)</f>
        <v>0</v>
      </c>
      <c r="EL19" s="56">
        <f>SUMIFS(tblActuals[Team 2 GD],tblActuals[Team 2],$CK19,tblActuals[Team 1],EL$3)+SUMIFS(tblActuals[Team 1 GD],tblActuals[Team 1],$CK19,tblActuals[Team 2],EL$3)</f>
        <v>0</v>
      </c>
      <c r="EM19" s="56">
        <f>SUMIFS(tblActuals[Team 2 GD],tblActuals[Team 2],$CK19,tblActuals[Team 1],EM$3)+SUMIFS(tblActuals[Team 1 GD],tblActuals[Team 1],$CK19,tblActuals[Team 2],EM$3)</f>
        <v>0</v>
      </c>
      <c r="EN19" s="56">
        <f>SUMIFS(tblActuals[Team 2 GD],tblActuals[Team 2],$CK19,tblActuals[Team 1],EN$3)+SUMIFS(tblActuals[Team 1 GD],tblActuals[Team 1],$CK19,tblActuals[Team 2],EN$3)</f>
        <v>0</v>
      </c>
      <c r="EO19" s="56">
        <f>SUMIFS(tblActuals[Team 2 GD],tblActuals[Team 2],$CK19,tblActuals[Team 1],EO$3)+SUMIFS(tblActuals[Team 1 GD],tblActuals[Team 1],$CK19,tblActuals[Team 2],EO$3)</f>
        <v>0</v>
      </c>
      <c r="EP19" s="56">
        <f>SUMIFS(tblActuals[Team 2 GD],tblActuals[Team 2],$CK19,tblActuals[Team 1],EP$3)+SUMIFS(tblActuals[Team 1 GD],tblActuals[Team 1],$CK19,tblActuals[Team 2],EP$3)</f>
        <v>0</v>
      </c>
      <c r="EQ19" s="56">
        <f>SUMIFS(tblActuals[Team 2 GD],tblActuals[Team 2],$CK19,tblActuals[Team 1],EQ$3)+SUMIFS(tblActuals[Team 1 GD],tblActuals[Team 1],$CK19,tblActuals[Team 2],EQ$3)</f>
        <v>0</v>
      </c>
      <c r="ER19" s="57"/>
      <c r="ES19" s="57"/>
      <c r="ET19" s="57"/>
      <c r="EU19" s="57"/>
      <c r="EV19" s="57"/>
      <c r="EW19" s="57"/>
      <c r="EX19" s="57"/>
      <c r="EY19" s="57"/>
      <c r="EZ19" s="4"/>
      <c r="FA19" s="4" t="s">
        <v>26</v>
      </c>
      <c r="FB19" s="56">
        <f>SUMIFS(tblActuals[Team 2 Goals],tblActuals[Team 2],$CK19,tblActuals[Team 1],FB$3)+SUMIFS(tblActuals[Team 1 Goals],tblActuals[Team 1],$CK19,tblActuals[Team 2],FB$3)</f>
        <v>0</v>
      </c>
      <c r="FC19" s="56">
        <f>SUMIFS(tblActuals[Team 2 Goals],tblActuals[Team 2],$CK19,tblActuals[Team 1],FC$3)+SUMIFS(tblActuals[Team 1 Goals],tblActuals[Team 1],$CK19,tblActuals[Team 2],FC$3)</f>
        <v>0</v>
      </c>
      <c r="FD19" s="56">
        <f>SUMIFS(tblActuals[Team 2 Goals],tblActuals[Team 2],$CK19,tblActuals[Team 1],FD$3)+SUMIFS(tblActuals[Team 1 Goals],tblActuals[Team 1],$CK19,tblActuals[Team 2],FD$3)</f>
        <v>0</v>
      </c>
      <c r="FE19" s="56">
        <f>SUMIFS(tblActuals[Team 2 Goals],tblActuals[Team 2],$CK19,tblActuals[Team 1],FE$3)+SUMIFS(tblActuals[Team 1 Goals],tblActuals[Team 1],$CK19,tblActuals[Team 2],FE$3)</f>
        <v>0</v>
      </c>
      <c r="FF19" s="56">
        <f>SUMIFS(tblActuals[Team 2 Goals],tblActuals[Team 2],$CK19,tblActuals[Team 1],FF$3)+SUMIFS(tblActuals[Team 1 Goals],tblActuals[Team 1],$CK19,tblActuals[Team 2],FF$3)</f>
        <v>0</v>
      </c>
      <c r="FG19" s="56">
        <f>SUMIFS(tblActuals[Team 2 Goals],tblActuals[Team 2],$CK19,tblActuals[Team 1],FG$3)+SUMIFS(tblActuals[Team 1 Goals],tblActuals[Team 1],$CK19,tblActuals[Team 2],FG$3)</f>
        <v>0</v>
      </c>
      <c r="FH19" s="56">
        <f>SUMIFS(tblActuals[Team 2 Goals],tblActuals[Team 2],$CK19,tblActuals[Team 1],FH$3)+SUMIFS(tblActuals[Team 1 Goals],tblActuals[Team 1],$CK19,tblActuals[Team 2],FH$3)</f>
        <v>0</v>
      </c>
      <c r="FI19" s="56">
        <f>SUMIFS(tblActuals[Team 2 Goals],tblActuals[Team 2],$CK19,tblActuals[Team 1],FI$3)+SUMIFS(tblActuals[Team 1 Goals],tblActuals[Team 1],$CK19,tblActuals[Team 2],FI$3)</f>
        <v>0</v>
      </c>
      <c r="FJ19" s="56">
        <f>SUMIFS(tblActuals[Team 2 Goals],tblActuals[Team 2],$CK19,tblActuals[Team 1],FJ$3)+SUMIFS(tblActuals[Team 1 Goals],tblActuals[Team 1],$CK19,tblActuals[Team 2],FJ$3)</f>
        <v>0</v>
      </c>
      <c r="FK19" s="56">
        <f>SUMIFS(tblActuals[Team 2 Goals],tblActuals[Team 2],$CK19,tblActuals[Team 1],FK$3)+SUMIFS(tblActuals[Team 1 Goals],tblActuals[Team 1],$CK19,tblActuals[Team 2],FK$3)</f>
        <v>0</v>
      </c>
      <c r="FL19" s="56">
        <f>SUMIFS(tblActuals[Team 2 Goals],tblActuals[Team 2],$CK19,tblActuals[Team 1],FL$3)+SUMIFS(tblActuals[Team 1 Goals],tblActuals[Team 1],$CK19,tblActuals[Team 2],FL$3)</f>
        <v>0</v>
      </c>
      <c r="FM19" s="56">
        <f>SUMIFS(tblActuals[Team 2 Goals],tblActuals[Team 2],$CK19,tblActuals[Team 1],FM$3)+SUMIFS(tblActuals[Team 1 Goals],tblActuals[Team 1],$CK19,tblActuals[Team 2],FM$3)</f>
        <v>0</v>
      </c>
      <c r="FN19" s="56">
        <f>SUMIFS(tblActuals[Team 2 Goals],tblActuals[Team 2],$CK19,tblActuals[Team 1],FN$3)+SUMIFS(tblActuals[Team 1 Goals],tblActuals[Team 1],$CK19,tblActuals[Team 2],FN$3)</f>
        <v>0</v>
      </c>
      <c r="FO19" s="56">
        <f>SUMIFS(tblActuals[Team 2 Goals],tblActuals[Team 2],$CK19,tblActuals[Team 1],FO$3)+SUMIFS(tblActuals[Team 1 Goals],tblActuals[Team 1],$CK19,tblActuals[Team 2],FO$3)</f>
        <v>0</v>
      </c>
      <c r="FP19" s="56">
        <f>SUMIFS(tblActuals[Team 2 Goals],tblActuals[Team 2],$CK19,tblActuals[Team 1],FP$3)+SUMIFS(tblActuals[Team 1 Goals],tblActuals[Team 1],$CK19,tblActuals[Team 2],FP$3)</f>
        <v>0</v>
      </c>
      <c r="FQ19" s="56">
        <f>SUMIFS(tblActuals[Team 2 Goals],tblActuals[Team 2],$CK19,tblActuals[Team 1],FQ$3)+SUMIFS(tblActuals[Team 1 Goals],tblActuals[Team 1],$CK19,tblActuals[Team 2],FQ$3)</f>
        <v>0</v>
      </c>
      <c r="FR19" s="56">
        <f>SUMIFS(tblActuals[Team 2 Goals],tblActuals[Team 2],$CK19,tblActuals[Team 1],FR$3)+SUMIFS(tblActuals[Team 1 Goals],tblActuals[Team 1],$CK19,tblActuals[Team 2],FR$3)</f>
        <v>0</v>
      </c>
      <c r="FS19" s="56">
        <f>SUMIFS(tblActuals[Team 2 Goals],tblActuals[Team 2],$CK19,tblActuals[Team 1],FS$3)+SUMIFS(tblActuals[Team 1 Goals],tblActuals[Team 1],$CK19,tblActuals[Team 2],FS$3)</f>
        <v>0</v>
      </c>
      <c r="FT19" s="56">
        <f>SUMIFS(tblActuals[Team 2 Goals],tblActuals[Team 2],$CK19,tblActuals[Team 1],FT$3)+SUMIFS(tblActuals[Team 1 Goals],tblActuals[Team 1],$CK19,tblActuals[Team 2],FT$3)</f>
        <v>0</v>
      </c>
      <c r="FU19" s="56">
        <f>SUMIFS(tblActuals[Team 2 Goals],tblActuals[Team 2],$CK19,tblActuals[Team 1],FU$3)+SUMIFS(tblActuals[Team 1 Goals],tblActuals[Team 1],$CK19,tblActuals[Team 2],FU$3)</f>
        <v>0</v>
      </c>
      <c r="FV19" s="56">
        <f>SUMIFS(tblActuals[Team 2 Goals],tblActuals[Team 2],$CK19,tblActuals[Team 1],FV$3)+SUMIFS(tblActuals[Team 1 Goals],tblActuals[Team 1],$CK19,tblActuals[Team 2],FV$3)</f>
        <v>0</v>
      </c>
      <c r="FW19" s="56">
        <f>SUMIFS(tblActuals[Team 2 Goals],tblActuals[Team 2],$CK19,tblActuals[Team 1],FW$3)+SUMIFS(tblActuals[Team 1 Goals],tblActuals[Team 1],$CK19,tblActuals[Team 2],FW$3)</f>
        <v>0</v>
      </c>
      <c r="FX19" s="56">
        <f>SUMIFS(tblActuals[Team 2 Goals],tblActuals[Team 2],$CK19,tblActuals[Team 1],FX$3)+SUMIFS(tblActuals[Team 1 Goals],tblActuals[Team 1],$CK19,tblActuals[Team 2],FX$3)</f>
        <v>0</v>
      </c>
      <c r="FY19" s="56">
        <f>SUMIFS(tblActuals[Team 2 Goals],tblActuals[Team 2],$CK19,tblActuals[Team 1],FY$3)+SUMIFS(tblActuals[Team 1 Goals],tblActuals[Team 1],$CK19,tblActuals[Team 2],FY$3)</f>
        <v>0</v>
      </c>
      <c r="FZ19" s="57"/>
      <c r="GA19" s="57"/>
      <c r="GB19" s="37"/>
      <c r="GC19" s="37"/>
      <c r="GD19" s="37"/>
      <c r="GE19" s="37"/>
      <c r="GF19" s="37"/>
      <c r="GG19" s="37"/>
      <c r="GH19" s="75"/>
      <c r="GI19" s="156"/>
      <c r="GJ19" s="156"/>
      <c r="GK19" s="75"/>
      <c r="GL19" s="75"/>
      <c r="GM19" s="75"/>
      <c r="GN19" s="75"/>
      <c r="GO19" s="75"/>
      <c r="GP19" s="75"/>
      <c r="GR19" s="4" t="str">
        <f t="shared" si="12"/>
        <v>CDEF</v>
      </c>
      <c r="GS19" s="45"/>
      <c r="GT19" s="45"/>
      <c r="GU19" s="44" t="s">
        <v>6</v>
      </c>
      <c r="GV19" s="44" t="s">
        <v>7</v>
      </c>
      <c r="GW19" s="44" t="s">
        <v>12</v>
      </c>
      <c r="GX19" s="44" t="s">
        <v>45</v>
      </c>
      <c r="GY19" s="178"/>
      <c r="GZ19" s="45" t="s">
        <v>154</v>
      </c>
      <c r="HA19" s="45" t="s">
        <v>153</v>
      </c>
      <c r="HB19" s="45" t="s">
        <v>150</v>
      </c>
      <c r="HC19" s="45" t="s">
        <v>152</v>
      </c>
    </row>
    <row r="20" spans="1:211" s="11" customFormat="1" ht="30" customHeight="1" x14ac:dyDescent="0.25">
      <c r="A20" s="20"/>
      <c r="B20" s="122">
        <v>17</v>
      </c>
      <c r="C20" s="122" t="s">
        <v>6</v>
      </c>
      <c r="D20" s="123">
        <v>45463</v>
      </c>
      <c r="E20" s="122" t="s">
        <v>86</v>
      </c>
      <c r="F20" s="124">
        <v>0.75</v>
      </c>
      <c r="G20" s="125">
        <f t="shared" si="8"/>
        <v>45463.5</v>
      </c>
      <c r="H20" s="122" t="s">
        <v>105</v>
      </c>
      <c r="I20" s="126"/>
      <c r="J20" s="118"/>
      <c r="K20" s="118"/>
      <c r="L20" s="119" t="str">
        <f>IF(tblActuals[[#This Row],[SCORE]]="","",IF(Q20=R20,"Draw",IF(Q20&gt;R20,M20,N20)))</f>
        <v/>
      </c>
      <c r="M20" s="120" t="str">
        <f>IF(tblActuals[[#This Row],[TEAMS]]="","",LEFT(H20,FIND(" -",H20,1)-1))</f>
        <v>Denmark</v>
      </c>
      <c r="N20" s="120" t="str">
        <f>IF(tblActuals[[#This Row],[TEAMS]]="","",MID(H20,FIND("-",H20,1)+2,LEN(H20)-FIND("-",H20,1)+2))</f>
        <v>England</v>
      </c>
      <c r="O20" s="120" t="str">
        <f>IF(tblActuals[[#This Row],[Team 1 Goals]]&gt;tblActuals[[#This Row],[Team 2 Goals]],tblActuals[[#This Row],[Team 1]],IF(tblActuals[[#This Row],[Team 2 Goals]]&gt;tblActuals[[#This Row],[Team 1 Goals]],tblActuals[[#This Row],[Team 2]],""))</f>
        <v/>
      </c>
      <c r="P20" s="120" t="str">
        <f>IF(tblActuals[[#This Row],[Winner]]=tblActuals[[#This Row],[Team 1]],tblActuals[[#This Row],[Team 2]],IF(tblActuals[[#This Row],[Winner]]=tblActuals[[#This Row],[Team 2]],tblActuals[[#This Row],[Team 1]],""))</f>
        <v/>
      </c>
      <c r="Q20" s="120" t="str">
        <f>IF(tblActuals[[#This Row],[SCORE]]="","",LEFT(I20,FIND(":",I20,1)-1)*1)</f>
        <v/>
      </c>
      <c r="R20" s="120" t="str">
        <f>IF(tblActuals[[#This Row],[SCORE]]="","",MID(I20,FIND(":",I20,1)+1,LEN(I20)-FIND(":",I20,1)+1)*1)</f>
        <v/>
      </c>
      <c r="S20" s="120" t="str">
        <f>IF(OR(tblActuals[[#This Row],[Team 1 Goals]]="",tblActuals[[#This Row],[Team 2 Goals]]=""),"",tblActuals[[#This Row],[Team 1 Goals]]-tblActuals[[#This Row],[Team 2 Goals]])</f>
        <v/>
      </c>
      <c r="T20" s="120" t="str">
        <f>IF(OR(tblActuals[[#This Row],[Team 1 Goals]]="",tblActuals[[#This Row],[Team 2 Goals]]=""),"",tblActuals[[#This Row],[Team 2 Goals]]-tblActuals[[#This Row],[Team 1 Goals]])</f>
        <v/>
      </c>
      <c r="U20" s="120" t="str">
        <f>IF(tblActuals[[#This Row],[SCORE]]="","",IF(tblActuals[[#This Row],[WINNER / RESULT]]="Draw",1,IF(tblActuals[[#This Row],[WINNER / RESULT]]=tblActuals[[#This Row],[Team 1]],3,0)))</f>
        <v/>
      </c>
      <c r="V20" s="120" t="str">
        <f>IF(tblActuals[[#This Row],[SCORE]]="","",IF(tblActuals[[#This Row],[WINNER / RESULT]]="Draw",1,IF(tblActuals[[#This Row],[WINNER / RESULT]]=tblActuals[[#This Row],[Team 2]],3,0)))</f>
        <v/>
      </c>
      <c r="W20" s="121"/>
      <c r="X20" s="121"/>
      <c r="Y20" s="121"/>
      <c r="Z20" s="121"/>
      <c r="AA20" s="120" t="e">
        <f>tblActuals[[#This Row],[Team 1 Goals]]+tblActuals[[#This Row],[Team 1 ET Goals]]&amp;":"&amp;tblActuals[[#This Row],[Team 2 Goals]]+tblActuals[[#This Row],[Team 2 ET Goals]]</f>
        <v>#VALUE!</v>
      </c>
      <c r="AB20" s="120" t="e">
        <f>+tblActuals[[#This Row],[Team 1 Goals]]+tblActuals[[#This Row],[Team 2 Goals]]</f>
        <v>#VALUE!</v>
      </c>
      <c r="AC20" s="165">
        <f t="shared" si="0"/>
        <v>45463</v>
      </c>
      <c r="AD20" s="166">
        <f t="shared" si="9"/>
        <v>19</v>
      </c>
      <c r="AJ20" s="77" t="s">
        <v>6</v>
      </c>
      <c r="AK20" s="142">
        <v>3</v>
      </c>
      <c r="AL20" s="143" t="str">
        <f ca="1">IFERROR(INDEX(AT:AT,MATCH("3"&amp;AJ20,BD:BD,0),1),"")</f>
        <v>Serbia</v>
      </c>
      <c r="AM20" s="143" t="str">
        <f ca="1">IF(AL20="","",VLOOKUP(AL20,AT:AY,2,FALSE)&amp;"-"&amp;VLOOKUP(AL20,AT:AY,3,FALSE)&amp;"-"&amp;VLOOKUP(AL20,AT:AY,4,FALSE))</f>
        <v>0-0-0</v>
      </c>
      <c r="AN20" s="143">
        <f ca="1">IF(AL20="","",VLOOKUP(AL20,AT:BA,8,FALSE))</f>
        <v>0</v>
      </c>
      <c r="AO20" s="144">
        <f ca="1">IF(AL20="","",VLOOKUP(AL20,AT:BD,5,FALSE))</f>
        <v>0</v>
      </c>
      <c r="AP20" s="75" t="str">
        <f ca="1">IF(INDEX($AK$43:$AK$48,MATCH(AL20,$AL$43:$AL$48,0),1)&lt;=4,"X","")</f>
        <v>X</v>
      </c>
      <c r="AQ20" s="4"/>
      <c r="AR20" s="4"/>
      <c r="AS20" s="4" t="s">
        <v>7</v>
      </c>
      <c r="AT20" s="4" t="s">
        <v>26</v>
      </c>
      <c r="AU20" s="4">
        <f>COUNTIF(tblActuals[Winner],AT20)</f>
        <v>0</v>
      </c>
      <c r="AV20" s="4">
        <f>COUNTIFS(tblActuals[Team 2],AT20,tblActuals[WINNER / RESULT],"Draw")+COUNTIFS(tblActuals[Team 1],AT20,tblActuals[WINNER / RESULT],"Draw")</f>
        <v>0</v>
      </c>
      <c r="AW20" s="4">
        <f>COUNTIF(tblActuals[Loser],AT20)</f>
        <v>0</v>
      </c>
      <c r="AX20" s="4">
        <f>AV20+(3*AU20)</f>
        <v>0</v>
      </c>
      <c r="AY20" s="4">
        <f>SUMIFS(tblActuals[Team 1 Goals],tblActuals[Team 1],AT20)+SUMIFS(tblActuals[Team 2 Goals],tblActuals[Team 2],AT20)</f>
        <v>0</v>
      </c>
      <c r="AZ20" s="4">
        <f>SUMIFS(tblActuals[Team 2 Goals],tblActuals[Team 1],AT20)+SUMIFS(tblActuals[Team 1 Goals],tblActuals[Team 2],AT20)</f>
        <v>0</v>
      </c>
      <c r="BA20" s="4">
        <f>AY20-AZ20</f>
        <v>0</v>
      </c>
      <c r="BB20" s="4">
        <f ca="1">RANK(BO20,$BO$19:$BO$22,1)</f>
        <v>2</v>
      </c>
      <c r="BC20" s="4" t="str">
        <f t="shared" si="1"/>
        <v/>
      </c>
      <c r="BD20" s="4" t="str">
        <f ca="1">IF(BC20="",BB20&amp;AS20,BC20&amp;AS20)</f>
        <v>2D</v>
      </c>
      <c r="BE20" s="4">
        <f>RANK(AX20,$AX$19:$AX$22,0)</f>
        <v>1</v>
      </c>
      <c r="BF20" s="4" cm="1">
        <f t="array" aca="1" ref="BF20" ca="1">SUMPRODUCT((OFFSET($CL$3:$DQ$3,MATCH($AT20,$CK$4:$CK$35,0),0))*((IF($BE21=$BE20,$CL$3:$DQ$3=$AT21,0))+(IF($BE22=$BE20,$CL$3:$DQ$3=$AT22,0))+(IF($BE19=$BE20,$CL$3:$DQ$3=$AT19,0))))</f>
        <v>0</v>
      </c>
      <c r="BG20" s="4" cm="1">
        <f t="array" aca="1" ref="BG20" ca="1">SUMPRODUCT((OFFSET($DT$3:$EY$3,MATCH($AT20,$DS$4:$DS$35,0),0))*((IF($BE21=$BE20,$DT$3:$EY$3=$AT21,0))+(IF($BE22=$BE20,$DT$3:$EY$3=$AT22,0))+(IF($BE19=$BE20,$DT$3:$EY$3=$AT19,0))))</f>
        <v>0</v>
      </c>
      <c r="BH20" s="4" cm="1">
        <f t="array" aca="1" ref="BH20" ca="1">SUMPRODUCT((OFFSET($FB$3:$GG$3,MATCH($AT20,$FA$4:$FA$35,0),0))*((IF($BE21=$BE20,$FB$3:$GG$3=$AT21,0))+(IF($BE22=$BE20,$FB$3:$GG$3=$AT22,0))+(IF($BE19=$BE20,$FB$3:$GG$3=$AT19,0))))</f>
        <v>0</v>
      </c>
      <c r="BI20" s="4" cm="1">
        <f t="array" aca="1" ref="BI20" ca="1">SUMPRODUCT((OFFSET($CL$3:$DQ$3,MATCH($AT20,$CK$4:$CK$35,0),0))*((IF($BE21&lt;&gt;$BE20,$CL$3:$DQ$3=$AT21,0))+(IF($BE22&lt;&gt;$BE20,$CL$3:$DQ$3=$AT22,0))+(IF($BE19&lt;&gt;$BE20,$CL$3:$DQ$3=$AT19,0))))</f>
        <v>0</v>
      </c>
      <c r="BJ20" s="4" cm="1">
        <f t="array" aca="1" ref="BJ20" ca="1">SUMPRODUCT((OFFSET($DT$3:$EY$3,MATCH($AT20,$DS$4:$DS$35,0),0))*((IF($BE21&lt;&gt;$BE20,$DT$3:$EY$3=$AT21,0))+(IF($BE22&lt;&gt;$BE20,$DT$3:$EY$3=$AT22,0))+(IF($BE19&lt;&gt;$BE20,$DT$3:$EY$3=$AT19,0))))</f>
        <v>0</v>
      </c>
      <c r="BK20" s="4" cm="1">
        <f t="array" aca="1" ref="BK20" ca="1">SUMPRODUCT((OFFSET($FB$3:$GG$3,MATCH($AT20,$FA$4:$FA$35,0),0))*((IF($BE21&lt;&gt;$BE20,$FB$3:$GG$3=$AT21,0))+(IF($BE22&lt;&gt;$BE20,$FB$3:$GG$3=$AT22,0))+(IF($BE19&lt;&gt;$BE20,$FB$3:$GG$3=$AT19,0))))</f>
        <v>0</v>
      </c>
      <c r="BL20" s="4">
        <f t="shared" si="10"/>
        <v>0</v>
      </c>
      <c r="BM20" s="4">
        <f t="shared" si="11"/>
        <v>0</v>
      </c>
      <c r="BN20" s="4">
        <f ca="1">(BF20/10)+(BG20/100)+(BH20/1000)+(BJ20/10000)+(BK20/100000)+(BL20/1000000)+(BM20/10000000)+(ROW(BI21)/100000000)</f>
        <v>2.1E-7</v>
      </c>
      <c r="BO20" s="4">
        <f ca="1">+BE20-BN20</f>
        <v>0.99999979000000006</v>
      </c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K20" s="4" t="s">
        <v>29</v>
      </c>
      <c r="CL20" s="56">
        <f>SUMIFS(tblActuals[Team 2 Points],tblActuals[Team 2],$CK20,tblActuals[Team 1],CL$3)+SUMIFS(tblActuals[Team 1 Points],tblActuals[Team 1],$CK20,tblActuals[Team 2],CL$3)</f>
        <v>0</v>
      </c>
      <c r="CM20" s="56">
        <f>SUMIFS(tblActuals[Team 2 Points],tblActuals[Team 2],$CK20,tblActuals[Team 1],CM$3)+SUMIFS(tblActuals[Team 1 Points],tblActuals[Team 1],$CK20,tblActuals[Team 2],CM$3)</f>
        <v>0</v>
      </c>
      <c r="CN20" s="56">
        <f>SUMIFS(tblActuals[Team 2 Points],tblActuals[Team 2],$CK20,tblActuals[Team 1],CN$3)+SUMIFS(tblActuals[Team 1 Points],tblActuals[Team 1],$CK20,tblActuals[Team 2],CN$3)</f>
        <v>0</v>
      </c>
      <c r="CO20" s="56">
        <f>SUMIFS(tblActuals[Team 2 Points],tblActuals[Team 2],$CK20,tblActuals[Team 1],CO$3)+SUMIFS(tblActuals[Team 1 Points],tblActuals[Team 1],$CK20,tblActuals[Team 2],CO$3)</f>
        <v>0</v>
      </c>
      <c r="CP20" s="56">
        <f>SUMIFS(tblActuals[Team 2 Points],tblActuals[Team 2],$CK20,tblActuals[Team 1],CP$3)+SUMIFS(tblActuals[Team 1 Points],tblActuals[Team 1],$CK20,tblActuals[Team 2],CP$3)</f>
        <v>0</v>
      </c>
      <c r="CQ20" s="56">
        <f>SUMIFS(tblActuals[Team 2 Points],tblActuals[Team 2],$CK20,tblActuals[Team 1],CQ$3)+SUMIFS(tblActuals[Team 1 Points],tblActuals[Team 1],$CK20,tblActuals[Team 2],CQ$3)</f>
        <v>0</v>
      </c>
      <c r="CR20" s="56">
        <f>SUMIFS(tblActuals[Team 2 Points],tblActuals[Team 2],$CK20,tblActuals[Team 1],CR$3)+SUMIFS(tblActuals[Team 1 Points],tblActuals[Team 1],$CK20,tblActuals[Team 2],CR$3)</f>
        <v>0</v>
      </c>
      <c r="CS20" s="56">
        <f>SUMIFS(tblActuals[Team 2 Points],tblActuals[Team 2],$CK20,tblActuals[Team 1],CS$3)+SUMIFS(tblActuals[Team 1 Points],tblActuals[Team 1],$CK20,tblActuals[Team 2],CS$3)</f>
        <v>0</v>
      </c>
      <c r="CT20" s="56">
        <f>SUMIFS(tblActuals[Team 2 Points],tblActuals[Team 2],$CK20,tblActuals[Team 1],CT$3)+SUMIFS(tblActuals[Team 1 Points],tblActuals[Team 1],$CK20,tblActuals[Team 2],CT$3)</f>
        <v>0</v>
      </c>
      <c r="CU20" s="56">
        <f>SUMIFS(tblActuals[Team 2 Points],tblActuals[Team 2],$CK20,tblActuals[Team 1],CU$3)+SUMIFS(tblActuals[Team 1 Points],tblActuals[Team 1],$CK20,tblActuals[Team 2],CU$3)</f>
        <v>0</v>
      </c>
      <c r="CV20" s="56">
        <f>SUMIFS(tblActuals[Team 2 Points],tblActuals[Team 2],$CK20,tblActuals[Team 1],CV$3)+SUMIFS(tblActuals[Team 1 Points],tblActuals[Team 1],$CK20,tblActuals[Team 2],CV$3)</f>
        <v>0</v>
      </c>
      <c r="CW20" s="56">
        <f>SUMIFS(tblActuals[Team 2 Points],tblActuals[Team 2],$CK20,tblActuals[Team 1],CW$3)+SUMIFS(tblActuals[Team 1 Points],tblActuals[Team 1],$CK20,tblActuals[Team 2],CW$3)</f>
        <v>0</v>
      </c>
      <c r="CX20" s="56">
        <f>SUMIFS(tblActuals[Team 2 Points],tblActuals[Team 2],$CK20,tblActuals[Team 1],CX$3)+SUMIFS(tblActuals[Team 1 Points],tblActuals[Team 1],$CK20,tblActuals[Team 2],CX$3)</f>
        <v>0</v>
      </c>
      <c r="CY20" s="56">
        <f>SUMIFS(tblActuals[Team 2 Points],tblActuals[Team 2],$CK20,tblActuals[Team 1],CY$3)+SUMIFS(tblActuals[Team 1 Points],tblActuals[Team 1],$CK20,tblActuals[Team 2],CY$3)</f>
        <v>0</v>
      </c>
      <c r="CZ20" s="56">
        <f>SUMIFS(tblActuals[Team 2 Points],tblActuals[Team 2],$CK20,tblActuals[Team 1],CZ$3)+SUMIFS(tblActuals[Team 1 Points],tblActuals[Team 1],$CK20,tblActuals[Team 2],CZ$3)</f>
        <v>0</v>
      </c>
      <c r="DA20" s="56">
        <f>SUMIFS(tblActuals[Team 2 Points],tblActuals[Team 2],$CK20,tblActuals[Team 1],DA$3)+SUMIFS(tblActuals[Team 1 Points],tblActuals[Team 1],$CK20,tblActuals[Team 2],DA$3)</f>
        <v>0</v>
      </c>
      <c r="DB20" s="56">
        <f>SUMIFS(tblActuals[Team 2 Points],tblActuals[Team 2],$CK20,tblActuals[Team 1],DB$3)+SUMIFS(tblActuals[Team 1 Points],tblActuals[Team 1],$CK20,tblActuals[Team 2],DB$3)</f>
        <v>0</v>
      </c>
      <c r="DC20" s="56">
        <f>SUMIFS(tblActuals[Team 2 Points],tblActuals[Team 2],$CK20,tblActuals[Team 1],DC$3)+SUMIFS(tblActuals[Team 1 Points],tblActuals[Team 1],$CK20,tblActuals[Team 2],DC$3)</f>
        <v>0</v>
      </c>
      <c r="DD20" s="56">
        <f>SUMIFS(tblActuals[Team 2 Points],tblActuals[Team 2],$CK20,tblActuals[Team 1],DD$3)+SUMIFS(tblActuals[Team 1 Points],tblActuals[Team 1],$CK20,tblActuals[Team 2],DD$3)</f>
        <v>0</v>
      </c>
      <c r="DE20" s="56">
        <f>SUMIFS(tblActuals[Team 2 Points],tblActuals[Team 2],$CK20,tblActuals[Team 1],DE$3)+SUMIFS(tblActuals[Team 1 Points],tblActuals[Team 1],$CK20,tblActuals[Team 2],DE$3)</f>
        <v>0</v>
      </c>
      <c r="DF20" s="56">
        <f>SUMIFS(tblActuals[Team 2 Points],tblActuals[Team 2],$CK20,tblActuals[Team 1],DF$3)+SUMIFS(tblActuals[Team 1 Points],tblActuals[Team 1],$CK20,tblActuals[Team 2],DF$3)</f>
        <v>0</v>
      </c>
      <c r="DG20" s="56">
        <f>SUMIFS(tblActuals[Team 2 Points],tblActuals[Team 2],$CK20,tblActuals[Team 1],DG$3)+SUMIFS(tblActuals[Team 1 Points],tblActuals[Team 1],$CK20,tblActuals[Team 2],DG$3)</f>
        <v>0</v>
      </c>
      <c r="DH20" s="56">
        <f>SUMIFS(tblActuals[Team 2 Points],tblActuals[Team 2],$CK20,tblActuals[Team 1],DH$3)+SUMIFS(tblActuals[Team 1 Points],tblActuals[Team 1],$CK20,tblActuals[Team 2],DH$3)</f>
        <v>0</v>
      </c>
      <c r="DI20" s="56">
        <f>SUMIFS(tblActuals[Team 2 Points],tblActuals[Team 2],$CK20,tblActuals[Team 1],DI$3)+SUMIFS(tblActuals[Team 1 Points],tblActuals[Team 1],$CK20,tblActuals[Team 2],DI$3)</f>
        <v>0</v>
      </c>
      <c r="DJ20" s="57"/>
      <c r="DK20" s="57"/>
      <c r="DL20" s="57"/>
      <c r="DM20" s="57"/>
      <c r="DN20" s="57"/>
      <c r="DO20" s="57"/>
      <c r="DP20" s="57"/>
      <c r="DQ20" s="57"/>
      <c r="DR20" s="4"/>
      <c r="DS20" s="4" t="s">
        <v>29</v>
      </c>
      <c r="DT20" s="56">
        <f>SUMIFS(tblActuals[Team 2 GD],tblActuals[Team 2],$CK20,tblActuals[Team 1],DT$3)+SUMIFS(tblActuals[Team 1 GD],tblActuals[Team 1],$CK20,tblActuals[Team 2],DT$3)</f>
        <v>0</v>
      </c>
      <c r="DU20" s="56">
        <f>SUMIFS(tblActuals[Team 2 GD],tblActuals[Team 2],$CK20,tblActuals[Team 1],DU$3)+SUMIFS(tblActuals[Team 1 GD],tblActuals[Team 1],$CK20,tblActuals[Team 2],DU$3)</f>
        <v>0</v>
      </c>
      <c r="DV20" s="56">
        <f>SUMIFS(tblActuals[Team 2 GD],tblActuals[Team 2],$CK20,tblActuals[Team 1],DV$3)+SUMIFS(tblActuals[Team 1 GD],tblActuals[Team 1],$CK20,tblActuals[Team 2],DV$3)</f>
        <v>0</v>
      </c>
      <c r="DW20" s="56">
        <f>SUMIFS(tblActuals[Team 2 GD],tblActuals[Team 2],$CK20,tblActuals[Team 1],DW$3)+SUMIFS(tblActuals[Team 1 GD],tblActuals[Team 1],$CK20,tblActuals[Team 2],DW$3)</f>
        <v>0</v>
      </c>
      <c r="DX20" s="56">
        <f>SUMIFS(tblActuals[Team 2 GD],tblActuals[Team 2],$CK20,tblActuals[Team 1],DX$3)+SUMIFS(tblActuals[Team 1 GD],tblActuals[Team 1],$CK20,tblActuals[Team 2],DX$3)</f>
        <v>0</v>
      </c>
      <c r="DY20" s="56">
        <f>SUMIFS(tblActuals[Team 2 GD],tblActuals[Team 2],$CK20,tblActuals[Team 1],DY$3)+SUMIFS(tblActuals[Team 1 GD],tblActuals[Team 1],$CK20,tblActuals[Team 2],DY$3)</f>
        <v>0</v>
      </c>
      <c r="DZ20" s="56">
        <f>SUMIFS(tblActuals[Team 2 GD],tblActuals[Team 2],$CK20,tblActuals[Team 1],DZ$3)+SUMIFS(tblActuals[Team 1 GD],tblActuals[Team 1],$CK20,tblActuals[Team 2],DZ$3)</f>
        <v>0</v>
      </c>
      <c r="EA20" s="56">
        <f>SUMIFS(tblActuals[Team 2 GD],tblActuals[Team 2],$CK20,tblActuals[Team 1],EA$3)+SUMIFS(tblActuals[Team 1 GD],tblActuals[Team 1],$CK20,tblActuals[Team 2],EA$3)</f>
        <v>0</v>
      </c>
      <c r="EB20" s="56">
        <f>SUMIFS(tblActuals[Team 2 GD],tblActuals[Team 2],$CK20,tblActuals[Team 1],EB$3)+SUMIFS(tblActuals[Team 1 GD],tblActuals[Team 1],$CK20,tblActuals[Team 2],EB$3)</f>
        <v>0</v>
      </c>
      <c r="EC20" s="56">
        <f>SUMIFS(tblActuals[Team 2 GD],tblActuals[Team 2],$CK20,tblActuals[Team 1],EC$3)+SUMIFS(tblActuals[Team 1 GD],tblActuals[Team 1],$CK20,tblActuals[Team 2],EC$3)</f>
        <v>0</v>
      </c>
      <c r="ED20" s="56">
        <f>SUMIFS(tblActuals[Team 2 GD],tblActuals[Team 2],$CK20,tblActuals[Team 1],ED$3)+SUMIFS(tblActuals[Team 1 GD],tblActuals[Team 1],$CK20,tblActuals[Team 2],ED$3)</f>
        <v>0</v>
      </c>
      <c r="EE20" s="56">
        <f>SUMIFS(tblActuals[Team 2 GD],tblActuals[Team 2],$CK20,tblActuals[Team 1],EE$3)+SUMIFS(tblActuals[Team 1 GD],tblActuals[Team 1],$CK20,tblActuals[Team 2],EE$3)</f>
        <v>0</v>
      </c>
      <c r="EF20" s="56">
        <f>SUMIFS(tblActuals[Team 2 GD],tblActuals[Team 2],$CK20,tblActuals[Team 1],EF$3)+SUMIFS(tblActuals[Team 1 GD],tblActuals[Team 1],$CK20,tblActuals[Team 2],EF$3)</f>
        <v>0</v>
      </c>
      <c r="EG20" s="56">
        <f>SUMIFS(tblActuals[Team 2 GD],tblActuals[Team 2],$CK20,tblActuals[Team 1],EG$3)+SUMIFS(tblActuals[Team 1 GD],tblActuals[Team 1],$CK20,tblActuals[Team 2],EG$3)</f>
        <v>0</v>
      </c>
      <c r="EH20" s="56">
        <f>SUMIFS(tblActuals[Team 2 GD],tblActuals[Team 2],$CK20,tblActuals[Team 1],EH$3)+SUMIFS(tblActuals[Team 1 GD],tblActuals[Team 1],$CK20,tblActuals[Team 2],EH$3)</f>
        <v>0</v>
      </c>
      <c r="EI20" s="56">
        <f>SUMIFS(tblActuals[Team 2 GD],tblActuals[Team 2],$CK20,tblActuals[Team 1],EI$3)+SUMIFS(tblActuals[Team 1 GD],tblActuals[Team 1],$CK20,tblActuals[Team 2],EI$3)</f>
        <v>0</v>
      </c>
      <c r="EJ20" s="56">
        <f>SUMIFS(tblActuals[Team 2 GD],tblActuals[Team 2],$CK20,tblActuals[Team 1],EJ$3)+SUMIFS(tblActuals[Team 1 GD],tblActuals[Team 1],$CK20,tblActuals[Team 2],EJ$3)</f>
        <v>0</v>
      </c>
      <c r="EK20" s="56">
        <f>SUMIFS(tblActuals[Team 2 GD],tblActuals[Team 2],$CK20,tblActuals[Team 1],EK$3)+SUMIFS(tblActuals[Team 1 GD],tblActuals[Team 1],$CK20,tblActuals[Team 2],EK$3)</f>
        <v>0</v>
      </c>
      <c r="EL20" s="56">
        <f>SUMIFS(tblActuals[Team 2 GD],tblActuals[Team 2],$CK20,tblActuals[Team 1],EL$3)+SUMIFS(tblActuals[Team 1 GD],tblActuals[Team 1],$CK20,tblActuals[Team 2],EL$3)</f>
        <v>0</v>
      </c>
      <c r="EM20" s="56">
        <f>SUMIFS(tblActuals[Team 2 GD],tblActuals[Team 2],$CK20,tblActuals[Team 1],EM$3)+SUMIFS(tblActuals[Team 1 GD],tblActuals[Team 1],$CK20,tblActuals[Team 2],EM$3)</f>
        <v>0</v>
      </c>
      <c r="EN20" s="56">
        <f>SUMIFS(tblActuals[Team 2 GD],tblActuals[Team 2],$CK20,tblActuals[Team 1],EN$3)+SUMIFS(tblActuals[Team 1 GD],tblActuals[Team 1],$CK20,tblActuals[Team 2],EN$3)</f>
        <v>0</v>
      </c>
      <c r="EO20" s="56">
        <f>SUMIFS(tblActuals[Team 2 GD],tblActuals[Team 2],$CK20,tblActuals[Team 1],EO$3)+SUMIFS(tblActuals[Team 1 GD],tblActuals[Team 1],$CK20,tblActuals[Team 2],EO$3)</f>
        <v>0</v>
      </c>
      <c r="EP20" s="56">
        <f>SUMIFS(tblActuals[Team 2 GD],tblActuals[Team 2],$CK20,tblActuals[Team 1],EP$3)+SUMIFS(tblActuals[Team 1 GD],tblActuals[Team 1],$CK20,tblActuals[Team 2],EP$3)</f>
        <v>0</v>
      </c>
      <c r="EQ20" s="56">
        <f>SUMIFS(tblActuals[Team 2 GD],tblActuals[Team 2],$CK20,tblActuals[Team 1],EQ$3)+SUMIFS(tblActuals[Team 1 GD],tblActuals[Team 1],$CK20,tblActuals[Team 2],EQ$3)</f>
        <v>0</v>
      </c>
      <c r="ER20" s="57"/>
      <c r="ES20" s="57"/>
      <c r="ET20" s="57"/>
      <c r="EU20" s="57"/>
      <c r="EV20" s="57"/>
      <c r="EW20" s="57"/>
      <c r="EX20" s="57"/>
      <c r="EY20" s="57"/>
      <c r="EZ20" s="4"/>
      <c r="FA20" s="4" t="s">
        <v>29</v>
      </c>
      <c r="FB20" s="56">
        <f>SUMIFS(tblActuals[Team 2 Goals],tblActuals[Team 2],$CK20,tblActuals[Team 1],FB$3)+SUMIFS(tblActuals[Team 1 Goals],tblActuals[Team 1],$CK20,tblActuals[Team 2],FB$3)</f>
        <v>0</v>
      </c>
      <c r="FC20" s="56">
        <f>SUMIFS(tblActuals[Team 2 Goals],tblActuals[Team 2],$CK20,tblActuals[Team 1],FC$3)+SUMIFS(tblActuals[Team 1 Goals],tblActuals[Team 1],$CK20,tblActuals[Team 2],FC$3)</f>
        <v>0</v>
      </c>
      <c r="FD20" s="56">
        <f>SUMIFS(tblActuals[Team 2 Goals],tblActuals[Team 2],$CK20,tblActuals[Team 1],FD$3)+SUMIFS(tblActuals[Team 1 Goals],tblActuals[Team 1],$CK20,tblActuals[Team 2],FD$3)</f>
        <v>0</v>
      </c>
      <c r="FE20" s="56">
        <f>SUMIFS(tblActuals[Team 2 Goals],tblActuals[Team 2],$CK20,tblActuals[Team 1],FE$3)+SUMIFS(tblActuals[Team 1 Goals],tblActuals[Team 1],$CK20,tblActuals[Team 2],FE$3)</f>
        <v>0</v>
      </c>
      <c r="FF20" s="56">
        <f>SUMIFS(tblActuals[Team 2 Goals],tblActuals[Team 2],$CK20,tblActuals[Team 1],FF$3)+SUMIFS(tblActuals[Team 1 Goals],tblActuals[Team 1],$CK20,tblActuals[Team 2],FF$3)</f>
        <v>0</v>
      </c>
      <c r="FG20" s="56">
        <f>SUMIFS(tblActuals[Team 2 Goals],tblActuals[Team 2],$CK20,tblActuals[Team 1],FG$3)+SUMIFS(tblActuals[Team 1 Goals],tblActuals[Team 1],$CK20,tblActuals[Team 2],FG$3)</f>
        <v>0</v>
      </c>
      <c r="FH20" s="56">
        <f>SUMIFS(tblActuals[Team 2 Goals],tblActuals[Team 2],$CK20,tblActuals[Team 1],FH$3)+SUMIFS(tblActuals[Team 1 Goals],tblActuals[Team 1],$CK20,tblActuals[Team 2],FH$3)</f>
        <v>0</v>
      </c>
      <c r="FI20" s="56">
        <f>SUMIFS(tblActuals[Team 2 Goals],tblActuals[Team 2],$CK20,tblActuals[Team 1],FI$3)+SUMIFS(tblActuals[Team 1 Goals],tblActuals[Team 1],$CK20,tblActuals[Team 2],FI$3)</f>
        <v>0</v>
      </c>
      <c r="FJ20" s="56">
        <f>SUMIFS(tblActuals[Team 2 Goals],tblActuals[Team 2],$CK20,tblActuals[Team 1],FJ$3)+SUMIFS(tblActuals[Team 1 Goals],tblActuals[Team 1],$CK20,tblActuals[Team 2],FJ$3)</f>
        <v>0</v>
      </c>
      <c r="FK20" s="56">
        <f>SUMIFS(tblActuals[Team 2 Goals],tblActuals[Team 2],$CK20,tblActuals[Team 1],FK$3)+SUMIFS(tblActuals[Team 1 Goals],tblActuals[Team 1],$CK20,tblActuals[Team 2],FK$3)</f>
        <v>0</v>
      </c>
      <c r="FL20" s="56">
        <f>SUMIFS(tblActuals[Team 2 Goals],tblActuals[Team 2],$CK20,tblActuals[Team 1],FL$3)+SUMIFS(tblActuals[Team 1 Goals],tblActuals[Team 1],$CK20,tblActuals[Team 2],FL$3)</f>
        <v>0</v>
      </c>
      <c r="FM20" s="56">
        <f>SUMIFS(tblActuals[Team 2 Goals],tblActuals[Team 2],$CK20,tblActuals[Team 1],FM$3)+SUMIFS(tblActuals[Team 1 Goals],tblActuals[Team 1],$CK20,tblActuals[Team 2],FM$3)</f>
        <v>0</v>
      </c>
      <c r="FN20" s="56">
        <f>SUMIFS(tblActuals[Team 2 Goals],tblActuals[Team 2],$CK20,tblActuals[Team 1],FN$3)+SUMIFS(tblActuals[Team 1 Goals],tblActuals[Team 1],$CK20,tblActuals[Team 2],FN$3)</f>
        <v>0</v>
      </c>
      <c r="FO20" s="56">
        <f>SUMIFS(tblActuals[Team 2 Goals],tblActuals[Team 2],$CK20,tblActuals[Team 1],FO$3)+SUMIFS(tblActuals[Team 1 Goals],tblActuals[Team 1],$CK20,tblActuals[Team 2],FO$3)</f>
        <v>0</v>
      </c>
      <c r="FP20" s="56">
        <f>SUMIFS(tblActuals[Team 2 Goals],tblActuals[Team 2],$CK20,tblActuals[Team 1],FP$3)+SUMIFS(tblActuals[Team 1 Goals],tblActuals[Team 1],$CK20,tblActuals[Team 2],FP$3)</f>
        <v>0</v>
      </c>
      <c r="FQ20" s="56">
        <f>SUMIFS(tblActuals[Team 2 Goals],tblActuals[Team 2],$CK20,tblActuals[Team 1],FQ$3)+SUMIFS(tblActuals[Team 1 Goals],tblActuals[Team 1],$CK20,tblActuals[Team 2],FQ$3)</f>
        <v>0</v>
      </c>
      <c r="FR20" s="56">
        <f>SUMIFS(tblActuals[Team 2 Goals],tblActuals[Team 2],$CK20,tblActuals[Team 1],FR$3)+SUMIFS(tblActuals[Team 1 Goals],tblActuals[Team 1],$CK20,tblActuals[Team 2],FR$3)</f>
        <v>0</v>
      </c>
      <c r="FS20" s="56">
        <f>SUMIFS(tblActuals[Team 2 Goals],tblActuals[Team 2],$CK20,tblActuals[Team 1],FS$3)+SUMIFS(tblActuals[Team 1 Goals],tblActuals[Team 1],$CK20,tblActuals[Team 2],FS$3)</f>
        <v>0</v>
      </c>
      <c r="FT20" s="56">
        <f>SUMIFS(tblActuals[Team 2 Goals],tblActuals[Team 2],$CK20,tblActuals[Team 1],FT$3)+SUMIFS(tblActuals[Team 1 Goals],tblActuals[Team 1],$CK20,tblActuals[Team 2],FT$3)</f>
        <v>0</v>
      </c>
      <c r="FU20" s="56">
        <f>SUMIFS(tblActuals[Team 2 Goals],tblActuals[Team 2],$CK20,tblActuals[Team 1],FU$3)+SUMIFS(tblActuals[Team 1 Goals],tblActuals[Team 1],$CK20,tblActuals[Team 2],FU$3)</f>
        <v>0</v>
      </c>
      <c r="FV20" s="56">
        <f>SUMIFS(tblActuals[Team 2 Goals],tblActuals[Team 2],$CK20,tblActuals[Team 1],FV$3)+SUMIFS(tblActuals[Team 1 Goals],tblActuals[Team 1],$CK20,tblActuals[Team 2],FV$3)</f>
        <v>0</v>
      </c>
      <c r="FW20" s="56">
        <f>SUMIFS(tblActuals[Team 2 Goals],tblActuals[Team 2],$CK20,tblActuals[Team 1],FW$3)+SUMIFS(tblActuals[Team 1 Goals],tblActuals[Team 1],$CK20,tblActuals[Team 2],FW$3)</f>
        <v>0</v>
      </c>
      <c r="FX20" s="56">
        <f>SUMIFS(tblActuals[Team 2 Goals],tblActuals[Team 2],$CK20,tblActuals[Team 1],FX$3)+SUMIFS(tblActuals[Team 1 Goals],tblActuals[Team 1],$CK20,tblActuals[Team 2],FX$3)</f>
        <v>0</v>
      </c>
      <c r="FY20" s="56">
        <f>SUMIFS(tblActuals[Team 2 Goals],tblActuals[Team 2],$CK20,tblActuals[Team 1],FY$3)+SUMIFS(tblActuals[Team 1 Goals],tblActuals[Team 1],$CK20,tblActuals[Team 2],FY$3)</f>
        <v>0</v>
      </c>
      <c r="FZ20" s="57"/>
      <c r="GA20" s="57"/>
      <c r="GB20" s="37"/>
      <c r="GC20" s="37"/>
      <c r="GD20" s="37"/>
      <c r="GE20" s="37"/>
      <c r="GF20" s="37"/>
      <c r="GG20" s="37"/>
      <c r="GH20" s="75"/>
      <c r="GI20" s="156"/>
      <c r="GJ20" s="156"/>
      <c r="GK20" s="75"/>
      <c r="GL20" s="75"/>
      <c r="GM20" s="75"/>
      <c r="GN20" s="75"/>
      <c r="GO20" s="75"/>
      <c r="GP20" s="75"/>
    </row>
    <row r="21" spans="1:211" s="11" customFormat="1" ht="30" customHeight="1" thickBot="1" x14ac:dyDescent="0.3">
      <c r="A21" s="20"/>
      <c r="B21" s="122">
        <v>18</v>
      </c>
      <c r="C21" s="122" t="s">
        <v>6</v>
      </c>
      <c r="D21" s="123">
        <v>45463</v>
      </c>
      <c r="E21" s="122" t="s">
        <v>78</v>
      </c>
      <c r="F21" s="124">
        <v>0.625</v>
      </c>
      <c r="G21" s="125">
        <f t="shared" si="8"/>
        <v>45463.375</v>
      </c>
      <c r="H21" s="122" t="s">
        <v>106</v>
      </c>
      <c r="I21" s="126"/>
      <c r="J21" s="118"/>
      <c r="K21" s="118"/>
      <c r="L21" s="119" t="str">
        <f>IF(tblActuals[[#This Row],[SCORE]]="","",IF(Q21=R21,"Draw",IF(Q21&gt;R21,M21,N21)))</f>
        <v/>
      </c>
      <c r="M21" s="120" t="str">
        <f>IF(tblActuals[[#This Row],[TEAMS]]="","",LEFT(H21,FIND(" -",H21,1)-1))</f>
        <v>Slovenia</v>
      </c>
      <c r="N21" s="120" t="str">
        <f>IF(tblActuals[[#This Row],[TEAMS]]="","",MID(H21,FIND("-",H21,1)+2,LEN(H21)-FIND("-",H21,1)+2))</f>
        <v>Serbia</v>
      </c>
      <c r="O21" s="120" t="str">
        <f>IF(tblActuals[[#This Row],[Team 1 Goals]]&gt;tblActuals[[#This Row],[Team 2 Goals]],tblActuals[[#This Row],[Team 1]],IF(tblActuals[[#This Row],[Team 2 Goals]]&gt;tblActuals[[#This Row],[Team 1 Goals]],tblActuals[[#This Row],[Team 2]],""))</f>
        <v/>
      </c>
      <c r="P21" s="120" t="str">
        <f>IF(tblActuals[[#This Row],[Winner]]=tblActuals[[#This Row],[Team 1]],tblActuals[[#This Row],[Team 2]],IF(tblActuals[[#This Row],[Winner]]=tblActuals[[#This Row],[Team 2]],tblActuals[[#This Row],[Team 1]],""))</f>
        <v/>
      </c>
      <c r="Q21" s="120" t="str">
        <f>IF(tblActuals[[#This Row],[SCORE]]="","",LEFT(I21,FIND(":",I21,1)-1)*1)</f>
        <v/>
      </c>
      <c r="R21" s="120" t="str">
        <f>IF(tblActuals[[#This Row],[SCORE]]="","",MID(I21,FIND(":",I21,1)+1,LEN(I21)-FIND(":",I21,1)+1)*1)</f>
        <v/>
      </c>
      <c r="S21" s="120" t="str">
        <f>IF(OR(tblActuals[[#This Row],[Team 1 Goals]]="",tblActuals[[#This Row],[Team 2 Goals]]=""),"",tblActuals[[#This Row],[Team 1 Goals]]-tblActuals[[#This Row],[Team 2 Goals]])</f>
        <v/>
      </c>
      <c r="T21" s="120" t="str">
        <f>IF(OR(tblActuals[[#This Row],[Team 1 Goals]]="",tblActuals[[#This Row],[Team 2 Goals]]=""),"",tblActuals[[#This Row],[Team 2 Goals]]-tblActuals[[#This Row],[Team 1 Goals]])</f>
        <v/>
      </c>
      <c r="U21" s="120" t="str">
        <f>IF(tblActuals[[#This Row],[SCORE]]="","",IF(tblActuals[[#This Row],[WINNER / RESULT]]="Draw",1,IF(tblActuals[[#This Row],[WINNER / RESULT]]=tblActuals[[#This Row],[Team 1]],3,0)))</f>
        <v/>
      </c>
      <c r="V21" s="120" t="str">
        <f>IF(tblActuals[[#This Row],[SCORE]]="","",IF(tblActuals[[#This Row],[WINNER / RESULT]]="Draw",1,IF(tblActuals[[#This Row],[WINNER / RESULT]]=tblActuals[[#This Row],[Team 2]],3,0)))</f>
        <v/>
      </c>
      <c r="W21" s="121"/>
      <c r="X21" s="121"/>
      <c r="Y21" s="121"/>
      <c r="Z21" s="121"/>
      <c r="AA21" s="120" t="e">
        <f>tblActuals[[#This Row],[Team 1 Goals]]+tblActuals[[#This Row],[Team 1 ET Goals]]&amp;":"&amp;tblActuals[[#This Row],[Team 2 Goals]]+tblActuals[[#This Row],[Team 2 ET Goals]]</f>
        <v>#VALUE!</v>
      </c>
      <c r="AB21" s="120" t="e">
        <f>+tblActuals[[#This Row],[Team 1 Goals]]+tblActuals[[#This Row],[Team 2 Goals]]</f>
        <v>#VALUE!</v>
      </c>
      <c r="AC21" s="165">
        <f t="shared" si="0"/>
        <v>45463</v>
      </c>
      <c r="AD21" s="166">
        <f t="shared" si="9"/>
        <v>18.100000000000001</v>
      </c>
      <c r="AJ21" s="77" t="s">
        <v>6</v>
      </c>
      <c r="AK21" s="145">
        <v>4</v>
      </c>
      <c r="AL21" s="146" t="str">
        <f ca="1">IFERROR(INDEX(AT:AT,MATCH("4"&amp;AJ21,BD:BD,0),1),"")</f>
        <v>Slovenia</v>
      </c>
      <c r="AM21" s="146" t="str">
        <f ca="1">IF(AL21="","",VLOOKUP(AL21,AT:AY,2,FALSE)&amp;"-"&amp;VLOOKUP(AL21,AT:AY,3,FALSE)&amp;"-"&amp;VLOOKUP(AL21,AT:AY,4,FALSE))</f>
        <v>0-0-0</v>
      </c>
      <c r="AN21" s="146">
        <f ca="1">IF(AL21="","",VLOOKUP(AL21,AT:BA,8,FALSE))</f>
        <v>0</v>
      </c>
      <c r="AO21" s="147">
        <f ca="1">IF(AL21="","",VLOOKUP(AL21,AT:BD,5,FALSE))</f>
        <v>0</v>
      </c>
      <c r="AP21" s="75"/>
      <c r="AQ21" s="4"/>
      <c r="AR21" s="4"/>
      <c r="AS21" s="4" t="s">
        <v>7</v>
      </c>
      <c r="AT21" s="4" t="s">
        <v>8</v>
      </c>
      <c r="AU21" s="4">
        <f>COUNTIF(tblActuals[Winner],AT21)</f>
        <v>0</v>
      </c>
      <c r="AV21" s="4">
        <f>COUNTIFS(tblActuals[Team 2],AT21,tblActuals[WINNER / RESULT],"Draw")+COUNTIFS(tblActuals[Team 1],AT21,tblActuals[WINNER / RESULT],"Draw")</f>
        <v>0</v>
      </c>
      <c r="AW21" s="4">
        <f>COUNTIF(tblActuals[Loser],AT21)</f>
        <v>0</v>
      </c>
      <c r="AX21" s="4">
        <f>AV21+(3*AU21)</f>
        <v>0</v>
      </c>
      <c r="AY21" s="4">
        <f>SUMIFS(tblActuals[Team 1 Goals],tblActuals[Team 1],AT21)+SUMIFS(tblActuals[Team 2 Goals],tblActuals[Team 2],AT21)</f>
        <v>0</v>
      </c>
      <c r="AZ21" s="4">
        <f>SUMIFS(tblActuals[Team 2 Goals],tblActuals[Team 1],AT21)+SUMIFS(tblActuals[Team 1 Goals],tblActuals[Team 2],AT21)</f>
        <v>0</v>
      </c>
      <c r="BA21" s="4">
        <f>AY21-AZ21</f>
        <v>0</v>
      </c>
      <c r="BB21" s="4">
        <f ca="1">RANK(BO21,$BO$19:$BO$22,1)</f>
        <v>3</v>
      </c>
      <c r="BC21" s="4" t="str">
        <f t="shared" si="1"/>
        <v/>
      </c>
      <c r="BD21" s="4" t="str">
        <f ca="1">IF(BC21="",BB21&amp;AS21,BC21&amp;AS21)</f>
        <v>3D</v>
      </c>
      <c r="BE21" s="4">
        <f>RANK(AX21,$AX$19:$AX$22,0)</f>
        <v>1</v>
      </c>
      <c r="BF21" s="4" cm="1">
        <f t="array" aca="1" ref="BF21" ca="1">SUMPRODUCT((OFFSET($CL$3:$DQ$3,MATCH($AT21,$CK$4:$CK$35,0),0))*((IF($BE19=$BE21,$CL$3:$DQ$3=$AT19,0))+(IF($BE22=$BE21,$CL$3:$DQ$3=$AT22,0))+(IF($BE20=$BE21,$CL$3:$DQ$3=$AT20,0))))</f>
        <v>0</v>
      </c>
      <c r="BG21" s="4" cm="1">
        <f t="array" aca="1" ref="BG21" ca="1">SUMPRODUCT((OFFSET($DT$3:$EY$3,MATCH($AT21,$DS$4:$DS$35,0),0))*((IF($BE19=$BE21,$DT$3:$EY$3=$AT19,0))+(IF($BE22=$BE21,$DT$3:$EY$3=$AT22,0))+(IF($BE20=$BE21,$DT$3:$EY$3=$AT20,0))))</f>
        <v>0</v>
      </c>
      <c r="BH21" s="4" cm="1">
        <f t="array" aca="1" ref="BH21" ca="1">SUMPRODUCT((OFFSET($FB$3:$GG$3,MATCH($AT21,$FA$4:$FA$35,0),0))*((IF($BE19=$BE21,$FB$3:$GG$3=$AT19,0))+(IF($BE22=$BE21,$FB$3:$GG$3=$AT22,0))+(IF($BE20=$BE21,$FB$3:$GG$3=$AT20,0))))</f>
        <v>0</v>
      </c>
      <c r="BI21" s="4" cm="1">
        <f t="array" aca="1" ref="BI21" ca="1">SUMPRODUCT((OFFSET($CL$3:$DQ$3,MATCH($AT21,$CK$4:$CK$35,0),0))*((IF($BE19&lt;&gt;$BE21,$CL$3:$DQ$3=$AT19,0))+(IF($BE22&lt;&gt;$BE21,$CL$3:$DQ$3=$AT22,0))+(IF($BE20&lt;&gt;$BE21,$CL$3:$DQ$3=$AT20,0))))</f>
        <v>0</v>
      </c>
      <c r="BJ21" s="4" cm="1">
        <f t="array" aca="1" ref="BJ21" ca="1">SUMPRODUCT((OFFSET($DT$3:$EY$3,MATCH($AT21,$DS$4:$DS$35,0),0))*((IF($BE19&lt;&gt;$BE21,$DT$3:$EY$3=$AT19,0))+(IF($BE22&lt;&gt;$BE21,$DT$3:$EY$3=$AT22,0))+(IF($BE20&lt;&gt;$BE21,$DT$3:$EY$3=$AT20,0))))</f>
        <v>0</v>
      </c>
      <c r="BK21" s="4" cm="1">
        <f t="array" aca="1" ref="BK21" ca="1">SUMPRODUCT((OFFSET($FB$3:$GG$3,MATCH($AT21,$FA$4:$FA$35,0),0))*((IF($BE19&lt;&gt;$BE21,$FB$3:$GG$3=$AT19,0))+(IF($BE22&lt;&gt;$BE21,$FB$3:$GG$3=$AT22,0))+(IF($BE20&lt;&gt;$BE21,$FB$3:$GG$3=$AT20,0))))</f>
        <v>0</v>
      </c>
      <c r="BL21" s="4">
        <f t="shared" si="10"/>
        <v>0</v>
      </c>
      <c r="BM21" s="4">
        <f t="shared" si="11"/>
        <v>0</v>
      </c>
      <c r="BN21" s="4">
        <f ca="1">(BF21/10)+(BG21/100)+(BH21/1000)+(BJ21/10000)+(BK21/100000)+(BL21/1000000)+(BM21/10000000)+(ROW(BI20)/100000000)</f>
        <v>1.9999999999999999E-7</v>
      </c>
      <c r="BO21" s="4">
        <f ca="1">+BE21-BN21</f>
        <v>0.99999979999999999</v>
      </c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K21" s="4" t="s">
        <v>130</v>
      </c>
      <c r="CL21" s="56">
        <f>SUMIFS(tblActuals[Team 2 Points],tblActuals[Team 2],$CK21,tblActuals[Team 1],CL$3)+SUMIFS(tblActuals[Team 1 Points],tblActuals[Team 1],$CK21,tblActuals[Team 2],CL$3)</f>
        <v>0</v>
      </c>
      <c r="CM21" s="56">
        <f>SUMIFS(tblActuals[Team 2 Points],tblActuals[Team 2],$CK21,tblActuals[Team 1],CM$3)+SUMIFS(tblActuals[Team 1 Points],tblActuals[Team 1],$CK21,tblActuals[Team 2],CM$3)</f>
        <v>0</v>
      </c>
      <c r="CN21" s="56">
        <f>SUMIFS(tblActuals[Team 2 Points],tblActuals[Team 2],$CK21,tblActuals[Team 1],CN$3)+SUMIFS(tblActuals[Team 1 Points],tblActuals[Team 1],$CK21,tblActuals[Team 2],CN$3)</f>
        <v>0</v>
      </c>
      <c r="CO21" s="56">
        <f>SUMIFS(tblActuals[Team 2 Points],tblActuals[Team 2],$CK21,tblActuals[Team 1],CO$3)+SUMIFS(tblActuals[Team 1 Points],tblActuals[Team 1],$CK21,tblActuals[Team 2],CO$3)</f>
        <v>0</v>
      </c>
      <c r="CP21" s="56">
        <f>SUMIFS(tblActuals[Team 2 Points],tblActuals[Team 2],$CK21,tblActuals[Team 1],CP$3)+SUMIFS(tblActuals[Team 1 Points],tblActuals[Team 1],$CK21,tblActuals[Team 2],CP$3)</f>
        <v>0</v>
      </c>
      <c r="CQ21" s="56">
        <f>SUMIFS(tblActuals[Team 2 Points],tblActuals[Team 2],$CK21,tblActuals[Team 1],CQ$3)+SUMIFS(tblActuals[Team 1 Points],tblActuals[Team 1],$CK21,tblActuals[Team 2],CQ$3)</f>
        <v>0</v>
      </c>
      <c r="CR21" s="56">
        <f>SUMIFS(tblActuals[Team 2 Points],tblActuals[Team 2],$CK21,tblActuals[Team 1],CR$3)+SUMIFS(tblActuals[Team 1 Points],tblActuals[Team 1],$CK21,tblActuals[Team 2],CR$3)</f>
        <v>0</v>
      </c>
      <c r="CS21" s="56">
        <f>SUMIFS(tblActuals[Team 2 Points],tblActuals[Team 2],$CK21,tblActuals[Team 1],CS$3)+SUMIFS(tblActuals[Team 1 Points],tblActuals[Team 1],$CK21,tblActuals[Team 2],CS$3)</f>
        <v>0</v>
      </c>
      <c r="CT21" s="56">
        <f>SUMIFS(tblActuals[Team 2 Points],tblActuals[Team 2],$CK21,tblActuals[Team 1],CT$3)+SUMIFS(tblActuals[Team 1 Points],tblActuals[Team 1],$CK21,tblActuals[Team 2],CT$3)</f>
        <v>0</v>
      </c>
      <c r="CU21" s="56">
        <f>SUMIFS(tblActuals[Team 2 Points],tblActuals[Team 2],$CK21,tblActuals[Team 1],CU$3)+SUMIFS(tblActuals[Team 1 Points],tblActuals[Team 1],$CK21,tblActuals[Team 2],CU$3)</f>
        <v>0</v>
      </c>
      <c r="CV21" s="56">
        <f>SUMIFS(tblActuals[Team 2 Points],tblActuals[Team 2],$CK21,tblActuals[Team 1],CV$3)+SUMIFS(tblActuals[Team 1 Points],tblActuals[Team 1],$CK21,tblActuals[Team 2],CV$3)</f>
        <v>0</v>
      </c>
      <c r="CW21" s="56">
        <f>SUMIFS(tblActuals[Team 2 Points],tblActuals[Team 2],$CK21,tblActuals[Team 1],CW$3)+SUMIFS(tblActuals[Team 1 Points],tblActuals[Team 1],$CK21,tblActuals[Team 2],CW$3)</f>
        <v>0</v>
      </c>
      <c r="CX21" s="56">
        <f>SUMIFS(tblActuals[Team 2 Points],tblActuals[Team 2],$CK21,tblActuals[Team 1],CX$3)+SUMIFS(tblActuals[Team 1 Points],tblActuals[Team 1],$CK21,tblActuals[Team 2],CX$3)</f>
        <v>0</v>
      </c>
      <c r="CY21" s="56">
        <f>SUMIFS(tblActuals[Team 2 Points],tblActuals[Team 2],$CK21,tblActuals[Team 1],CY$3)+SUMIFS(tblActuals[Team 1 Points],tblActuals[Team 1],$CK21,tblActuals[Team 2],CY$3)</f>
        <v>0</v>
      </c>
      <c r="CZ21" s="56">
        <f>SUMIFS(tblActuals[Team 2 Points],tblActuals[Team 2],$CK21,tblActuals[Team 1],CZ$3)+SUMIFS(tblActuals[Team 1 Points],tblActuals[Team 1],$CK21,tblActuals[Team 2],CZ$3)</f>
        <v>0</v>
      </c>
      <c r="DA21" s="56">
        <f>SUMIFS(tblActuals[Team 2 Points],tblActuals[Team 2],$CK21,tblActuals[Team 1],DA$3)+SUMIFS(tblActuals[Team 1 Points],tblActuals[Team 1],$CK21,tblActuals[Team 2],DA$3)</f>
        <v>0</v>
      </c>
      <c r="DB21" s="56">
        <f>SUMIFS(tblActuals[Team 2 Points],tblActuals[Team 2],$CK21,tblActuals[Team 1],DB$3)+SUMIFS(tblActuals[Team 1 Points],tblActuals[Team 1],$CK21,tblActuals[Team 2],DB$3)</f>
        <v>0</v>
      </c>
      <c r="DC21" s="56">
        <f>SUMIFS(tblActuals[Team 2 Points],tblActuals[Team 2],$CK21,tblActuals[Team 1],DC$3)+SUMIFS(tblActuals[Team 1 Points],tblActuals[Team 1],$CK21,tblActuals[Team 2],DC$3)</f>
        <v>0</v>
      </c>
      <c r="DD21" s="56">
        <f>SUMIFS(tblActuals[Team 2 Points],tblActuals[Team 2],$CK21,tblActuals[Team 1],DD$3)+SUMIFS(tblActuals[Team 1 Points],tblActuals[Team 1],$CK21,tblActuals[Team 2],DD$3)</f>
        <v>0</v>
      </c>
      <c r="DE21" s="56">
        <f>SUMIFS(tblActuals[Team 2 Points],tblActuals[Team 2],$CK21,tblActuals[Team 1],DE$3)+SUMIFS(tblActuals[Team 1 Points],tblActuals[Team 1],$CK21,tblActuals[Team 2],DE$3)</f>
        <v>0</v>
      </c>
      <c r="DF21" s="56">
        <f>SUMIFS(tblActuals[Team 2 Points],tblActuals[Team 2],$CK21,tblActuals[Team 1],DF$3)+SUMIFS(tblActuals[Team 1 Points],tblActuals[Team 1],$CK21,tblActuals[Team 2],DF$3)</f>
        <v>0</v>
      </c>
      <c r="DG21" s="56">
        <f>SUMIFS(tblActuals[Team 2 Points],tblActuals[Team 2],$CK21,tblActuals[Team 1],DG$3)+SUMIFS(tblActuals[Team 1 Points],tblActuals[Team 1],$CK21,tblActuals[Team 2],DG$3)</f>
        <v>0</v>
      </c>
      <c r="DH21" s="56">
        <f>SUMIFS(tblActuals[Team 2 Points],tblActuals[Team 2],$CK21,tblActuals[Team 1],DH$3)+SUMIFS(tblActuals[Team 1 Points],tblActuals[Team 1],$CK21,tblActuals[Team 2],DH$3)</f>
        <v>0</v>
      </c>
      <c r="DI21" s="56">
        <f>SUMIFS(tblActuals[Team 2 Points],tblActuals[Team 2],$CK21,tblActuals[Team 1],DI$3)+SUMIFS(tblActuals[Team 1 Points],tblActuals[Team 1],$CK21,tblActuals[Team 2],DI$3)</f>
        <v>0</v>
      </c>
      <c r="DJ21" s="57"/>
      <c r="DK21" s="57"/>
      <c r="DL21" s="57"/>
      <c r="DM21" s="57"/>
      <c r="DN21" s="57"/>
      <c r="DO21" s="57"/>
      <c r="DP21" s="57"/>
      <c r="DQ21" s="57"/>
      <c r="DR21" s="4"/>
      <c r="DS21" s="4" t="s">
        <v>130</v>
      </c>
      <c r="DT21" s="56">
        <f>SUMIFS(tblActuals[Team 2 GD],tblActuals[Team 2],$CK21,tblActuals[Team 1],DT$3)+SUMIFS(tblActuals[Team 1 GD],tblActuals[Team 1],$CK21,tblActuals[Team 2],DT$3)</f>
        <v>0</v>
      </c>
      <c r="DU21" s="56">
        <f>SUMIFS(tblActuals[Team 2 GD],tblActuals[Team 2],$CK21,tblActuals[Team 1],DU$3)+SUMIFS(tblActuals[Team 1 GD],tblActuals[Team 1],$CK21,tblActuals[Team 2],DU$3)</f>
        <v>0</v>
      </c>
      <c r="DV21" s="56">
        <f>SUMIFS(tblActuals[Team 2 GD],tblActuals[Team 2],$CK21,tblActuals[Team 1],DV$3)+SUMIFS(tblActuals[Team 1 GD],tblActuals[Team 1],$CK21,tblActuals[Team 2],DV$3)</f>
        <v>0</v>
      </c>
      <c r="DW21" s="56">
        <f>SUMIFS(tblActuals[Team 2 GD],tblActuals[Team 2],$CK21,tblActuals[Team 1],DW$3)+SUMIFS(tblActuals[Team 1 GD],tblActuals[Team 1],$CK21,tblActuals[Team 2],DW$3)</f>
        <v>0</v>
      </c>
      <c r="DX21" s="56">
        <f>SUMIFS(tblActuals[Team 2 GD],tblActuals[Team 2],$CK21,tblActuals[Team 1],DX$3)+SUMIFS(tblActuals[Team 1 GD],tblActuals[Team 1],$CK21,tblActuals[Team 2],DX$3)</f>
        <v>0</v>
      </c>
      <c r="DY21" s="56">
        <f>SUMIFS(tblActuals[Team 2 GD],tblActuals[Team 2],$CK21,tblActuals[Team 1],DY$3)+SUMIFS(tblActuals[Team 1 GD],tblActuals[Team 1],$CK21,tblActuals[Team 2],DY$3)</f>
        <v>0</v>
      </c>
      <c r="DZ21" s="56">
        <f>SUMIFS(tblActuals[Team 2 GD],tblActuals[Team 2],$CK21,tblActuals[Team 1],DZ$3)+SUMIFS(tblActuals[Team 1 GD],tblActuals[Team 1],$CK21,tblActuals[Team 2],DZ$3)</f>
        <v>0</v>
      </c>
      <c r="EA21" s="56">
        <f>SUMIFS(tblActuals[Team 2 GD],tblActuals[Team 2],$CK21,tblActuals[Team 1],EA$3)+SUMIFS(tblActuals[Team 1 GD],tblActuals[Team 1],$CK21,tblActuals[Team 2],EA$3)</f>
        <v>0</v>
      </c>
      <c r="EB21" s="56">
        <f>SUMIFS(tblActuals[Team 2 GD],tblActuals[Team 2],$CK21,tblActuals[Team 1],EB$3)+SUMIFS(tblActuals[Team 1 GD],tblActuals[Team 1],$CK21,tblActuals[Team 2],EB$3)</f>
        <v>0</v>
      </c>
      <c r="EC21" s="56">
        <f>SUMIFS(tblActuals[Team 2 GD],tblActuals[Team 2],$CK21,tblActuals[Team 1],EC$3)+SUMIFS(tblActuals[Team 1 GD],tblActuals[Team 1],$CK21,tblActuals[Team 2],EC$3)</f>
        <v>0</v>
      </c>
      <c r="ED21" s="56">
        <f>SUMIFS(tblActuals[Team 2 GD],tblActuals[Team 2],$CK21,tblActuals[Team 1],ED$3)+SUMIFS(tblActuals[Team 1 GD],tblActuals[Team 1],$CK21,tblActuals[Team 2],ED$3)</f>
        <v>0</v>
      </c>
      <c r="EE21" s="56">
        <f>SUMIFS(tblActuals[Team 2 GD],tblActuals[Team 2],$CK21,tblActuals[Team 1],EE$3)+SUMIFS(tblActuals[Team 1 GD],tblActuals[Team 1],$CK21,tblActuals[Team 2],EE$3)</f>
        <v>0</v>
      </c>
      <c r="EF21" s="56">
        <f>SUMIFS(tblActuals[Team 2 GD],tblActuals[Team 2],$CK21,tblActuals[Team 1],EF$3)+SUMIFS(tblActuals[Team 1 GD],tblActuals[Team 1],$CK21,tblActuals[Team 2],EF$3)</f>
        <v>0</v>
      </c>
      <c r="EG21" s="56">
        <f>SUMIFS(tblActuals[Team 2 GD],tblActuals[Team 2],$CK21,tblActuals[Team 1],EG$3)+SUMIFS(tblActuals[Team 1 GD],tblActuals[Team 1],$CK21,tblActuals[Team 2],EG$3)</f>
        <v>0</v>
      </c>
      <c r="EH21" s="56">
        <f>SUMIFS(tblActuals[Team 2 GD],tblActuals[Team 2],$CK21,tblActuals[Team 1],EH$3)+SUMIFS(tblActuals[Team 1 GD],tblActuals[Team 1],$CK21,tblActuals[Team 2],EH$3)</f>
        <v>0</v>
      </c>
      <c r="EI21" s="56">
        <f>SUMIFS(tblActuals[Team 2 GD],tblActuals[Team 2],$CK21,tblActuals[Team 1],EI$3)+SUMIFS(tblActuals[Team 1 GD],tblActuals[Team 1],$CK21,tblActuals[Team 2],EI$3)</f>
        <v>0</v>
      </c>
      <c r="EJ21" s="56">
        <f>SUMIFS(tblActuals[Team 2 GD],tblActuals[Team 2],$CK21,tblActuals[Team 1],EJ$3)+SUMIFS(tblActuals[Team 1 GD],tblActuals[Team 1],$CK21,tblActuals[Team 2],EJ$3)</f>
        <v>0</v>
      </c>
      <c r="EK21" s="56">
        <f>SUMIFS(tblActuals[Team 2 GD],tblActuals[Team 2],$CK21,tblActuals[Team 1],EK$3)+SUMIFS(tblActuals[Team 1 GD],tblActuals[Team 1],$CK21,tblActuals[Team 2],EK$3)</f>
        <v>0</v>
      </c>
      <c r="EL21" s="56">
        <f>SUMIFS(tblActuals[Team 2 GD],tblActuals[Team 2],$CK21,tblActuals[Team 1],EL$3)+SUMIFS(tblActuals[Team 1 GD],tblActuals[Team 1],$CK21,tblActuals[Team 2],EL$3)</f>
        <v>0</v>
      </c>
      <c r="EM21" s="56">
        <f>SUMIFS(tblActuals[Team 2 GD],tblActuals[Team 2],$CK21,tblActuals[Team 1],EM$3)+SUMIFS(tblActuals[Team 1 GD],tblActuals[Team 1],$CK21,tblActuals[Team 2],EM$3)</f>
        <v>0</v>
      </c>
      <c r="EN21" s="56">
        <f>SUMIFS(tblActuals[Team 2 GD],tblActuals[Team 2],$CK21,tblActuals[Team 1],EN$3)+SUMIFS(tblActuals[Team 1 GD],tblActuals[Team 1],$CK21,tblActuals[Team 2],EN$3)</f>
        <v>0</v>
      </c>
      <c r="EO21" s="56">
        <f>SUMIFS(tblActuals[Team 2 GD],tblActuals[Team 2],$CK21,tblActuals[Team 1],EO$3)+SUMIFS(tblActuals[Team 1 GD],tblActuals[Team 1],$CK21,tblActuals[Team 2],EO$3)</f>
        <v>0</v>
      </c>
      <c r="EP21" s="56">
        <f>SUMIFS(tblActuals[Team 2 GD],tblActuals[Team 2],$CK21,tblActuals[Team 1],EP$3)+SUMIFS(tblActuals[Team 1 GD],tblActuals[Team 1],$CK21,tblActuals[Team 2],EP$3)</f>
        <v>0</v>
      </c>
      <c r="EQ21" s="56">
        <f>SUMIFS(tblActuals[Team 2 GD],tblActuals[Team 2],$CK21,tblActuals[Team 1],EQ$3)+SUMIFS(tblActuals[Team 1 GD],tblActuals[Team 1],$CK21,tblActuals[Team 2],EQ$3)</f>
        <v>0</v>
      </c>
      <c r="ER21" s="57"/>
      <c r="ES21" s="57"/>
      <c r="ET21" s="57"/>
      <c r="EU21" s="57"/>
      <c r="EV21" s="57"/>
      <c r="EW21" s="57"/>
      <c r="EX21" s="57"/>
      <c r="EY21" s="57"/>
      <c r="EZ21" s="4"/>
      <c r="FA21" s="4" t="s">
        <v>130</v>
      </c>
      <c r="FB21" s="56">
        <f>SUMIFS(tblActuals[Team 2 Goals],tblActuals[Team 2],$CK21,tblActuals[Team 1],FB$3)+SUMIFS(tblActuals[Team 1 Goals],tblActuals[Team 1],$CK21,tblActuals[Team 2],FB$3)</f>
        <v>0</v>
      </c>
      <c r="FC21" s="56">
        <f>SUMIFS(tblActuals[Team 2 Goals],tblActuals[Team 2],$CK21,tblActuals[Team 1],FC$3)+SUMIFS(tblActuals[Team 1 Goals],tblActuals[Team 1],$CK21,tblActuals[Team 2],FC$3)</f>
        <v>0</v>
      </c>
      <c r="FD21" s="56">
        <f>SUMIFS(tblActuals[Team 2 Goals],tblActuals[Team 2],$CK21,tblActuals[Team 1],FD$3)+SUMIFS(tblActuals[Team 1 Goals],tblActuals[Team 1],$CK21,tblActuals[Team 2],FD$3)</f>
        <v>0</v>
      </c>
      <c r="FE21" s="56">
        <f>SUMIFS(tblActuals[Team 2 Goals],tblActuals[Team 2],$CK21,tblActuals[Team 1],FE$3)+SUMIFS(tblActuals[Team 1 Goals],tblActuals[Team 1],$CK21,tblActuals[Team 2],FE$3)</f>
        <v>0</v>
      </c>
      <c r="FF21" s="56">
        <f>SUMIFS(tblActuals[Team 2 Goals],tblActuals[Team 2],$CK21,tblActuals[Team 1],FF$3)+SUMIFS(tblActuals[Team 1 Goals],tblActuals[Team 1],$CK21,tblActuals[Team 2],FF$3)</f>
        <v>0</v>
      </c>
      <c r="FG21" s="56">
        <f>SUMIFS(tblActuals[Team 2 Goals],tblActuals[Team 2],$CK21,tblActuals[Team 1],FG$3)+SUMIFS(tblActuals[Team 1 Goals],tblActuals[Team 1],$CK21,tblActuals[Team 2],FG$3)</f>
        <v>0</v>
      </c>
      <c r="FH21" s="56">
        <f>SUMIFS(tblActuals[Team 2 Goals],tblActuals[Team 2],$CK21,tblActuals[Team 1],FH$3)+SUMIFS(tblActuals[Team 1 Goals],tblActuals[Team 1],$CK21,tblActuals[Team 2],FH$3)</f>
        <v>0</v>
      </c>
      <c r="FI21" s="56">
        <f>SUMIFS(tblActuals[Team 2 Goals],tblActuals[Team 2],$CK21,tblActuals[Team 1],FI$3)+SUMIFS(tblActuals[Team 1 Goals],tblActuals[Team 1],$CK21,tblActuals[Team 2],FI$3)</f>
        <v>0</v>
      </c>
      <c r="FJ21" s="56">
        <f>SUMIFS(tblActuals[Team 2 Goals],tblActuals[Team 2],$CK21,tblActuals[Team 1],FJ$3)+SUMIFS(tblActuals[Team 1 Goals],tblActuals[Team 1],$CK21,tblActuals[Team 2],FJ$3)</f>
        <v>0</v>
      </c>
      <c r="FK21" s="56">
        <f>SUMIFS(tblActuals[Team 2 Goals],tblActuals[Team 2],$CK21,tblActuals[Team 1],FK$3)+SUMIFS(tblActuals[Team 1 Goals],tblActuals[Team 1],$CK21,tblActuals[Team 2],FK$3)</f>
        <v>0</v>
      </c>
      <c r="FL21" s="56">
        <f>SUMIFS(tblActuals[Team 2 Goals],tblActuals[Team 2],$CK21,tblActuals[Team 1],FL$3)+SUMIFS(tblActuals[Team 1 Goals],tblActuals[Team 1],$CK21,tblActuals[Team 2],FL$3)</f>
        <v>0</v>
      </c>
      <c r="FM21" s="56">
        <f>SUMIFS(tblActuals[Team 2 Goals],tblActuals[Team 2],$CK21,tblActuals[Team 1],FM$3)+SUMIFS(tblActuals[Team 1 Goals],tblActuals[Team 1],$CK21,tblActuals[Team 2],FM$3)</f>
        <v>0</v>
      </c>
      <c r="FN21" s="56">
        <f>SUMIFS(tblActuals[Team 2 Goals],tblActuals[Team 2],$CK21,tblActuals[Team 1],FN$3)+SUMIFS(tblActuals[Team 1 Goals],tblActuals[Team 1],$CK21,tblActuals[Team 2],FN$3)</f>
        <v>0</v>
      </c>
      <c r="FO21" s="56">
        <f>SUMIFS(tblActuals[Team 2 Goals],tblActuals[Team 2],$CK21,tblActuals[Team 1],FO$3)+SUMIFS(tblActuals[Team 1 Goals],tblActuals[Team 1],$CK21,tblActuals[Team 2],FO$3)</f>
        <v>0</v>
      </c>
      <c r="FP21" s="56">
        <f>SUMIFS(tblActuals[Team 2 Goals],tblActuals[Team 2],$CK21,tblActuals[Team 1],FP$3)+SUMIFS(tblActuals[Team 1 Goals],tblActuals[Team 1],$CK21,tblActuals[Team 2],FP$3)</f>
        <v>0</v>
      </c>
      <c r="FQ21" s="56">
        <f>SUMIFS(tblActuals[Team 2 Goals],tblActuals[Team 2],$CK21,tblActuals[Team 1],FQ$3)+SUMIFS(tblActuals[Team 1 Goals],tblActuals[Team 1],$CK21,tblActuals[Team 2],FQ$3)</f>
        <v>0</v>
      </c>
      <c r="FR21" s="56">
        <f>SUMIFS(tblActuals[Team 2 Goals],tblActuals[Team 2],$CK21,tblActuals[Team 1],FR$3)+SUMIFS(tblActuals[Team 1 Goals],tblActuals[Team 1],$CK21,tblActuals[Team 2],FR$3)</f>
        <v>0</v>
      </c>
      <c r="FS21" s="56">
        <f>SUMIFS(tblActuals[Team 2 Goals],tblActuals[Team 2],$CK21,tblActuals[Team 1],FS$3)+SUMIFS(tblActuals[Team 1 Goals],tblActuals[Team 1],$CK21,tblActuals[Team 2],FS$3)</f>
        <v>0</v>
      </c>
      <c r="FT21" s="56">
        <f>SUMIFS(tblActuals[Team 2 Goals],tblActuals[Team 2],$CK21,tblActuals[Team 1],FT$3)+SUMIFS(tblActuals[Team 1 Goals],tblActuals[Team 1],$CK21,tblActuals[Team 2],FT$3)</f>
        <v>0</v>
      </c>
      <c r="FU21" s="56">
        <f>SUMIFS(tblActuals[Team 2 Goals],tblActuals[Team 2],$CK21,tblActuals[Team 1],FU$3)+SUMIFS(tblActuals[Team 1 Goals],tblActuals[Team 1],$CK21,tblActuals[Team 2],FU$3)</f>
        <v>0</v>
      </c>
      <c r="FV21" s="56">
        <f>SUMIFS(tblActuals[Team 2 Goals],tblActuals[Team 2],$CK21,tblActuals[Team 1],FV$3)+SUMIFS(tblActuals[Team 1 Goals],tblActuals[Team 1],$CK21,tblActuals[Team 2],FV$3)</f>
        <v>0</v>
      </c>
      <c r="FW21" s="56">
        <f>SUMIFS(tblActuals[Team 2 Goals],tblActuals[Team 2],$CK21,tblActuals[Team 1],FW$3)+SUMIFS(tblActuals[Team 1 Goals],tblActuals[Team 1],$CK21,tblActuals[Team 2],FW$3)</f>
        <v>0</v>
      </c>
      <c r="FX21" s="56">
        <f>SUMIFS(tblActuals[Team 2 Goals],tblActuals[Team 2],$CK21,tblActuals[Team 1],FX$3)+SUMIFS(tblActuals[Team 1 Goals],tblActuals[Team 1],$CK21,tblActuals[Team 2],FX$3)</f>
        <v>0</v>
      </c>
      <c r="FY21" s="56">
        <f>SUMIFS(tblActuals[Team 2 Goals],tblActuals[Team 2],$CK21,tblActuals[Team 1],FY$3)+SUMIFS(tblActuals[Team 1 Goals],tblActuals[Team 1],$CK21,tblActuals[Team 2],FY$3)</f>
        <v>0</v>
      </c>
      <c r="FZ21" s="57"/>
      <c r="GA21" s="57"/>
      <c r="GB21" s="37"/>
      <c r="GC21" s="37"/>
      <c r="GD21" s="37"/>
      <c r="GE21" s="37"/>
      <c r="GF21" s="37"/>
      <c r="GG21" s="37"/>
      <c r="GH21" s="75"/>
      <c r="GI21" s="156"/>
      <c r="GJ21" s="156"/>
      <c r="GK21" s="75"/>
      <c r="GL21" s="75"/>
      <c r="GM21" s="75"/>
      <c r="GN21" s="75"/>
      <c r="GO21" s="75"/>
      <c r="GP21" s="75"/>
    </row>
    <row r="22" spans="1:211" s="11" customFormat="1" ht="30" customHeight="1" thickBot="1" x14ac:dyDescent="0.3">
      <c r="A22" s="20"/>
      <c r="B22" s="122">
        <v>19</v>
      </c>
      <c r="C22" s="122" t="s">
        <v>7</v>
      </c>
      <c r="D22" s="123">
        <v>45464</v>
      </c>
      <c r="E22" s="122" t="s">
        <v>80</v>
      </c>
      <c r="F22" s="124">
        <v>0.75</v>
      </c>
      <c r="G22" s="125">
        <f t="shared" si="8"/>
        <v>45464.5</v>
      </c>
      <c r="H22" s="122" t="s">
        <v>107</v>
      </c>
      <c r="I22" s="126"/>
      <c r="J22" s="118"/>
      <c r="K22" s="118"/>
      <c r="L22" s="119" t="str">
        <f>IF(tblActuals[[#This Row],[SCORE]]="","",IF(Q22=R22,"Draw",IF(Q22&gt;R22,M22,N22)))</f>
        <v/>
      </c>
      <c r="M22" s="120" t="str">
        <f>IF(tblActuals[[#This Row],[TEAMS]]="","",LEFT(H22,FIND(" -",H22,1)-1))</f>
        <v>Poland</v>
      </c>
      <c r="N22" s="120" t="str">
        <f>IF(tblActuals[[#This Row],[TEAMS]]="","",MID(H22,FIND("-",H22,1)+2,LEN(H22)-FIND("-",H22,1)+2))</f>
        <v>Austria</v>
      </c>
      <c r="O22" s="120" t="str">
        <f>IF(tblActuals[[#This Row],[Team 1 Goals]]&gt;tblActuals[[#This Row],[Team 2 Goals]],tblActuals[[#This Row],[Team 1]],IF(tblActuals[[#This Row],[Team 2 Goals]]&gt;tblActuals[[#This Row],[Team 1 Goals]],tblActuals[[#This Row],[Team 2]],""))</f>
        <v/>
      </c>
      <c r="P22" s="120" t="str">
        <f>IF(tblActuals[[#This Row],[Winner]]=tblActuals[[#This Row],[Team 1]],tblActuals[[#This Row],[Team 2]],IF(tblActuals[[#This Row],[Winner]]=tblActuals[[#This Row],[Team 2]],tblActuals[[#This Row],[Team 1]],""))</f>
        <v/>
      </c>
      <c r="Q22" s="120" t="str">
        <f>IF(tblActuals[[#This Row],[SCORE]]="","",LEFT(I22,FIND(":",I22,1)-1)*1)</f>
        <v/>
      </c>
      <c r="R22" s="120" t="str">
        <f>IF(tblActuals[[#This Row],[SCORE]]="","",MID(I22,FIND(":",I22,1)+1,LEN(I22)-FIND(":",I22,1)+1)*1)</f>
        <v/>
      </c>
      <c r="S22" s="120" t="str">
        <f>IF(OR(tblActuals[[#This Row],[Team 1 Goals]]="",tblActuals[[#This Row],[Team 2 Goals]]=""),"",tblActuals[[#This Row],[Team 1 Goals]]-tblActuals[[#This Row],[Team 2 Goals]])</f>
        <v/>
      </c>
      <c r="T22" s="120" t="str">
        <f>IF(OR(tblActuals[[#This Row],[Team 1 Goals]]="",tblActuals[[#This Row],[Team 2 Goals]]=""),"",tblActuals[[#This Row],[Team 2 Goals]]-tblActuals[[#This Row],[Team 1 Goals]])</f>
        <v/>
      </c>
      <c r="U22" s="120" t="str">
        <f>IF(tblActuals[[#This Row],[SCORE]]="","",IF(tblActuals[[#This Row],[WINNER / RESULT]]="Draw",1,IF(tblActuals[[#This Row],[WINNER / RESULT]]=tblActuals[[#This Row],[Team 1]],3,0)))</f>
        <v/>
      </c>
      <c r="V22" s="120" t="str">
        <f>IF(tblActuals[[#This Row],[SCORE]]="","",IF(tblActuals[[#This Row],[WINNER / RESULT]]="Draw",1,IF(tblActuals[[#This Row],[WINNER / RESULT]]=tblActuals[[#This Row],[Team 2]],3,0)))</f>
        <v/>
      </c>
      <c r="W22" s="121"/>
      <c r="X22" s="121"/>
      <c r="Y22" s="121"/>
      <c r="Z22" s="121"/>
      <c r="AA22" s="120" t="e">
        <f>tblActuals[[#This Row],[Team 1 Goals]]+tblActuals[[#This Row],[Team 1 ET Goals]]&amp;":"&amp;tblActuals[[#This Row],[Team 2 Goals]]+tblActuals[[#This Row],[Team 2 ET Goals]]</f>
        <v>#VALUE!</v>
      </c>
      <c r="AB22" s="120" t="e">
        <f>+tblActuals[[#This Row],[Team 1 Goals]]+tblActuals[[#This Row],[Team 2 Goals]]</f>
        <v>#VALUE!</v>
      </c>
      <c r="AC22" s="165">
        <f t="shared" si="0"/>
        <v>45464</v>
      </c>
      <c r="AD22" s="166">
        <f t="shared" si="9"/>
        <v>22.2</v>
      </c>
      <c r="AJ22" s="77"/>
      <c r="AK22" s="148"/>
      <c r="AL22" s="148"/>
      <c r="AM22" s="148"/>
      <c r="AN22" s="148"/>
      <c r="AO22" s="148"/>
      <c r="AP22" s="75"/>
      <c r="AQ22" s="4"/>
      <c r="AR22" s="4"/>
      <c r="AS22" s="4" t="s">
        <v>7</v>
      </c>
      <c r="AT22" s="4" t="s">
        <v>32</v>
      </c>
      <c r="AU22" s="4">
        <f>COUNTIF(tblActuals[Winner],AT22)</f>
        <v>0</v>
      </c>
      <c r="AV22" s="4">
        <f>COUNTIFS(tblActuals[Team 2],AT22,tblActuals[WINNER / RESULT],"Draw")+COUNTIFS(tblActuals[Team 1],AT22,tblActuals[WINNER / RESULT],"Draw")</f>
        <v>0</v>
      </c>
      <c r="AW22" s="4">
        <f>COUNTIF(tblActuals[Loser],AT22)</f>
        <v>0</v>
      </c>
      <c r="AX22" s="4">
        <f>AV22+(3*AU22)</f>
        <v>0</v>
      </c>
      <c r="AY22" s="4">
        <f>SUMIFS(tblActuals[Team 1 Goals],tblActuals[Team 1],AT22)+SUMIFS(tblActuals[Team 2 Goals],tblActuals[Team 2],AT22)</f>
        <v>0</v>
      </c>
      <c r="AZ22" s="4">
        <f>SUMIFS(tblActuals[Team 2 Goals],tblActuals[Team 1],AT22)+SUMIFS(tblActuals[Team 1 Goals],tblActuals[Team 2],AT22)</f>
        <v>0</v>
      </c>
      <c r="BA22" s="4">
        <f>AY22-AZ22</f>
        <v>0</v>
      </c>
      <c r="BB22" s="4">
        <f ca="1">RANK(BO22,$BO$19:$BO$22,1)</f>
        <v>4</v>
      </c>
      <c r="BC22" s="4" t="str">
        <f t="shared" si="1"/>
        <v/>
      </c>
      <c r="BD22" s="4" t="str">
        <f ca="1">IF(BC22="",BB22&amp;AS22,BC22&amp;AS22)</f>
        <v>4D</v>
      </c>
      <c r="BE22" s="4">
        <f>RANK(AX22,$AX$19:$AX$22,0)</f>
        <v>1</v>
      </c>
      <c r="BF22" s="4" cm="1">
        <f t="array" aca="1" ref="BF22" ca="1">SUMPRODUCT((OFFSET($CL$3:$DQ$3,MATCH($AT22,$CK$4:$CK$35,0),0))*((IF($BE20=$BE22,$CL$3:$DQ$3=$AT20,0))+(IF($BE19=$BE22,$CL$3:$DQ$3=$AT19,0))+(IF($BE21=$BE22,$CL$3:$DQ$3=$AT21,0))))</f>
        <v>0</v>
      </c>
      <c r="BG22" s="4" cm="1">
        <f t="array" aca="1" ref="BG22" ca="1">SUMPRODUCT((OFFSET($DT$3:$EY$3,MATCH($AT22,$DS$4:$DS$35,0),0))*((IF($BE20=$BE22,$DT$3:$EY$3=$AT20,0))+(IF($BE19=$BE22,$DT$3:$EY$3=$AT19,0))+(IF($BE21=$BE22,$DT$3:$EY$3=$AT21,0))))</f>
        <v>0</v>
      </c>
      <c r="BH22" s="4" cm="1">
        <f t="array" aca="1" ref="BH22" ca="1">SUMPRODUCT((OFFSET($FB$3:$GG$3,MATCH($AT22,$FA$4:$FA$35,0),0))*((IF($BE20=$BE22,$FB$3:$GG$3=$AT20,0))+(IF($BE19=$BE22,$FB$3:$GG$3=$AT19,0))+(IF($BE21=$BE22,$FB$3:$GG$3=$AT21,0))))</f>
        <v>0</v>
      </c>
      <c r="BI22" s="4" cm="1">
        <f t="array" aca="1" ref="BI22" ca="1">SUMPRODUCT((OFFSET($CL$3:$DQ$3,MATCH($AT22,$CK$4:$CK$35,0),0))*((IF($BE20&lt;&gt;$BE22,$CL$3:$DQ$3=$AT20,0))+(IF($BE19&lt;&gt;$BE22,$CL$3:$DQ$3=$AT19,0))+(IF($BE21&lt;&gt;$BE22,$CL$3:$DQ$3=$AT21,0))))</f>
        <v>0</v>
      </c>
      <c r="BJ22" s="4" cm="1">
        <f t="array" aca="1" ref="BJ22" ca="1">SUMPRODUCT((OFFSET($DT$3:$EY$3,MATCH($AT22,$DS$4:$DS$35,0),0))*((IF($BE20&lt;&gt;$BE22,$DT$3:$EY$3=$AT20,0))+(IF($BE19&lt;&gt;$BE22,$DT$3:$EY$3=$AT19,0))+(IF($BE21&lt;&gt;$BE22,$DT$3:$EY$3=$AT21,0))))</f>
        <v>0</v>
      </c>
      <c r="BK22" s="4" cm="1">
        <f t="array" aca="1" ref="BK22" ca="1">SUMPRODUCT((OFFSET($FB$3:$GG$3,MATCH($AT22,$FA$4:$FA$35,0),0))*((IF($BE20&lt;&gt;$BE22,$FB$3:$GG$3=$AT20,0))+(IF($BE19&lt;&gt;$BE22,$FB$3:$GG$3=$AT19,0))+(IF($BE21&lt;&gt;$BE22,$FB$3:$GG$3=$AT21,0))))</f>
        <v>0</v>
      </c>
      <c r="BL22" s="4">
        <f t="shared" si="10"/>
        <v>0</v>
      </c>
      <c r="BM22" s="4">
        <f t="shared" si="11"/>
        <v>0</v>
      </c>
      <c r="BN22" s="4">
        <f ca="1">(BF22/10)+(BG22/100)+(BH22/1000)+(BJ22/10000)+(BK22/100000)+(BL22/1000000)+(BM22/10000000)+(ROW(BI19)/100000000)</f>
        <v>1.9000000000000001E-7</v>
      </c>
      <c r="BO22" s="4">
        <f ca="1">+BE22-BN22</f>
        <v>0.99999981000000004</v>
      </c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K22" s="4" t="s">
        <v>131</v>
      </c>
      <c r="CL22" s="56">
        <f>SUMIFS(tblActuals[Team 2 Points],tblActuals[Team 2],$CK22,tblActuals[Team 1],CL$3)+SUMIFS(tblActuals[Team 1 Points],tblActuals[Team 1],$CK22,tblActuals[Team 2],CL$3)</f>
        <v>0</v>
      </c>
      <c r="CM22" s="56">
        <f>SUMIFS(tblActuals[Team 2 Points],tblActuals[Team 2],$CK22,tblActuals[Team 1],CM$3)+SUMIFS(tblActuals[Team 1 Points],tblActuals[Team 1],$CK22,tblActuals[Team 2],CM$3)</f>
        <v>0</v>
      </c>
      <c r="CN22" s="56">
        <f>SUMIFS(tblActuals[Team 2 Points],tblActuals[Team 2],$CK22,tblActuals[Team 1],CN$3)+SUMIFS(tblActuals[Team 1 Points],tblActuals[Team 1],$CK22,tblActuals[Team 2],CN$3)</f>
        <v>0</v>
      </c>
      <c r="CO22" s="56">
        <f>SUMIFS(tblActuals[Team 2 Points],tblActuals[Team 2],$CK22,tblActuals[Team 1],CO$3)+SUMIFS(tblActuals[Team 1 Points],tblActuals[Team 1],$CK22,tblActuals[Team 2],CO$3)</f>
        <v>0</v>
      </c>
      <c r="CP22" s="56">
        <f>SUMIFS(tblActuals[Team 2 Points],tblActuals[Team 2],$CK22,tblActuals[Team 1],CP$3)+SUMIFS(tblActuals[Team 1 Points],tblActuals[Team 1],$CK22,tblActuals[Team 2],CP$3)</f>
        <v>0</v>
      </c>
      <c r="CQ22" s="56">
        <f>SUMIFS(tblActuals[Team 2 Points],tblActuals[Team 2],$CK22,tblActuals[Team 1],CQ$3)+SUMIFS(tblActuals[Team 1 Points],tblActuals[Team 1],$CK22,tblActuals[Team 2],CQ$3)</f>
        <v>0</v>
      </c>
      <c r="CR22" s="56">
        <f>SUMIFS(tblActuals[Team 2 Points],tblActuals[Team 2],$CK22,tblActuals[Team 1],CR$3)+SUMIFS(tblActuals[Team 1 Points],tblActuals[Team 1],$CK22,tblActuals[Team 2],CR$3)</f>
        <v>0</v>
      </c>
      <c r="CS22" s="56">
        <f>SUMIFS(tblActuals[Team 2 Points],tblActuals[Team 2],$CK22,tblActuals[Team 1],CS$3)+SUMIFS(tblActuals[Team 1 Points],tblActuals[Team 1],$CK22,tblActuals[Team 2],CS$3)</f>
        <v>0</v>
      </c>
      <c r="CT22" s="56">
        <f>SUMIFS(tblActuals[Team 2 Points],tblActuals[Team 2],$CK22,tblActuals[Team 1],CT$3)+SUMIFS(tblActuals[Team 1 Points],tblActuals[Team 1],$CK22,tblActuals[Team 2],CT$3)</f>
        <v>0</v>
      </c>
      <c r="CU22" s="56">
        <f>SUMIFS(tblActuals[Team 2 Points],tblActuals[Team 2],$CK22,tblActuals[Team 1],CU$3)+SUMIFS(tblActuals[Team 1 Points],tblActuals[Team 1],$CK22,tblActuals[Team 2],CU$3)</f>
        <v>0</v>
      </c>
      <c r="CV22" s="56">
        <f>SUMIFS(tblActuals[Team 2 Points],tblActuals[Team 2],$CK22,tblActuals[Team 1],CV$3)+SUMIFS(tblActuals[Team 1 Points],tblActuals[Team 1],$CK22,tblActuals[Team 2],CV$3)</f>
        <v>0</v>
      </c>
      <c r="CW22" s="56">
        <f>SUMIFS(tblActuals[Team 2 Points],tblActuals[Team 2],$CK22,tblActuals[Team 1],CW$3)+SUMIFS(tblActuals[Team 1 Points],tblActuals[Team 1],$CK22,tblActuals[Team 2],CW$3)</f>
        <v>0</v>
      </c>
      <c r="CX22" s="56">
        <f>SUMIFS(tblActuals[Team 2 Points],tblActuals[Team 2],$CK22,tblActuals[Team 1],CX$3)+SUMIFS(tblActuals[Team 1 Points],tblActuals[Team 1],$CK22,tblActuals[Team 2],CX$3)</f>
        <v>0</v>
      </c>
      <c r="CY22" s="56">
        <f>SUMIFS(tblActuals[Team 2 Points],tblActuals[Team 2],$CK22,tblActuals[Team 1],CY$3)+SUMIFS(tblActuals[Team 1 Points],tblActuals[Team 1],$CK22,tblActuals[Team 2],CY$3)</f>
        <v>0</v>
      </c>
      <c r="CZ22" s="56">
        <f>SUMIFS(tblActuals[Team 2 Points],tblActuals[Team 2],$CK22,tblActuals[Team 1],CZ$3)+SUMIFS(tblActuals[Team 1 Points],tblActuals[Team 1],$CK22,tblActuals[Team 2],CZ$3)</f>
        <v>0</v>
      </c>
      <c r="DA22" s="56">
        <f>SUMIFS(tblActuals[Team 2 Points],tblActuals[Team 2],$CK22,tblActuals[Team 1],DA$3)+SUMIFS(tblActuals[Team 1 Points],tblActuals[Team 1],$CK22,tblActuals[Team 2],DA$3)</f>
        <v>0</v>
      </c>
      <c r="DB22" s="56">
        <f>SUMIFS(tblActuals[Team 2 Points],tblActuals[Team 2],$CK22,tblActuals[Team 1],DB$3)+SUMIFS(tblActuals[Team 1 Points],tblActuals[Team 1],$CK22,tblActuals[Team 2],DB$3)</f>
        <v>0</v>
      </c>
      <c r="DC22" s="56">
        <f>SUMIFS(tblActuals[Team 2 Points],tblActuals[Team 2],$CK22,tblActuals[Team 1],DC$3)+SUMIFS(tblActuals[Team 1 Points],tblActuals[Team 1],$CK22,tblActuals[Team 2],DC$3)</f>
        <v>0</v>
      </c>
      <c r="DD22" s="56">
        <f>SUMIFS(tblActuals[Team 2 Points],tblActuals[Team 2],$CK22,tblActuals[Team 1],DD$3)+SUMIFS(tblActuals[Team 1 Points],tblActuals[Team 1],$CK22,tblActuals[Team 2],DD$3)</f>
        <v>0</v>
      </c>
      <c r="DE22" s="56">
        <f>SUMIFS(tblActuals[Team 2 Points],tblActuals[Team 2],$CK22,tblActuals[Team 1],DE$3)+SUMIFS(tblActuals[Team 1 Points],tblActuals[Team 1],$CK22,tblActuals[Team 2],DE$3)</f>
        <v>0</v>
      </c>
      <c r="DF22" s="56">
        <f>SUMIFS(tblActuals[Team 2 Points],tblActuals[Team 2],$CK22,tblActuals[Team 1],DF$3)+SUMIFS(tblActuals[Team 1 Points],tblActuals[Team 1],$CK22,tblActuals[Team 2],DF$3)</f>
        <v>0</v>
      </c>
      <c r="DG22" s="56">
        <f>SUMIFS(tblActuals[Team 2 Points],tblActuals[Team 2],$CK22,tblActuals[Team 1],DG$3)+SUMIFS(tblActuals[Team 1 Points],tblActuals[Team 1],$CK22,tblActuals[Team 2],DG$3)</f>
        <v>0</v>
      </c>
      <c r="DH22" s="56">
        <f>SUMIFS(tblActuals[Team 2 Points],tblActuals[Team 2],$CK22,tblActuals[Team 1],DH$3)+SUMIFS(tblActuals[Team 1 Points],tblActuals[Team 1],$CK22,tblActuals[Team 2],DH$3)</f>
        <v>0</v>
      </c>
      <c r="DI22" s="56">
        <f>SUMIFS(tblActuals[Team 2 Points],tblActuals[Team 2],$CK22,tblActuals[Team 1],DI$3)+SUMIFS(tblActuals[Team 1 Points],tblActuals[Team 1],$CK22,tblActuals[Team 2],DI$3)</f>
        <v>0</v>
      </c>
      <c r="DJ22" s="57"/>
      <c r="DK22" s="57"/>
      <c r="DL22" s="57"/>
      <c r="DM22" s="57"/>
      <c r="DN22" s="57"/>
      <c r="DO22" s="57"/>
      <c r="DP22" s="57"/>
      <c r="DQ22" s="57"/>
      <c r="DR22" s="4"/>
      <c r="DS22" s="4" t="s">
        <v>131</v>
      </c>
      <c r="DT22" s="56">
        <f>SUMIFS(tblActuals[Team 2 GD],tblActuals[Team 2],$CK22,tblActuals[Team 1],DT$3)+SUMIFS(tblActuals[Team 1 GD],tblActuals[Team 1],$CK22,tblActuals[Team 2],DT$3)</f>
        <v>0</v>
      </c>
      <c r="DU22" s="56">
        <f>SUMIFS(tblActuals[Team 2 GD],tblActuals[Team 2],$CK22,tblActuals[Team 1],DU$3)+SUMIFS(tblActuals[Team 1 GD],tblActuals[Team 1],$CK22,tblActuals[Team 2],DU$3)</f>
        <v>0</v>
      </c>
      <c r="DV22" s="56">
        <f>SUMIFS(tblActuals[Team 2 GD],tblActuals[Team 2],$CK22,tblActuals[Team 1],DV$3)+SUMIFS(tblActuals[Team 1 GD],tblActuals[Team 1],$CK22,tblActuals[Team 2],DV$3)</f>
        <v>0</v>
      </c>
      <c r="DW22" s="56">
        <f>SUMIFS(tblActuals[Team 2 GD],tblActuals[Team 2],$CK22,tblActuals[Team 1],DW$3)+SUMIFS(tblActuals[Team 1 GD],tblActuals[Team 1],$CK22,tblActuals[Team 2],DW$3)</f>
        <v>0</v>
      </c>
      <c r="DX22" s="56">
        <f>SUMIFS(tblActuals[Team 2 GD],tblActuals[Team 2],$CK22,tblActuals[Team 1],DX$3)+SUMIFS(tblActuals[Team 1 GD],tblActuals[Team 1],$CK22,tblActuals[Team 2],DX$3)</f>
        <v>0</v>
      </c>
      <c r="DY22" s="56">
        <f>SUMIFS(tblActuals[Team 2 GD],tblActuals[Team 2],$CK22,tblActuals[Team 1],DY$3)+SUMIFS(tblActuals[Team 1 GD],tblActuals[Team 1],$CK22,tblActuals[Team 2],DY$3)</f>
        <v>0</v>
      </c>
      <c r="DZ22" s="56">
        <f>SUMIFS(tblActuals[Team 2 GD],tblActuals[Team 2],$CK22,tblActuals[Team 1],DZ$3)+SUMIFS(tblActuals[Team 1 GD],tblActuals[Team 1],$CK22,tblActuals[Team 2],DZ$3)</f>
        <v>0</v>
      </c>
      <c r="EA22" s="56">
        <f>SUMIFS(tblActuals[Team 2 GD],tblActuals[Team 2],$CK22,tblActuals[Team 1],EA$3)+SUMIFS(tblActuals[Team 1 GD],tblActuals[Team 1],$CK22,tblActuals[Team 2],EA$3)</f>
        <v>0</v>
      </c>
      <c r="EB22" s="56">
        <f>SUMIFS(tblActuals[Team 2 GD],tblActuals[Team 2],$CK22,tblActuals[Team 1],EB$3)+SUMIFS(tblActuals[Team 1 GD],tblActuals[Team 1],$CK22,tblActuals[Team 2],EB$3)</f>
        <v>0</v>
      </c>
      <c r="EC22" s="56">
        <f>SUMIFS(tblActuals[Team 2 GD],tblActuals[Team 2],$CK22,tblActuals[Team 1],EC$3)+SUMIFS(tblActuals[Team 1 GD],tblActuals[Team 1],$CK22,tblActuals[Team 2],EC$3)</f>
        <v>0</v>
      </c>
      <c r="ED22" s="56">
        <f>SUMIFS(tblActuals[Team 2 GD],tblActuals[Team 2],$CK22,tblActuals[Team 1],ED$3)+SUMIFS(tblActuals[Team 1 GD],tblActuals[Team 1],$CK22,tblActuals[Team 2],ED$3)</f>
        <v>0</v>
      </c>
      <c r="EE22" s="56">
        <f>SUMIFS(tblActuals[Team 2 GD],tblActuals[Team 2],$CK22,tblActuals[Team 1],EE$3)+SUMIFS(tblActuals[Team 1 GD],tblActuals[Team 1],$CK22,tblActuals[Team 2],EE$3)</f>
        <v>0</v>
      </c>
      <c r="EF22" s="56">
        <f>SUMIFS(tblActuals[Team 2 GD],tblActuals[Team 2],$CK22,tblActuals[Team 1],EF$3)+SUMIFS(tblActuals[Team 1 GD],tblActuals[Team 1],$CK22,tblActuals[Team 2],EF$3)</f>
        <v>0</v>
      </c>
      <c r="EG22" s="56">
        <f>SUMIFS(tblActuals[Team 2 GD],tblActuals[Team 2],$CK22,tblActuals[Team 1],EG$3)+SUMIFS(tblActuals[Team 1 GD],tblActuals[Team 1],$CK22,tblActuals[Team 2],EG$3)</f>
        <v>0</v>
      </c>
      <c r="EH22" s="56">
        <f>SUMIFS(tblActuals[Team 2 GD],tblActuals[Team 2],$CK22,tblActuals[Team 1],EH$3)+SUMIFS(tblActuals[Team 1 GD],tblActuals[Team 1],$CK22,tblActuals[Team 2],EH$3)</f>
        <v>0</v>
      </c>
      <c r="EI22" s="56">
        <f>SUMIFS(tblActuals[Team 2 GD],tblActuals[Team 2],$CK22,tblActuals[Team 1],EI$3)+SUMIFS(tblActuals[Team 1 GD],tblActuals[Team 1],$CK22,tblActuals[Team 2],EI$3)</f>
        <v>0</v>
      </c>
      <c r="EJ22" s="56">
        <f>SUMIFS(tblActuals[Team 2 GD],tblActuals[Team 2],$CK22,tblActuals[Team 1],EJ$3)+SUMIFS(tblActuals[Team 1 GD],tblActuals[Team 1],$CK22,tblActuals[Team 2],EJ$3)</f>
        <v>0</v>
      </c>
      <c r="EK22" s="56">
        <f>SUMIFS(tblActuals[Team 2 GD],tblActuals[Team 2],$CK22,tblActuals[Team 1],EK$3)+SUMIFS(tblActuals[Team 1 GD],tblActuals[Team 1],$CK22,tblActuals[Team 2],EK$3)</f>
        <v>0</v>
      </c>
      <c r="EL22" s="56">
        <f>SUMIFS(tblActuals[Team 2 GD],tblActuals[Team 2],$CK22,tblActuals[Team 1],EL$3)+SUMIFS(tblActuals[Team 1 GD],tblActuals[Team 1],$CK22,tblActuals[Team 2],EL$3)</f>
        <v>0</v>
      </c>
      <c r="EM22" s="56">
        <f>SUMIFS(tblActuals[Team 2 GD],tblActuals[Team 2],$CK22,tblActuals[Team 1],EM$3)+SUMIFS(tblActuals[Team 1 GD],tblActuals[Team 1],$CK22,tblActuals[Team 2],EM$3)</f>
        <v>0</v>
      </c>
      <c r="EN22" s="56">
        <f>SUMIFS(tblActuals[Team 2 GD],tblActuals[Team 2],$CK22,tblActuals[Team 1],EN$3)+SUMIFS(tblActuals[Team 1 GD],tblActuals[Team 1],$CK22,tblActuals[Team 2],EN$3)</f>
        <v>0</v>
      </c>
      <c r="EO22" s="56">
        <f>SUMIFS(tblActuals[Team 2 GD],tblActuals[Team 2],$CK22,tblActuals[Team 1],EO$3)+SUMIFS(tblActuals[Team 1 GD],tblActuals[Team 1],$CK22,tblActuals[Team 2],EO$3)</f>
        <v>0</v>
      </c>
      <c r="EP22" s="56">
        <f>SUMIFS(tblActuals[Team 2 GD],tblActuals[Team 2],$CK22,tblActuals[Team 1],EP$3)+SUMIFS(tblActuals[Team 1 GD],tblActuals[Team 1],$CK22,tblActuals[Team 2],EP$3)</f>
        <v>0</v>
      </c>
      <c r="EQ22" s="56">
        <f>SUMIFS(tblActuals[Team 2 GD],tblActuals[Team 2],$CK22,tblActuals[Team 1],EQ$3)+SUMIFS(tblActuals[Team 1 GD],tblActuals[Team 1],$CK22,tblActuals[Team 2],EQ$3)</f>
        <v>0</v>
      </c>
      <c r="ER22" s="57"/>
      <c r="ES22" s="57"/>
      <c r="ET22" s="57"/>
      <c r="EU22" s="57"/>
      <c r="EV22" s="57"/>
      <c r="EW22" s="57"/>
      <c r="EX22" s="57"/>
      <c r="EY22" s="57"/>
      <c r="EZ22" s="4"/>
      <c r="FA22" s="4" t="s">
        <v>131</v>
      </c>
      <c r="FB22" s="56">
        <f>SUMIFS(tblActuals[Team 2 Goals],tblActuals[Team 2],$CK22,tblActuals[Team 1],FB$3)+SUMIFS(tblActuals[Team 1 Goals],tblActuals[Team 1],$CK22,tblActuals[Team 2],FB$3)</f>
        <v>0</v>
      </c>
      <c r="FC22" s="56">
        <f>SUMIFS(tblActuals[Team 2 Goals],tblActuals[Team 2],$CK22,tblActuals[Team 1],FC$3)+SUMIFS(tblActuals[Team 1 Goals],tblActuals[Team 1],$CK22,tblActuals[Team 2],FC$3)</f>
        <v>0</v>
      </c>
      <c r="FD22" s="56">
        <f>SUMIFS(tblActuals[Team 2 Goals],tblActuals[Team 2],$CK22,tblActuals[Team 1],FD$3)+SUMIFS(tblActuals[Team 1 Goals],tblActuals[Team 1],$CK22,tblActuals[Team 2],FD$3)</f>
        <v>0</v>
      </c>
      <c r="FE22" s="56">
        <f>SUMIFS(tblActuals[Team 2 Goals],tblActuals[Team 2],$CK22,tblActuals[Team 1],FE$3)+SUMIFS(tblActuals[Team 1 Goals],tblActuals[Team 1],$CK22,tblActuals[Team 2],FE$3)</f>
        <v>0</v>
      </c>
      <c r="FF22" s="56">
        <f>SUMIFS(tblActuals[Team 2 Goals],tblActuals[Team 2],$CK22,tblActuals[Team 1],FF$3)+SUMIFS(tblActuals[Team 1 Goals],tblActuals[Team 1],$CK22,tblActuals[Team 2],FF$3)</f>
        <v>0</v>
      </c>
      <c r="FG22" s="56">
        <f>SUMIFS(tblActuals[Team 2 Goals],tblActuals[Team 2],$CK22,tblActuals[Team 1],FG$3)+SUMIFS(tblActuals[Team 1 Goals],tblActuals[Team 1],$CK22,tblActuals[Team 2],FG$3)</f>
        <v>0</v>
      </c>
      <c r="FH22" s="56">
        <f>SUMIFS(tblActuals[Team 2 Goals],tblActuals[Team 2],$CK22,tblActuals[Team 1],FH$3)+SUMIFS(tblActuals[Team 1 Goals],tblActuals[Team 1],$CK22,tblActuals[Team 2],FH$3)</f>
        <v>0</v>
      </c>
      <c r="FI22" s="56">
        <f>SUMIFS(tblActuals[Team 2 Goals],tblActuals[Team 2],$CK22,tblActuals[Team 1],FI$3)+SUMIFS(tblActuals[Team 1 Goals],tblActuals[Team 1],$CK22,tblActuals[Team 2],FI$3)</f>
        <v>0</v>
      </c>
      <c r="FJ22" s="56">
        <f>SUMIFS(tblActuals[Team 2 Goals],tblActuals[Team 2],$CK22,tblActuals[Team 1],FJ$3)+SUMIFS(tblActuals[Team 1 Goals],tblActuals[Team 1],$CK22,tblActuals[Team 2],FJ$3)</f>
        <v>0</v>
      </c>
      <c r="FK22" s="56">
        <f>SUMIFS(tblActuals[Team 2 Goals],tblActuals[Team 2],$CK22,tblActuals[Team 1],FK$3)+SUMIFS(tblActuals[Team 1 Goals],tblActuals[Team 1],$CK22,tblActuals[Team 2],FK$3)</f>
        <v>0</v>
      </c>
      <c r="FL22" s="56">
        <f>SUMIFS(tblActuals[Team 2 Goals],tblActuals[Team 2],$CK22,tblActuals[Team 1],FL$3)+SUMIFS(tblActuals[Team 1 Goals],tblActuals[Team 1],$CK22,tblActuals[Team 2],FL$3)</f>
        <v>0</v>
      </c>
      <c r="FM22" s="56">
        <f>SUMIFS(tblActuals[Team 2 Goals],tblActuals[Team 2],$CK22,tblActuals[Team 1],FM$3)+SUMIFS(tblActuals[Team 1 Goals],tblActuals[Team 1],$CK22,tblActuals[Team 2],FM$3)</f>
        <v>0</v>
      </c>
      <c r="FN22" s="56">
        <f>SUMIFS(tblActuals[Team 2 Goals],tblActuals[Team 2],$CK22,tblActuals[Team 1],FN$3)+SUMIFS(tblActuals[Team 1 Goals],tblActuals[Team 1],$CK22,tblActuals[Team 2],FN$3)</f>
        <v>0</v>
      </c>
      <c r="FO22" s="56">
        <f>SUMIFS(tblActuals[Team 2 Goals],tblActuals[Team 2],$CK22,tblActuals[Team 1],FO$3)+SUMIFS(tblActuals[Team 1 Goals],tblActuals[Team 1],$CK22,tblActuals[Team 2],FO$3)</f>
        <v>0</v>
      </c>
      <c r="FP22" s="56">
        <f>SUMIFS(tblActuals[Team 2 Goals],tblActuals[Team 2],$CK22,tblActuals[Team 1],FP$3)+SUMIFS(tblActuals[Team 1 Goals],tblActuals[Team 1],$CK22,tblActuals[Team 2],FP$3)</f>
        <v>0</v>
      </c>
      <c r="FQ22" s="56">
        <f>SUMIFS(tblActuals[Team 2 Goals],tblActuals[Team 2],$CK22,tblActuals[Team 1],FQ$3)+SUMIFS(tblActuals[Team 1 Goals],tblActuals[Team 1],$CK22,tblActuals[Team 2],FQ$3)</f>
        <v>0</v>
      </c>
      <c r="FR22" s="56">
        <f>SUMIFS(tblActuals[Team 2 Goals],tblActuals[Team 2],$CK22,tblActuals[Team 1],FR$3)+SUMIFS(tblActuals[Team 1 Goals],tblActuals[Team 1],$CK22,tblActuals[Team 2],FR$3)</f>
        <v>0</v>
      </c>
      <c r="FS22" s="56">
        <f>SUMIFS(tblActuals[Team 2 Goals],tblActuals[Team 2],$CK22,tblActuals[Team 1],FS$3)+SUMIFS(tblActuals[Team 1 Goals],tblActuals[Team 1],$CK22,tblActuals[Team 2],FS$3)</f>
        <v>0</v>
      </c>
      <c r="FT22" s="56">
        <f>SUMIFS(tblActuals[Team 2 Goals],tblActuals[Team 2],$CK22,tblActuals[Team 1],FT$3)+SUMIFS(tblActuals[Team 1 Goals],tblActuals[Team 1],$CK22,tblActuals[Team 2],FT$3)</f>
        <v>0</v>
      </c>
      <c r="FU22" s="56">
        <f>SUMIFS(tblActuals[Team 2 Goals],tblActuals[Team 2],$CK22,tblActuals[Team 1],FU$3)+SUMIFS(tblActuals[Team 1 Goals],tblActuals[Team 1],$CK22,tblActuals[Team 2],FU$3)</f>
        <v>0</v>
      </c>
      <c r="FV22" s="56">
        <f>SUMIFS(tblActuals[Team 2 Goals],tblActuals[Team 2],$CK22,tblActuals[Team 1],FV$3)+SUMIFS(tblActuals[Team 1 Goals],tblActuals[Team 1],$CK22,tblActuals[Team 2],FV$3)</f>
        <v>0</v>
      </c>
      <c r="FW22" s="56">
        <f>SUMIFS(tblActuals[Team 2 Goals],tblActuals[Team 2],$CK22,tblActuals[Team 1],FW$3)+SUMIFS(tblActuals[Team 1 Goals],tblActuals[Team 1],$CK22,tblActuals[Team 2],FW$3)</f>
        <v>0</v>
      </c>
      <c r="FX22" s="56">
        <f>SUMIFS(tblActuals[Team 2 Goals],tblActuals[Team 2],$CK22,tblActuals[Team 1],FX$3)+SUMIFS(tblActuals[Team 1 Goals],tblActuals[Team 1],$CK22,tblActuals[Team 2],FX$3)</f>
        <v>0</v>
      </c>
      <c r="FY22" s="56">
        <f>SUMIFS(tblActuals[Team 2 Goals],tblActuals[Team 2],$CK22,tblActuals[Team 1],FY$3)+SUMIFS(tblActuals[Team 1 Goals],tblActuals[Team 1],$CK22,tblActuals[Team 2],FY$3)</f>
        <v>0</v>
      </c>
      <c r="FZ22" s="57"/>
      <c r="GA22" s="57"/>
      <c r="GB22" s="37"/>
      <c r="GC22" s="37"/>
      <c r="GD22" s="37"/>
      <c r="GE22" s="37"/>
      <c r="GF22" s="37"/>
      <c r="GG22" s="37"/>
      <c r="GH22" s="75"/>
      <c r="GI22" s="157"/>
      <c r="GJ22" s="157"/>
      <c r="GK22" s="75"/>
      <c r="GL22" s="75"/>
      <c r="GM22" s="75"/>
      <c r="GN22" s="75"/>
      <c r="GO22" s="75"/>
      <c r="GP22" s="75"/>
    </row>
    <row r="23" spans="1:211" s="11" customFormat="1" ht="30" customHeight="1" thickBot="1" x14ac:dyDescent="0.3">
      <c r="A23" s="20"/>
      <c r="B23" s="122">
        <v>20</v>
      </c>
      <c r="C23" s="122" t="s">
        <v>7</v>
      </c>
      <c r="D23" s="123">
        <v>45464</v>
      </c>
      <c r="E23" s="122" t="s">
        <v>87</v>
      </c>
      <c r="F23" s="124">
        <v>0.875</v>
      </c>
      <c r="G23" s="125">
        <f t="shared" si="8"/>
        <v>45464.625</v>
      </c>
      <c r="H23" s="122" t="s">
        <v>108</v>
      </c>
      <c r="I23" s="126"/>
      <c r="J23" s="118"/>
      <c r="K23" s="118"/>
      <c r="L23" s="119" t="str">
        <f>IF(tblActuals[[#This Row],[SCORE]]="","",IF(Q23=R23,"Draw",IF(Q23&gt;R23,M23,N23)))</f>
        <v/>
      </c>
      <c r="M23" s="120" t="str">
        <f>IF(tblActuals[[#This Row],[TEAMS]]="","",LEFT(H23,FIND(" -",H23,1)-1))</f>
        <v>Netherlands</v>
      </c>
      <c r="N23" s="120" t="str">
        <f>IF(tblActuals[[#This Row],[TEAMS]]="","",MID(H23,FIND("-",H23,1)+2,LEN(H23)-FIND("-",H23,1)+2))</f>
        <v>France</v>
      </c>
      <c r="O23" s="120" t="str">
        <f>IF(tblActuals[[#This Row],[Team 1 Goals]]&gt;tblActuals[[#This Row],[Team 2 Goals]],tblActuals[[#This Row],[Team 1]],IF(tblActuals[[#This Row],[Team 2 Goals]]&gt;tblActuals[[#This Row],[Team 1 Goals]],tblActuals[[#This Row],[Team 2]],""))</f>
        <v/>
      </c>
      <c r="P23" s="120" t="str">
        <f>IF(tblActuals[[#This Row],[Winner]]=tblActuals[[#This Row],[Team 1]],tblActuals[[#This Row],[Team 2]],IF(tblActuals[[#This Row],[Winner]]=tblActuals[[#This Row],[Team 2]],tblActuals[[#This Row],[Team 1]],""))</f>
        <v/>
      </c>
      <c r="Q23" s="120" t="str">
        <f>IF(tblActuals[[#This Row],[SCORE]]="","",LEFT(I23,FIND(":",I23,1)-1)*1)</f>
        <v/>
      </c>
      <c r="R23" s="120" t="str">
        <f>IF(tblActuals[[#This Row],[SCORE]]="","",MID(I23,FIND(":",I23,1)+1,LEN(I23)-FIND(":",I23,1)+1)*1)</f>
        <v/>
      </c>
      <c r="S23" s="120" t="str">
        <f>IF(OR(tblActuals[[#This Row],[Team 1 Goals]]="",tblActuals[[#This Row],[Team 2 Goals]]=""),"",tblActuals[[#This Row],[Team 1 Goals]]-tblActuals[[#This Row],[Team 2 Goals]])</f>
        <v/>
      </c>
      <c r="T23" s="120" t="str">
        <f>IF(OR(tblActuals[[#This Row],[Team 1 Goals]]="",tblActuals[[#This Row],[Team 2 Goals]]=""),"",tblActuals[[#This Row],[Team 2 Goals]]-tblActuals[[#This Row],[Team 1 Goals]])</f>
        <v/>
      </c>
      <c r="U23" s="120" t="str">
        <f>IF(tblActuals[[#This Row],[SCORE]]="","",IF(tblActuals[[#This Row],[WINNER / RESULT]]="Draw",1,IF(tblActuals[[#This Row],[WINNER / RESULT]]=tblActuals[[#This Row],[Team 1]],3,0)))</f>
        <v/>
      </c>
      <c r="V23" s="120" t="str">
        <f>IF(tblActuals[[#This Row],[SCORE]]="","",IF(tblActuals[[#This Row],[WINNER / RESULT]]="Draw",1,IF(tblActuals[[#This Row],[WINNER / RESULT]]=tblActuals[[#This Row],[Team 2]],3,0)))</f>
        <v/>
      </c>
      <c r="W23" s="121"/>
      <c r="X23" s="121"/>
      <c r="Y23" s="121"/>
      <c r="Z23" s="121"/>
      <c r="AA23" s="120" t="e">
        <f>tblActuals[[#This Row],[Team 1 Goals]]+tblActuals[[#This Row],[Team 1 ET Goals]]&amp;":"&amp;tblActuals[[#This Row],[Team 2 Goals]]+tblActuals[[#This Row],[Team 2 ET Goals]]</f>
        <v>#VALUE!</v>
      </c>
      <c r="AB23" s="120" t="e">
        <f>+tblActuals[[#This Row],[Team 1 Goals]]+tblActuals[[#This Row],[Team 2 Goals]]</f>
        <v>#VALUE!</v>
      </c>
      <c r="AC23" s="165">
        <f t="shared" si="0"/>
        <v>45464</v>
      </c>
      <c r="AD23" s="166">
        <f t="shared" si="9"/>
        <v>23.3</v>
      </c>
      <c r="AJ23" s="78"/>
      <c r="AK23" s="179" t="s">
        <v>54</v>
      </c>
      <c r="AL23" s="180"/>
      <c r="AM23" s="133" t="s">
        <v>46</v>
      </c>
      <c r="AN23" s="134" t="s">
        <v>57</v>
      </c>
      <c r="AO23" s="135" t="s">
        <v>11</v>
      </c>
      <c r="AP23" s="75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 t="str">
        <f t="shared" si="1"/>
        <v/>
      </c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K23" s="4" t="s">
        <v>132</v>
      </c>
      <c r="CL23" s="56">
        <f>SUMIFS(tblActuals[Team 2 Points],tblActuals[Team 2],$CK23,tblActuals[Team 1],CL$3)+SUMIFS(tblActuals[Team 1 Points],tblActuals[Team 1],$CK23,tblActuals[Team 2],CL$3)</f>
        <v>0</v>
      </c>
      <c r="CM23" s="56">
        <f>SUMIFS(tblActuals[Team 2 Points],tblActuals[Team 2],$CK23,tblActuals[Team 1],CM$3)+SUMIFS(tblActuals[Team 1 Points],tblActuals[Team 1],$CK23,tblActuals[Team 2],CM$3)</f>
        <v>0</v>
      </c>
      <c r="CN23" s="56">
        <f>SUMIFS(tblActuals[Team 2 Points],tblActuals[Team 2],$CK23,tblActuals[Team 1],CN$3)+SUMIFS(tblActuals[Team 1 Points],tblActuals[Team 1],$CK23,tblActuals[Team 2],CN$3)</f>
        <v>0</v>
      </c>
      <c r="CO23" s="56">
        <f>SUMIFS(tblActuals[Team 2 Points],tblActuals[Team 2],$CK23,tblActuals[Team 1],CO$3)+SUMIFS(tblActuals[Team 1 Points],tblActuals[Team 1],$CK23,tblActuals[Team 2],CO$3)</f>
        <v>0</v>
      </c>
      <c r="CP23" s="56">
        <f>SUMIFS(tblActuals[Team 2 Points],tblActuals[Team 2],$CK23,tblActuals[Team 1],CP$3)+SUMIFS(tblActuals[Team 1 Points],tblActuals[Team 1],$CK23,tblActuals[Team 2],CP$3)</f>
        <v>0</v>
      </c>
      <c r="CQ23" s="56">
        <f>SUMIFS(tblActuals[Team 2 Points],tblActuals[Team 2],$CK23,tblActuals[Team 1],CQ$3)+SUMIFS(tblActuals[Team 1 Points],tblActuals[Team 1],$CK23,tblActuals[Team 2],CQ$3)</f>
        <v>0</v>
      </c>
      <c r="CR23" s="56">
        <f>SUMIFS(tblActuals[Team 2 Points],tblActuals[Team 2],$CK23,tblActuals[Team 1],CR$3)+SUMIFS(tblActuals[Team 1 Points],tblActuals[Team 1],$CK23,tblActuals[Team 2],CR$3)</f>
        <v>0</v>
      </c>
      <c r="CS23" s="56">
        <f>SUMIFS(tblActuals[Team 2 Points],tblActuals[Team 2],$CK23,tblActuals[Team 1],CS$3)+SUMIFS(tblActuals[Team 1 Points],tblActuals[Team 1],$CK23,tblActuals[Team 2],CS$3)</f>
        <v>0</v>
      </c>
      <c r="CT23" s="56">
        <f>SUMIFS(tblActuals[Team 2 Points],tblActuals[Team 2],$CK23,tblActuals[Team 1],CT$3)+SUMIFS(tblActuals[Team 1 Points],tblActuals[Team 1],$CK23,tblActuals[Team 2],CT$3)</f>
        <v>0</v>
      </c>
      <c r="CU23" s="56">
        <f>SUMIFS(tblActuals[Team 2 Points],tblActuals[Team 2],$CK23,tblActuals[Team 1],CU$3)+SUMIFS(tblActuals[Team 1 Points],tblActuals[Team 1],$CK23,tblActuals[Team 2],CU$3)</f>
        <v>0</v>
      </c>
      <c r="CV23" s="56">
        <f>SUMIFS(tblActuals[Team 2 Points],tblActuals[Team 2],$CK23,tblActuals[Team 1],CV$3)+SUMIFS(tblActuals[Team 1 Points],tblActuals[Team 1],$CK23,tblActuals[Team 2],CV$3)</f>
        <v>0</v>
      </c>
      <c r="CW23" s="56">
        <f>SUMIFS(tblActuals[Team 2 Points],tblActuals[Team 2],$CK23,tblActuals[Team 1],CW$3)+SUMIFS(tblActuals[Team 1 Points],tblActuals[Team 1],$CK23,tblActuals[Team 2],CW$3)</f>
        <v>0</v>
      </c>
      <c r="CX23" s="56">
        <f>SUMIFS(tblActuals[Team 2 Points],tblActuals[Team 2],$CK23,tblActuals[Team 1],CX$3)+SUMIFS(tblActuals[Team 1 Points],tblActuals[Team 1],$CK23,tblActuals[Team 2],CX$3)</f>
        <v>0</v>
      </c>
      <c r="CY23" s="56">
        <f>SUMIFS(tblActuals[Team 2 Points],tblActuals[Team 2],$CK23,tblActuals[Team 1],CY$3)+SUMIFS(tblActuals[Team 1 Points],tblActuals[Team 1],$CK23,tblActuals[Team 2],CY$3)</f>
        <v>0</v>
      </c>
      <c r="CZ23" s="56">
        <f>SUMIFS(tblActuals[Team 2 Points],tblActuals[Team 2],$CK23,tblActuals[Team 1],CZ$3)+SUMIFS(tblActuals[Team 1 Points],tblActuals[Team 1],$CK23,tblActuals[Team 2],CZ$3)</f>
        <v>0</v>
      </c>
      <c r="DA23" s="56">
        <f>SUMIFS(tblActuals[Team 2 Points],tblActuals[Team 2],$CK23,tblActuals[Team 1],DA$3)+SUMIFS(tblActuals[Team 1 Points],tblActuals[Team 1],$CK23,tblActuals[Team 2],DA$3)</f>
        <v>0</v>
      </c>
      <c r="DB23" s="56">
        <f>SUMIFS(tblActuals[Team 2 Points],tblActuals[Team 2],$CK23,tblActuals[Team 1],DB$3)+SUMIFS(tblActuals[Team 1 Points],tblActuals[Team 1],$CK23,tblActuals[Team 2],DB$3)</f>
        <v>0</v>
      </c>
      <c r="DC23" s="56">
        <f>SUMIFS(tblActuals[Team 2 Points],tblActuals[Team 2],$CK23,tblActuals[Team 1],DC$3)+SUMIFS(tblActuals[Team 1 Points],tblActuals[Team 1],$CK23,tblActuals[Team 2],DC$3)</f>
        <v>0</v>
      </c>
      <c r="DD23" s="56">
        <f>SUMIFS(tblActuals[Team 2 Points],tblActuals[Team 2],$CK23,tblActuals[Team 1],DD$3)+SUMIFS(tblActuals[Team 1 Points],tblActuals[Team 1],$CK23,tblActuals[Team 2],DD$3)</f>
        <v>0</v>
      </c>
      <c r="DE23" s="56">
        <f>SUMIFS(tblActuals[Team 2 Points],tblActuals[Team 2],$CK23,tblActuals[Team 1],DE$3)+SUMIFS(tblActuals[Team 1 Points],tblActuals[Team 1],$CK23,tblActuals[Team 2],DE$3)</f>
        <v>0</v>
      </c>
      <c r="DF23" s="56">
        <f>SUMIFS(tblActuals[Team 2 Points],tblActuals[Team 2],$CK23,tblActuals[Team 1],DF$3)+SUMIFS(tblActuals[Team 1 Points],tblActuals[Team 1],$CK23,tblActuals[Team 2],DF$3)</f>
        <v>0</v>
      </c>
      <c r="DG23" s="56">
        <f>SUMIFS(tblActuals[Team 2 Points],tblActuals[Team 2],$CK23,tblActuals[Team 1],DG$3)+SUMIFS(tblActuals[Team 1 Points],tblActuals[Team 1],$CK23,tblActuals[Team 2],DG$3)</f>
        <v>0</v>
      </c>
      <c r="DH23" s="56">
        <f>SUMIFS(tblActuals[Team 2 Points],tblActuals[Team 2],$CK23,tblActuals[Team 1],DH$3)+SUMIFS(tblActuals[Team 1 Points],tblActuals[Team 1],$CK23,tblActuals[Team 2],DH$3)</f>
        <v>0</v>
      </c>
      <c r="DI23" s="56">
        <f>SUMIFS(tblActuals[Team 2 Points],tblActuals[Team 2],$CK23,tblActuals[Team 1],DI$3)+SUMIFS(tblActuals[Team 1 Points],tblActuals[Team 1],$CK23,tblActuals[Team 2],DI$3)</f>
        <v>0</v>
      </c>
      <c r="DJ23" s="57"/>
      <c r="DK23" s="57"/>
      <c r="DL23" s="57"/>
      <c r="DM23" s="57"/>
      <c r="DN23" s="57"/>
      <c r="DO23" s="57"/>
      <c r="DP23" s="57"/>
      <c r="DQ23" s="57"/>
      <c r="DR23" s="4"/>
      <c r="DS23" s="4" t="s">
        <v>132</v>
      </c>
      <c r="DT23" s="56">
        <f>SUMIFS(tblActuals[Team 2 GD],tblActuals[Team 2],$CK23,tblActuals[Team 1],DT$3)+SUMIFS(tblActuals[Team 1 GD],tblActuals[Team 1],$CK23,tblActuals[Team 2],DT$3)</f>
        <v>0</v>
      </c>
      <c r="DU23" s="56">
        <f>SUMIFS(tblActuals[Team 2 GD],tblActuals[Team 2],$CK23,tblActuals[Team 1],DU$3)+SUMIFS(tblActuals[Team 1 GD],tblActuals[Team 1],$CK23,tblActuals[Team 2],DU$3)</f>
        <v>0</v>
      </c>
      <c r="DV23" s="56">
        <f>SUMIFS(tblActuals[Team 2 GD],tblActuals[Team 2],$CK23,tblActuals[Team 1],DV$3)+SUMIFS(tblActuals[Team 1 GD],tblActuals[Team 1],$CK23,tblActuals[Team 2],DV$3)</f>
        <v>0</v>
      </c>
      <c r="DW23" s="56">
        <f>SUMIFS(tblActuals[Team 2 GD],tblActuals[Team 2],$CK23,tblActuals[Team 1],DW$3)+SUMIFS(tblActuals[Team 1 GD],tblActuals[Team 1],$CK23,tblActuals[Team 2],DW$3)</f>
        <v>0</v>
      </c>
      <c r="DX23" s="56">
        <f>SUMIFS(tblActuals[Team 2 GD],tblActuals[Team 2],$CK23,tblActuals[Team 1],DX$3)+SUMIFS(tblActuals[Team 1 GD],tblActuals[Team 1],$CK23,tblActuals[Team 2],DX$3)</f>
        <v>0</v>
      </c>
      <c r="DY23" s="56">
        <f>SUMIFS(tblActuals[Team 2 GD],tblActuals[Team 2],$CK23,tblActuals[Team 1],DY$3)+SUMIFS(tblActuals[Team 1 GD],tblActuals[Team 1],$CK23,tblActuals[Team 2],DY$3)</f>
        <v>0</v>
      </c>
      <c r="DZ23" s="56">
        <f>SUMIFS(tblActuals[Team 2 GD],tblActuals[Team 2],$CK23,tblActuals[Team 1],DZ$3)+SUMIFS(tblActuals[Team 1 GD],tblActuals[Team 1],$CK23,tblActuals[Team 2],DZ$3)</f>
        <v>0</v>
      </c>
      <c r="EA23" s="56">
        <f>SUMIFS(tblActuals[Team 2 GD],tblActuals[Team 2],$CK23,tblActuals[Team 1],EA$3)+SUMIFS(tblActuals[Team 1 GD],tblActuals[Team 1],$CK23,tblActuals[Team 2],EA$3)</f>
        <v>0</v>
      </c>
      <c r="EB23" s="56">
        <f>SUMIFS(tblActuals[Team 2 GD],tblActuals[Team 2],$CK23,tblActuals[Team 1],EB$3)+SUMIFS(tblActuals[Team 1 GD],tblActuals[Team 1],$CK23,tblActuals[Team 2],EB$3)</f>
        <v>0</v>
      </c>
      <c r="EC23" s="56">
        <f>SUMIFS(tblActuals[Team 2 GD],tblActuals[Team 2],$CK23,tblActuals[Team 1],EC$3)+SUMIFS(tblActuals[Team 1 GD],tblActuals[Team 1],$CK23,tblActuals[Team 2],EC$3)</f>
        <v>0</v>
      </c>
      <c r="ED23" s="56">
        <f>SUMIFS(tblActuals[Team 2 GD],tblActuals[Team 2],$CK23,tblActuals[Team 1],ED$3)+SUMIFS(tblActuals[Team 1 GD],tblActuals[Team 1],$CK23,tblActuals[Team 2],ED$3)</f>
        <v>0</v>
      </c>
      <c r="EE23" s="56">
        <f>SUMIFS(tblActuals[Team 2 GD],tblActuals[Team 2],$CK23,tblActuals[Team 1],EE$3)+SUMIFS(tblActuals[Team 1 GD],tblActuals[Team 1],$CK23,tblActuals[Team 2],EE$3)</f>
        <v>0</v>
      </c>
      <c r="EF23" s="56">
        <f>SUMIFS(tblActuals[Team 2 GD],tblActuals[Team 2],$CK23,tblActuals[Team 1],EF$3)+SUMIFS(tblActuals[Team 1 GD],tblActuals[Team 1],$CK23,tblActuals[Team 2],EF$3)</f>
        <v>0</v>
      </c>
      <c r="EG23" s="56">
        <f>SUMIFS(tblActuals[Team 2 GD],tblActuals[Team 2],$CK23,tblActuals[Team 1],EG$3)+SUMIFS(tblActuals[Team 1 GD],tblActuals[Team 1],$CK23,tblActuals[Team 2],EG$3)</f>
        <v>0</v>
      </c>
      <c r="EH23" s="56">
        <f>SUMIFS(tblActuals[Team 2 GD],tblActuals[Team 2],$CK23,tblActuals[Team 1],EH$3)+SUMIFS(tblActuals[Team 1 GD],tblActuals[Team 1],$CK23,tblActuals[Team 2],EH$3)</f>
        <v>0</v>
      </c>
      <c r="EI23" s="56">
        <f>SUMIFS(tblActuals[Team 2 GD],tblActuals[Team 2],$CK23,tblActuals[Team 1],EI$3)+SUMIFS(tblActuals[Team 1 GD],tblActuals[Team 1],$CK23,tblActuals[Team 2],EI$3)</f>
        <v>0</v>
      </c>
      <c r="EJ23" s="56">
        <f>SUMIFS(tblActuals[Team 2 GD],tblActuals[Team 2],$CK23,tblActuals[Team 1],EJ$3)+SUMIFS(tblActuals[Team 1 GD],tblActuals[Team 1],$CK23,tblActuals[Team 2],EJ$3)</f>
        <v>0</v>
      </c>
      <c r="EK23" s="56">
        <f>SUMIFS(tblActuals[Team 2 GD],tblActuals[Team 2],$CK23,tblActuals[Team 1],EK$3)+SUMIFS(tblActuals[Team 1 GD],tblActuals[Team 1],$CK23,tblActuals[Team 2],EK$3)</f>
        <v>0</v>
      </c>
      <c r="EL23" s="56">
        <f>SUMIFS(tblActuals[Team 2 GD],tblActuals[Team 2],$CK23,tblActuals[Team 1],EL$3)+SUMIFS(tblActuals[Team 1 GD],tblActuals[Team 1],$CK23,tblActuals[Team 2],EL$3)</f>
        <v>0</v>
      </c>
      <c r="EM23" s="56">
        <f>SUMIFS(tblActuals[Team 2 GD],tblActuals[Team 2],$CK23,tblActuals[Team 1],EM$3)+SUMIFS(tblActuals[Team 1 GD],tblActuals[Team 1],$CK23,tblActuals[Team 2],EM$3)</f>
        <v>0</v>
      </c>
      <c r="EN23" s="56">
        <f>SUMIFS(tblActuals[Team 2 GD],tblActuals[Team 2],$CK23,tblActuals[Team 1],EN$3)+SUMIFS(tblActuals[Team 1 GD],tblActuals[Team 1],$CK23,tblActuals[Team 2],EN$3)</f>
        <v>0</v>
      </c>
      <c r="EO23" s="56">
        <f>SUMIFS(tblActuals[Team 2 GD],tblActuals[Team 2],$CK23,tblActuals[Team 1],EO$3)+SUMIFS(tblActuals[Team 1 GD],tblActuals[Team 1],$CK23,tblActuals[Team 2],EO$3)</f>
        <v>0</v>
      </c>
      <c r="EP23" s="56">
        <f>SUMIFS(tblActuals[Team 2 GD],tblActuals[Team 2],$CK23,tblActuals[Team 1],EP$3)+SUMIFS(tblActuals[Team 1 GD],tblActuals[Team 1],$CK23,tblActuals[Team 2],EP$3)</f>
        <v>0</v>
      </c>
      <c r="EQ23" s="56">
        <f>SUMIFS(tblActuals[Team 2 GD],tblActuals[Team 2],$CK23,tblActuals[Team 1],EQ$3)+SUMIFS(tblActuals[Team 1 GD],tblActuals[Team 1],$CK23,tblActuals[Team 2],EQ$3)</f>
        <v>0</v>
      </c>
      <c r="ER23" s="57"/>
      <c r="ES23" s="57"/>
      <c r="ET23" s="57"/>
      <c r="EU23" s="57"/>
      <c r="EV23" s="57"/>
      <c r="EW23" s="57"/>
      <c r="EX23" s="57"/>
      <c r="EY23" s="57"/>
      <c r="EZ23" s="4"/>
      <c r="FA23" s="4" t="s">
        <v>132</v>
      </c>
      <c r="FB23" s="56">
        <f>SUMIFS(tblActuals[Team 2 Goals],tblActuals[Team 2],$CK23,tblActuals[Team 1],FB$3)+SUMIFS(tblActuals[Team 1 Goals],tblActuals[Team 1],$CK23,tblActuals[Team 2],FB$3)</f>
        <v>0</v>
      </c>
      <c r="FC23" s="56">
        <f>SUMIFS(tblActuals[Team 2 Goals],tblActuals[Team 2],$CK23,tblActuals[Team 1],FC$3)+SUMIFS(tblActuals[Team 1 Goals],tblActuals[Team 1],$CK23,tblActuals[Team 2],FC$3)</f>
        <v>0</v>
      </c>
      <c r="FD23" s="56">
        <f>SUMIFS(tblActuals[Team 2 Goals],tblActuals[Team 2],$CK23,tblActuals[Team 1],FD$3)+SUMIFS(tblActuals[Team 1 Goals],tblActuals[Team 1],$CK23,tblActuals[Team 2],FD$3)</f>
        <v>0</v>
      </c>
      <c r="FE23" s="56">
        <f>SUMIFS(tblActuals[Team 2 Goals],tblActuals[Team 2],$CK23,tblActuals[Team 1],FE$3)+SUMIFS(tblActuals[Team 1 Goals],tblActuals[Team 1],$CK23,tblActuals[Team 2],FE$3)</f>
        <v>0</v>
      </c>
      <c r="FF23" s="56">
        <f>SUMIFS(tblActuals[Team 2 Goals],tblActuals[Team 2],$CK23,tblActuals[Team 1],FF$3)+SUMIFS(tblActuals[Team 1 Goals],tblActuals[Team 1],$CK23,tblActuals[Team 2],FF$3)</f>
        <v>0</v>
      </c>
      <c r="FG23" s="56">
        <f>SUMIFS(tblActuals[Team 2 Goals],tblActuals[Team 2],$CK23,tblActuals[Team 1],FG$3)+SUMIFS(tblActuals[Team 1 Goals],tblActuals[Team 1],$CK23,tblActuals[Team 2],FG$3)</f>
        <v>0</v>
      </c>
      <c r="FH23" s="56">
        <f>SUMIFS(tblActuals[Team 2 Goals],tblActuals[Team 2],$CK23,tblActuals[Team 1],FH$3)+SUMIFS(tblActuals[Team 1 Goals],tblActuals[Team 1],$CK23,tblActuals[Team 2],FH$3)</f>
        <v>0</v>
      </c>
      <c r="FI23" s="56">
        <f>SUMIFS(tblActuals[Team 2 Goals],tblActuals[Team 2],$CK23,tblActuals[Team 1],FI$3)+SUMIFS(tblActuals[Team 1 Goals],tblActuals[Team 1],$CK23,tblActuals[Team 2],FI$3)</f>
        <v>0</v>
      </c>
      <c r="FJ23" s="56">
        <f>SUMIFS(tblActuals[Team 2 Goals],tblActuals[Team 2],$CK23,tblActuals[Team 1],FJ$3)+SUMIFS(tblActuals[Team 1 Goals],tblActuals[Team 1],$CK23,tblActuals[Team 2],FJ$3)</f>
        <v>0</v>
      </c>
      <c r="FK23" s="56">
        <f>SUMIFS(tblActuals[Team 2 Goals],tblActuals[Team 2],$CK23,tblActuals[Team 1],FK$3)+SUMIFS(tblActuals[Team 1 Goals],tblActuals[Team 1],$CK23,tblActuals[Team 2],FK$3)</f>
        <v>0</v>
      </c>
      <c r="FL23" s="56">
        <f>SUMIFS(tblActuals[Team 2 Goals],tblActuals[Team 2],$CK23,tblActuals[Team 1],FL$3)+SUMIFS(tblActuals[Team 1 Goals],tblActuals[Team 1],$CK23,tblActuals[Team 2],FL$3)</f>
        <v>0</v>
      </c>
      <c r="FM23" s="56">
        <f>SUMIFS(tblActuals[Team 2 Goals],tblActuals[Team 2],$CK23,tblActuals[Team 1],FM$3)+SUMIFS(tblActuals[Team 1 Goals],tblActuals[Team 1],$CK23,tblActuals[Team 2],FM$3)</f>
        <v>0</v>
      </c>
      <c r="FN23" s="56">
        <f>SUMIFS(tblActuals[Team 2 Goals],tblActuals[Team 2],$CK23,tblActuals[Team 1],FN$3)+SUMIFS(tblActuals[Team 1 Goals],tblActuals[Team 1],$CK23,tblActuals[Team 2],FN$3)</f>
        <v>0</v>
      </c>
      <c r="FO23" s="56">
        <f>SUMIFS(tblActuals[Team 2 Goals],tblActuals[Team 2],$CK23,tblActuals[Team 1],FO$3)+SUMIFS(tblActuals[Team 1 Goals],tblActuals[Team 1],$CK23,tblActuals[Team 2],FO$3)</f>
        <v>0</v>
      </c>
      <c r="FP23" s="56">
        <f>SUMIFS(tblActuals[Team 2 Goals],tblActuals[Team 2],$CK23,tblActuals[Team 1],FP$3)+SUMIFS(tblActuals[Team 1 Goals],tblActuals[Team 1],$CK23,tblActuals[Team 2],FP$3)</f>
        <v>0</v>
      </c>
      <c r="FQ23" s="56">
        <f>SUMIFS(tblActuals[Team 2 Goals],tblActuals[Team 2],$CK23,tblActuals[Team 1],FQ$3)+SUMIFS(tblActuals[Team 1 Goals],tblActuals[Team 1],$CK23,tblActuals[Team 2],FQ$3)</f>
        <v>0</v>
      </c>
      <c r="FR23" s="56">
        <f>SUMIFS(tblActuals[Team 2 Goals],tblActuals[Team 2],$CK23,tblActuals[Team 1],FR$3)+SUMIFS(tblActuals[Team 1 Goals],tblActuals[Team 1],$CK23,tblActuals[Team 2],FR$3)</f>
        <v>0</v>
      </c>
      <c r="FS23" s="56">
        <f>SUMIFS(tblActuals[Team 2 Goals],tblActuals[Team 2],$CK23,tblActuals[Team 1],FS$3)+SUMIFS(tblActuals[Team 1 Goals],tblActuals[Team 1],$CK23,tblActuals[Team 2],FS$3)</f>
        <v>0</v>
      </c>
      <c r="FT23" s="56">
        <f>SUMIFS(tblActuals[Team 2 Goals],tblActuals[Team 2],$CK23,tblActuals[Team 1],FT$3)+SUMIFS(tblActuals[Team 1 Goals],tblActuals[Team 1],$CK23,tblActuals[Team 2],FT$3)</f>
        <v>0</v>
      </c>
      <c r="FU23" s="56">
        <f>SUMIFS(tblActuals[Team 2 Goals],tblActuals[Team 2],$CK23,tblActuals[Team 1],FU$3)+SUMIFS(tblActuals[Team 1 Goals],tblActuals[Team 1],$CK23,tblActuals[Team 2],FU$3)</f>
        <v>0</v>
      </c>
      <c r="FV23" s="56">
        <f>SUMIFS(tblActuals[Team 2 Goals],tblActuals[Team 2],$CK23,tblActuals[Team 1],FV$3)+SUMIFS(tblActuals[Team 1 Goals],tblActuals[Team 1],$CK23,tblActuals[Team 2],FV$3)</f>
        <v>0</v>
      </c>
      <c r="FW23" s="56">
        <f>SUMIFS(tblActuals[Team 2 Goals],tblActuals[Team 2],$CK23,tblActuals[Team 1],FW$3)+SUMIFS(tblActuals[Team 1 Goals],tblActuals[Team 1],$CK23,tblActuals[Team 2],FW$3)</f>
        <v>0</v>
      </c>
      <c r="FX23" s="56">
        <f>SUMIFS(tblActuals[Team 2 Goals],tblActuals[Team 2],$CK23,tblActuals[Team 1],FX$3)+SUMIFS(tblActuals[Team 1 Goals],tblActuals[Team 1],$CK23,tblActuals[Team 2],FX$3)</f>
        <v>0</v>
      </c>
      <c r="FY23" s="56">
        <f>SUMIFS(tblActuals[Team 2 Goals],tblActuals[Team 2],$CK23,tblActuals[Team 1],FY$3)+SUMIFS(tblActuals[Team 1 Goals],tblActuals[Team 1],$CK23,tblActuals[Team 2],FY$3)</f>
        <v>0</v>
      </c>
      <c r="FZ23" s="57"/>
      <c r="GA23" s="57"/>
      <c r="GB23" s="37"/>
      <c r="GC23" s="37"/>
      <c r="GD23" s="37"/>
      <c r="GE23" s="37"/>
      <c r="GF23" s="37"/>
      <c r="GG23" s="37"/>
      <c r="GH23" s="75"/>
      <c r="GI23" s="148"/>
      <c r="GJ23" s="158"/>
      <c r="GK23" s="75"/>
      <c r="GL23" s="75"/>
      <c r="GM23" s="75"/>
      <c r="GN23" s="75"/>
      <c r="GO23" s="75"/>
      <c r="GP23" s="75"/>
    </row>
    <row r="24" spans="1:211" s="11" customFormat="1" ht="30" customHeight="1" x14ac:dyDescent="0.25">
      <c r="A24" s="20"/>
      <c r="B24" s="122">
        <v>21</v>
      </c>
      <c r="C24" s="122" t="s">
        <v>12</v>
      </c>
      <c r="D24" s="123">
        <v>45464</v>
      </c>
      <c r="E24" s="122" t="s">
        <v>85</v>
      </c>
      <c r="F24" s="124">
        <v>0.625</v>
      </c>
      <c r="G24" s="125">
        <f t="shared" si="8"/>
        <v>45464.375</v>
      </c>
      <c r="H24" s="122" t="s">
        <v>109</v>
      </c>
      <c r="I24" s="126"/>
      <c r="J24" s="118"/>
      <c r="K24" s="118"/>
      <c r="L24" s="119" t="str">
        <f>IF(tblActuals[[#This Row],[SCORE]]="","",IF(Q24=R24,"Draw",IF(Q24&gt;R24,M24,N24)))</f>
        <v/>
      </c>
      <c r="M24" s="120" t="str">
        <f>IF(tblActuals[[#This Row],[TEAMS]]="","",LEFT(H24,FIND(" -",H24,1)-1))</f>
        <v>Slovakia</v>
      </c>
      <c r="N24" s="120" t="str">
        <f>IF(tblActuals[[#This Row],[TEAMS]]="","",MID(H24,FIND("-",H24,1)+2,LEN(H24)-FIND("-",H24,1)+2))</f>
        <v>Ukraine</v>
      </c>
      <c r="O24" s="120" t="str">
        <f>IF(tblActuals[[#This Row],[Team 1 Goals]]&gt;tblActuals[[#This Row],[Team 2 Goals]],tblActuals[[#This Row],[Team 1]],IF(tblActuals[[#This Row],[Team 2 Goals]]&gt;tblActuals[[#This Row],[Team 1 Goals]],tblActuals[[#This Row],[Team 2]],""))</f>
        <v/>
      </c>
      <c r="P24" s="120" t="str">
        <f>IF(tblActuals[[#This Row],[Winner]]=tblActuals[[#This Row],[Team 1]],tblActuals[[#This Row],[Team 2]],IF(tblActuals[[#This Row],[Winner]]=tblActuals[[#This Row],[Team 2]],tblActuals[[#This Row],[Team 1]],""))</f>
        <v/>
      </c>
      <c r="Q24" s="120" t="str">
        <f>IF(tblActuals[[#This Row],[SCORE]]="","",LEFT(I24,FIND(":",I24,1)-1)*1)</f>
        <v/>
      </c>
      <c r="R24" s="120" t="str">
        <f>IF(tblActuals[[#This Row],[SCORE]]="","",MID(I24,FIND(":",I24,1)+1,LEN(I24)-FIND(":",I24,1)+1)*1)</f>
        <v/>
      </c>
      <c r="S24" s="120" t="str">
        <f>IF(OR(tblActuals[[#This Row],[Team 1 Goals]]="",tblActuals[[#This Row],[Team 2 Goals]]=""),"",tblActuals[[#This Row],[Team 1 Goals]]-tblActuals[[#This Row],[Team 2 Goals]])</f>
        <v/>
      </c>
      <c r="T24" s="120" t="str">
        <f>IF(OR(tblActuals[[#This Row],[Team 1 Goals]]="",tblActuals[[#This Row],[Team 2 Goals]]=""),"",tblActuals[[#This Row],[Team 2 Goals]]-tblActuals[[#This Row],[Team 1 Goals]])</f>
        <v/>
      </c>
      <c r="U24" s="120" t="str">
        <f>IF(tblActuals[[#This Row],[SCORE]]="","",IF(tblActuals[[#This Row],[WINNER / RESULT]]="Draw",1,IF(tblActuals[[#This Row],[WINNER / RESULT]]=tblActuals[[#This Row],[Team 1]],3,0)))</f>
        <v/>
      </c>
      <c r="V24" s="120" t="str">
        <f>IF(tblActuals[[#This Row],[SCORE]]="","",IF(tblActuals[[#This Row],[WINNER / RESULT]]="Draw",1,IF(tblActuals[[#This Row],[WINNER / RESULT]]=tblActuals[[#This Row],[Team 2]],3,0)))</f>
        <v/>
      </c>
      <c r="W24" s="121"/>
      <c r="X24" s="121"/>
      <c r="Y24" s="121"/>
      <c r="Z24" s="121"/>
      <c r="AA24" s="120" t="e">
        <f>tblActuals[[#This Row],[Team 1 Goals]]+tblActuals[[#This Row],[Team 1 ET Goals]]&amp;":"&amp;tblActuals[[#This Row],[Team 2 Goals]]+tblActuals[[#This Row],[Team 2 ET Goals]]</f>
        <v>#VALUE!</v>
      </c>
      <c r="AB24" s="120" t="e">
        <f>+tblActuals[[#This Row],[Team 1 Goals]]+tblActuals[[#This Row],[Team 2 Goals]]</f>
        <v>#VALUE!</v>
      </c>
      <c r="AC24" s="165">
        <f t="shared" si="0"/>
        <v>45464</v>
      </c>
      <c r="AD24" s="166">
        <f t="shared" si="9"/>
        <v>21.4</v>
      </c>
      <c r="AJ24" s="77" t="s">
        <v>7</v>
      </c>
      <c r="AK24" s="136">
        <v>1</v>
      </c>
      <c r="AL24" s="137" t="str">
        <f ca="1">IFERROR(INDEX(AT:AT,MATCH("1"&amp;AJ24,BD:BD,0),1),"")</f>
        <v>Austria</v>
      </c>
      <c r="AM24" s="137" t="str">
        <f ca="1">IF(AL24="","",VLOOKUP(AL24,AT:AY,2,FALSE)&amp;"-"&amp;VLOOKUP(AL24,AT:AY,3,FALSE)&amp;"-"&amp;VLOOKUP(AL24,AT:AY,4,FALSE))</f>
        <v>0-0-0</v>
      </c>
      <c r="AN24" s="137">
        <f ca="1">IF(AL24="","",VLOOKUP(AL24,AT:BA,8,FALSE))</f>
        <v>0</v>
      </c>
      <c r="AO24" s="138">
        <f ca="1">IF(AL24="","",VLOOKUP(AL24,AT:BD,5,FALSE))</f>
        <v>0</v>
      </c>
      <c r="AP24" s="75"/>
      <c r="AQ24" s="4"/>
      <c r="AR24" s="4"/>
      <c r="AS24" s="4" t="s">
        <v>12</v>
      </c>
      <c r="AT24" s="4" t="s">
        <v>29</v>
      </c>
      <c r="AU24" s="4">
        <f>COUNTIF(tblActuals[Winner],AT24)</f>
        <v>0</v>
      </c>
      <c r="AV24" s="4">
        <f>COUNTIFS(tblActuals[Team 2],AT24,tblActuals[WINNER / RESULT],"Draw")+COUNTIFS(tblActuals[Team 1],AT24,tblActuals[WINNER / RESULT],"Draw")</f>
        <v>0</v>
      </c>
      <c r="AW24" s="4">
        <f>COUNTIF(tblActuals[Loser],AT24)</f>
        <v>0</v>
      </c>
      <c r="AX24" s="4">
        <f>AV24+(3*AU24)</f>
        <v>0</v>
      </c>
      <c r="AY24" s="4">
        <f>SUMIFS(tblActuals[Team 1 Goals],tblActuals[Team 1],AT24)+SUMIFS(tblActuals[Team 2 Goals],tblActuals[Team 2],AT24)</f>
        <v>0</v>
      </c>
      <c r="AZ24" s="4">
        <f>SUMIFS(tblActuals[Team 2 Goals],tblActuals[Team 1],AT24)+SUMIFS(tblActuals[Team 1 Goals],tblActuals[Team 2],AT24)</f>
        <v>0</v>
      </c>
      <c r="BA24" s="4">
        <f>AY24-AZ24</f>
        <v>0</v>
      </c>
      <c r="BB24" s="4">
        <f ca="1">RANK(BO24,$BO$24:$BO$27,1)</f>
        <v>1</v>
      </c>
      <c r="BC24" s="4" t="str">
        <f t="shared" si="1"/>
        <v/>
      </c>
      <c r="BD24" s="4" t="str">
        <f ca="1">IF(BC24="",BB24&amp;AS24,BC24&amp;AS24)</f>
        <v>1E</v>
      </c>
      <c r="BE24" s="4">
        <f>RANK(AX24,$AX$24:$AX$27,0)</f>
        <v>1</v>
      </c>
      <c r="BF24" s="4" cm="1">
        <f t="array" aca="1" ref="BF24" ca="1">SUMPRODUCT((OFFSET($CL$3:$DQ$3,MATCH($AT24,$CK$4:$CK$35,0),0))*((IF($BE26=$BE24,$CL$3:$DQ$3=$AT26,0))+(IF($BE27=$BE24,$CL$3:$DQ$3=$AT27,0))+(IF($BE25=$BE24,$CL$3:$DQ$3=$AT25,0))))</f>
        <v>0</v>
      </c>
      <c r="BG24" s="4" cm="1">
        <f t="array" aca="1" ref="BG24" ca="1">SUMPRODUCT((OFFSET($DT$3:$EY$3,MATCH($AT24,$DS$4:$DS$35,0),0))*((IF($BE26=$BE24,$DT$3:$EY$3=$AT26,0))+(IF($BE27=$BE24,$DT$3:$EY$3=$AT27,0))+(IF($BE25=$BE24,$DT$3:$EY$3=$AT25,0))))</f>
        <v>0</v>
      </c>
      <c r="BH24" s="4" cm="1">
        <f t="array" aca="1" ref="BH24" ca="1">SUMPRODUCT((OFFSET($FB$3:$GG$3,MATCH($AT24,$FA$4:$FA$35,0),0))*((IF($BE26=$BE24,$FB$3:$GG$3=$AT26,0))+(IF($BE27=$BE24,$FB$3:$GG$3=$AT27,0))+(IF($BE25=$BE24,$FB$3:$GG$3=$AT25,0))))</f>
        <v>0</v>
      </c>
      <c r="BI24" s="4" cm="1">
        <f t="array" aca="1" ref="BI24" ca="1">SUMPRODUCT((OFFSET($CL$3:$DQ$3,MATCH($AT24,$CK$4:$CK$35,0),0))*((IF($BE26&lt;&gt;$BE24,$CL$3:$DQ$3=$AT26,0))+(IF($BE27&lt;&gt;$BE24,$CL$3:$DQ$3=$AT27,0))+(IF($BE25&lt;&gt;$BE24,$CL$3:$DQ$3=$AT25,0))))</f>
        <v>0</v>
      </c>
      <c r="BJ24" s="4" cm="1">
        <f t="array" aca="1" ref="BJ24" ca="1">SUMPRODUCT((OFFSET($DT$3:$EY$3,MATCH($AT24,$DS$4:$DS$35,0),0))*((IF($BE26&lt;&gt;$BE24,$DT$3:$EY$3=$AT26,0))+(IF($BE27&lt;&gt;$BE24,$DT$3:$EY$3=$AT27,0))+(IF($BE25&lt;&gt;$BE24,$DT$3:$EY$3=$AT25,0))))</f>
        <v>0</v>
      </c>
      <c r="BK24" s="4" cm="1">
        <f t="array" aca="1" ref="BK24" ca="1">SUMPRODUCT((OFFSET($FB$3:$GG$3,MATCH($AT24,$FA$4:$FA$35,0),0))*((IF($BE26&lt;&gt;$BE24,$FB$3:$GG$3=$AT26,0))+(IF($BE27&lt;&gt;$BE24,$FB$3:$GG$3=$AT27,0))+(IF($BE25&lt;&gt;$BE24,$FB$3:$GG$3=$AT25,0))))</f>
        <v>0</v>
      </c>
      <c r="BL24" s="4">
        <f t="shared" si="10"/>
        <v>0</v>
      </c>
      <c r="BM24" s="4">
        <f t="shared" si="11"/>
        <v>0</v>
      </c>
      <c r="BN24" s="4">
        <f ca="1">(BF24/10)+(BG24/100)+(BH24/1000)+(BJ24/10000)+(BK24/100000)+(BL24/1000000)+(BM24/10000000)+(ROW(BI27)/100000000)</f>
        <v>2.7000000000000001E-7</v>
      </c>
      <c r="BO24" s="4">
        <f ca="1">+BE24-BN24</f>
        <v>0.99999972999999998</v>
      </c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K24" s="4" t="s">
        <v>133</v>
      </c>
      <c r="CL24" s="56">
        <f>SUMIFS(tblActuals[Team 2 Points],tblActuals[Team 2],$CK24,tblActuals[Team 1],CL$3)+SUMIFS(tblActuals[Team 1 Points],tblActuals[Team 1],$CK24,tblActuals[Team 2],CL$3)</f>
        <v>0</v>
      </c>
      <c r="CM24" s="56">
        <f>SUMIFS(tblActuals[Team 2 Points],tblActuals[Team 2],$CK24,tblActuals[Team 1],CM$3)+SUMIFS(tblActuals[Team 1 Points],tblActuals[Team 1],$CK24,tblActuals[Team 2],CM$3)</f>
        <v>0</v>
      </c>
      <c r="CN24" s="56">
        <f>SUMIFS(tblActuals[Team 2 Points],tblActuals[Team 2],$CK24,tblActuals[Team 1],CN$3)+SUMIFS(tblActuals[Team 1 Points],tblActuals[Team 1],$CK24,tblActuals[Team 2],CN$3)</f>
        <v>0</v>
      </c>
      <c r="CO24" s="56">
        <f>SUMIFS(tblActuals[Team 2 Points],tblActuals[Team 2],$CK24,tblActuals[Team 1],CO$3)+SUMIFS(tblActuals[Team 1 Points],tblActuals[Team 1],$CK24,tblActuals[Team 2],CO$3)</f>
        <v>0</v>
      </c>
      <c r="CP24" s="56">
        <f>SUMIFS(tblActuals[Team 2 Points],tblActuals[Team 2],$CK24,tblActuals[Team 1],CP$3)+SUMIFS(tblActuals[Team 1 Points],tblActuals[Team 1],$CK24,tblActuals[Team 2],CP$3)</f>
        <v>0</v>
      </c>
      <c r="CQ24" s="56">
        <f>SUMIFS(tblActuals[Team 2 Points],tblActuals[Team 2],$CK24,tblActuals[Team 1],CQ$3)+SUMIFS(tblActuals[Team 1 Points],tblActuals[Team 1],$CK24,tblActuals[Team 2],CQ$3)</f>
        <v>0</v>
      </c>
      <c r="CR24" s="56">
        <f>SUMIFS(tblActuals[Team 2 Points],tblActuals[Team 2],$CK24,tblActuals[Team 1],CR$3)+SUMIFS(tblActuals[Team 1 Points],tblActuals[Team 1],$CK24,tblActuals[Team 2],CR$3)</f>
        <v>0</v>
      </c>
      <c r="CS24" s="56">
        <f>SUMIFS(tblActuals[Team 2 Points],tblActuals[Team 2],$CK24,tblActuals[Team 1],CS$3)+SUMIFS(tblActuals[Team 1 Points],tblActuals[Team 1],$CK24,tblActuals[Team 2],CS$3)</f>
        <v>0</v>
      </c>
      <c r="CT24" s="56">
        <f>SUMIFS(tblActuals[Team 2 Points],tblActuals[Team 2],$CK24,tblActuals[Team 1],CT$3)+SUMIFS(tblActuals[Team 1 Points],tblActuals[Team 1],$CK24,tblActuals[Team 2],CT$3)</f>
        <v>0</v>
      </c>
      <c r="CU24" s="56">
        <f>SUMIFS(tblActuals[Team 2 Points],tblActuals[Team 2],$CK24,tblActuals[Team 1],CU$3)+SUMIFS(tblActuals[Team 1 Points],tblActuals[Team 1],$CK24,tblActuals[Team 2],CU$3)</f>
        <v>0</v>
      </c>
      <c r="CV24" s="56">
        <f>SUMIFS(tblActuals[Team 2 Points],tblActuals[Team 2],$CK24,tblActuals[Team 1],CV$3)+SUMIFS(tblActuals[Team 1 Points],tblActuals[Team 1],$CK24,tblActuals[Team 2],CV$3)</f>
        <v>0</v>
      </c>
      <c r="CW24" s="56">
        <f>SUMIFS(tblActuals[Team 2 Points],tblActuals[Team 2],$CK24,tblActuals[Team 1],CW$3)+SUMIFS(tblActuals[Team 1 Points],tblActuals[Team 1],$CK24,tblActuals[Team 2],CW$3)</f>
        <v>0</v>
      </c>
      <c r="CX24" s="56">
        <f>SUMIFS(tblActuals[Team 2 Points],tblActuals[Team 2],$CK24,tblActuals[Team 1],CX$3)+SUMIFS(tblActuals[Team 1 Points],tblActuals[Team 1],$CK24,tblActuals[Team 2],CX$3)</f>
        <v>0</v>
      </c>
      <c r="CY24" s="56">
        <f>SUMIFS(tblActuals[Team 2 Points],tblActuals[Team 2],$CK24,tblActuals[Team 1],CY$3)+SUMIFS(tblActuals[Team 1 Points],tblActuals[Team 1],$CK24,tblActuals[Team 2],CY$3)</f>
        <v>0</v>
      </c>
      <c r="CZ24" s="56">
        <f>SUMIFS(tblActuals[Team 2 Points],tblActuals[Team 2],$CK24,tblActuals[Team 1],CZ$3)+SUMIFS(tblActuals[Team 1 Points],tblActuals[Team 1],$CK24,tblActuals[Team 2],CZ$3)</f>
        <v>0</v>
      </c>
      <c r="DA24" s="56">
        <f>SUMIFS(tblActuals[Team 2 Points],tblActuals[Team 2],$CK24,tblActuals[Team 1],DA$3)+SUMIFS(tblActuals[Team 1 Points],tblActuals[Team 1],$CK24,tblActuals[Team 2],DA$3)</f>
        <v>0</v>
      </c>
      <c r="DB24" s="56">
        <f>SUMIFS(tblActuals[Team 2 Points],tblActuals[Team 2],$CK24,tblActuals[Team 1],DB$3)+SUMIFS(tblActuals[Team 1 Points],tblActuals[Team 1],$CK24,tblActuals[Team 2],DB$3)</f>
        <v>0</v>
      </c>
      <c r="DC24" s="56">
        <f>SUMIFS(tblActuals[Team 2 Points],tblActuals[Team 2],$CK24,tblActuals[Team 1],DC$3)+SUMIFS(tblActuals[Team 1 Points],tblActuals[Team 1],$CK24,tblActuals[Team 2],DC$3)</f>
        <v>0</v>
      </c>
      <c r="DD24" s="56">
        <f>SUMIFS(tblActuals[Team 2 Points],tblActuals[Team 2],$CK24,tblActuals[Team 1],DD$3)+SUMIFS(tblActuals[Team 1 Points],tblActuals[Team 1],$CK24,tblActuals[Team 2],DD$3)</f>
        <v>0</v>
      </c>
      <c r="DE24" s="56">
        <f>SUMIFS(tblActuals[Team 2 Points],tblActuals[Team 2],$CK24,tblActuals[Team 1],DE$3)+SUMIFS(tblActuals[Team 1 Points],tblActuals[Team 1],$CK24,tblActuals[Team 2],DE$3)</f>
        <v>0</v>
      </c>
      <c r="DF24" s="56">
        <f>SUMIFS(tblActuals[Team 2 Points],tblActuals[Team 2],$CK24,tblActuals[Team 1],DF$3)+SUMIFS(tblActuals[Team 1 Points],tblActuals[Team 1],$CK24,tblActuals[Team 2],DF$3)</f>
        <v>0</v>
      </c>
      <c r="DG24" s="56">
        <f>SUMIFS(tblActuals[Team 2 Points],tblActuals[Team 2],$CK24,tblActuals[Team 1],DG$3)+SUMIFS(tblActuals[Team 1 Points],tblActuals[Team 1],$CK24,tblActuals[Team 2],DG$3)</f>
        <v>0</v>
      </c>
      <c r="DH24" s="56">
        <f>SUMIFS(tblActuals[Team 2 Points],tblActuals[Team 2],$CK24,tblActuals[Team 1],DH$3)+SUMIFS(tblActuals[Team 1 Points],tblActuals[Team 1],$CK24,tblActuals[Team 2],DH$3)</f>
        <v>0</v>
      </c>
      <c r="DI24" s="56">
        <f>SUMIFS(tblActuals[Team 2 Points],tblActuals[Team 2],$CK24,tblActuals[Team 1],DI$3)+SUMIFS(tblActuals[Team 1 Points],tblActuals[Team 1],$CK24,tblActuals[Team 2],DI$3)</f>
        <v>0</v>
      </c>
      <c r="DJ24" s="57"/>
      <c r="DK24" s="57"/>
      <c r="DL24" s="57"/>
      <c r="DM24" s="57"/>
      <c r="DN24" s="57"/>
      <c r="DO24" s="57"/>
      <c r="DP24" s="57"/>
      <c r="DQ24" s="57"/>
      <c r="DR24" s="4"/>
      <c r="DS24" s="4" t="s">
        <v>133</v>
      </c>
      <c r="DT24" s="56">
        <f>SUMIFS(tblActuals[Team 2 GD],tblActuals[Team 2],$CK24,tblActuals[Team 1],DT$3)+SUMIFS(tblActuals[Team 1 GD],tblActuals[Team 1],$CK24,tblActuals[Team 2],DT$3)</f>
        <v>0</v>
      </c>
      <c r="DU24" s="56">
        <f>SUMIFS(tblActuals[Team 2 GD],tblActuals[Team 2],$CK24,tblActuals[Team 1],DU$3)+SUMIFS(tblActuals[Team 1 GD],tblActuals[Team 1],$CK24,tblActuals[Team 2],DU$3)</f>
        <v>0</v>
      </c>
      <c r="DV24" s="56">
        <f>SUMIFS(tblActuals[Team 2 GD],tblActuals[Team 2],$CK24,tblActuals[Team 1],DV$3)+SUMIFS(tblActuals[Team 1 GD],tblActuals[Team 1],$CK24,tblActuals[Team 2],DV$3)</f>
        <v>0</v>
      </c>
      <c r="DW24" s="56">
        <f>SUMIFS(tblActuals[Team 2 GD],tblActuals[Team 2],$CK24,tblActuals[Team 1],DW$3)+SUMIFS(tblActuals[Team 1 GD],tblActuals[Team 1],$CK24,tblActuals[Team 2],DW$3)</f>
        <v>0</v>
      </c>
      <c r="DX24" s="56">
        <f>SUMIFS(tblActuals[Team 2 GD],tblActuals[Team 2],$CK24,tblActuals[Team 1],DX$3)+SUMIFS(tblActuals[Team 1 GD],tblActuals[Team 1],$CK24,tblActuals[Team 2],DX$3)</f>
        <v>0</v>
      </c>
      <c r="DY24" s="56">
        <f>SUMIFS(tblActuals[Team 2 GD],tblActuals[Team 2],$CK24,tblActuals[Team 1],DY$3)+SUMIFS(tblActuals[Team 1 GD],tblActuals[Team 1],$CK24,tblActuals[Team 2],DY$3)</f>
        <v>0</v>
      </c>
      <c r="DZ24" s="56">
        <f>SUMIFS(tblActuals[Team 2 GD],tblActuals[Team 2],$CK24,tblActuals[Team 1],DZ$3)+SUMIFS(tblActuals[Team 1 GD],tblActuals[Team 1],$CK24,tblActuals[Team 2],DZ$3)</f>
        <v>0</v>
      </c>
      <c r="EA24" s="56">
        <f>SUMIFS(tblActuals[Team 2 GD],tblActuals[Team 2],$CK24,tblActuals[Team 1],EA$3)+SUMIFS(tblActuals[Team 1 GD],tblActuals[Team 1],$CK24,tblActuals[Team 2],EA$3)</f>
        <v>0</v>
      </c>
      <c r="EB24" s="56">
        <f>SUMIFS(tblActuals[Team 2 GD],tblActuals[Team 2],$CK24,tblActuals[Team 1],EB$3)+SUMIFS(tblActuals[Team 1 GD],tblActuals[Team 1],$CK24,tblActuals[Team 2],EB$3)</f>
        <v>0</v>
      </c>
      <c r="EC24" s="56">
        <f>SUMIFS(tblActuals[Team 2 GD],tblActuals[Team 2],$CK24,tblActuals[Team 1],EC$3)+SUMIFS(tblActuals[Team 1 GD],tblActuals[Team 1],$CK24,tblActuals[Team 2],EC$3)</f>
        <v>0</v>
      </c>
      <c r="ED24" s="56">
        <f>SUMIFS(tblActuals[Team 2 GD],tblActuals[Team 2],$CK24,tblActuals[Team 1],ED$3)+SUMIFS(tblActuals[Team 1 GD],tblActuals[Team 1],$CK24,tblActuals[Team 2],ED$3)</f>
        <v>0</v>
      </c>
      <c r="EE24" s="56">
        <f>SUMIFS(tblActuals[Team 2 GD],tblActuals[Team 2],$CK24,tblActuals[Team 1],EE$3)+SUMIFS(tblActuals[Team 1 GD],tblActuals[Team 1],$CK24,tblActuals[Team 2],EE$3)</f>
        <v>0</v>
      </c>
      <c r="EF24" s="56">
        <f>SUMIFS(tblActuals[Team 2 GD],tblActuals[Team 2],$CK24,tblActuals[Team 1],EF$3)+SUMIFS(tblActuals[Team 1 GD],tblActuals[Team 1],$CK24,tblActuals[Team 2],EF$3)</f>
        <v>0</v>
      </c>
      <c r="EG24" s="56">
        <f>SUMIFS(tblActuals[Team 2 GD],tblActuals[Team 2],$CK24,tblActuals[Team 1],EG$3)+SUMIFS(tblActuals[Team 1 GD],tblActuals[Team 1],$CK24,tblActuals[Team 2],EG$3)</f>
        <v>0</v>
      </c>
      <c r="EH24" s="56">
        <f>SUMIFS(tblActuals[Team 2 GD],tblActuals[Team 2],$CK24,tblActuals[Team 1],EH$3)+SUMIFS(tblActuals[Team 1 GD],tblActuals[Team 1],$CK24,tblActuals[Team 2],EH$3)</f>
        <v>0</v>
      </c>
      <c r="EI24" s="56">
        <f>SUMIFS(tblActuals[Team 2 GD],tblActuals[Team 2],$CK24,tblActuals[Team 1],EI$3)+SUMIFS(tblActuals[Team 1 GD],tblActuals[Team 1],$CK24,tblActuals[Team 2],EI$3)</f>
        <v>0</v>
      </c>
      <c r="EJ24" s="56">
        <f>SUMIFS(tblActuals[Team 2 GD],tblActuals[Team 2],$CK24,tblActuals[Team 1],EJ$3)+SUMIFS(tblActuals[Team 1 GD],tblActuals[Team 1],$CK24,tblActuals[Team 2],EJ$3)</f>
        <v>0</v>
      </c>
      <c r="EK24" s="56">
        <f>SUMIFS(tblActuals[Team 2 GD],tblActuals[Team 2],$CK24,tblActuals[Team 1],EK$3)+SUMIFS(tblActuals[Team 1 GD],tblActuals[Team 1],$CK24,tblActuals[Team 2],EK$3)</f>
        <v>0</v>
      </c>
      <c r="EL24" s="56">
        <f>SUMIFS(tblActuals[Team 2 GD],tblActuals[Team 2],$CK24,tblActuals[Team 1],EL$3)+SUMIFS(tblActuals[Team 1 GD],tblActuals[Team 1],$CK24,tblActuals[Team 2],EL$3)</f>
        <v>0</v>
      </c>
      <c r="EM24" s="56">
        <f>SUMIFS(tblActuals[Team 2 GD],tblActuals[Team 2],$CK24,tblActuals[Team 1],EM$3)+SUMIFS(tblActuals[Team 1 GD],tblActuals[Team 1],$CK24,tblActuals[Team 2],EM$3)</f>
        <v>0</v>
      </c>
      <c r="EN24" s="56">
        <f>SUMIFS(tblActuals[Team 2 GD],tblActuals[Team 2],$CK24,tblActuals[Team 1],EN$3)+SUMIFS(tblActuals[Team 1 GD],tblActuals[Team 1],$CK24,tblActuals[Team 2],EN$3)</f>
        <v>0</v>
      </c>
      <c r="EO24" s="56">
        <f>SUMIFS(tblActuals[Team 2 GD],tblActuals[Team 2],$CK24,tblActuals[Team 1],EO$3)+SUMIFS(tblActuals[Team 1 GD],tblActuals[Team 1],$CK24,tblActuals[Team 2],EO$3)</f>
        <v>0</v>
      </c>
      <c r="EP24" s="56">
        <f>SUMIFS(tblActuals[Team 2 GD],tblActuals[Team 2],$CK24,tblActuals[Team 1],EP$3)+SUMIFS(tblActuals[Team 1 GD],tblActuals[Team 1],$CK24,tblActuals[Team 2],EP$3)</f>
        <v>0</v>
      </c>
      <c r="EQ24" s="56">
        <f>SUMIFS(tblActuals[Team 2 GD],tblActuals[Team 2],$CK24,tblActuals[Team 1],EQ$3)+SUMIFS(tblActuals[Team 1 GD],tblActuals[Team 1],$CK24,tblActuals[Team 2],EQ$3)</f>
        <v>0</v>
      </c>
      <c r="ER24" s="57"/>
      <c r="ES24" s="57"/>
      <c r="ET24" s="57"/>
      <c r="EU24" s="57"/>
      <c r="EV24" s="57"/>
      <c r="EW24" s="57"/>
      <c r="EX24" s="57"/>
      <c r="EY24" s="57"/>
      <c r="EZ24" s="4"/>
      <c r="FA24" s="4" t="s">
        <v>133</v>
      </c>
      <c r="FB24" s="56">
        <f>SUMIFS(tblActuals[Team 2 Goals],tblActuals[Team 2],$CK24,tblActuals[Team 1],FB$3)+SUMIFS(tblActuals[Team 1 Goals],tblActuals[Team 1],$CK24,tblActuals[Team 2],FB$3)</f>
        <v>0</v>
      </c>
      <c r="FC24" s="56">
        <f>SUMIFS(tblActuals[Team 2 Goals],tblActuals[Team 2],$CK24,tblActuals[Team 1],FC$3)+SUMIFS(tblActuals[Team 1 Goals],tblActuals[Team 1],$CK24,tblActuals[Team 2],FC$3)</f>
        <v>0</v>
      </c>
      <c r="FD24" s="56">
        <f>SUMIFS(tblActuals[Team 2 Goals],tblActuals[Team 2],$CK24,tblActuals[Team 1],FD$3)+SUMIFS(tblActuals[Team 1 Goals],tblActuals[Team 1],$CK24,tblActuals[Team 2],FD$3)</f>
        <v>0</v>
      </c>
      <c r="FE24" s="56">
        <f>SUMIFS(tblActuals[Team 2 Goals],tblActuals[Team 2],$CK24,tblActuals[Team 1],FE$3)+SUMIFS(tblActuals[Team 1 Goals],tblActuals[Team 1],$CK24,tblActuals[Team 2],FE$3)</f>
        <v>0</v>
      </c>
      <c r="FF24" s="56">
        <f>SUMIFS(tblActuals[Team 2 Goals],tblActuals[Team 2],$CK24,tblActuals[Team 1],FF$3)+SUMIFS(tblActuals[Team 1 Goals],tblActuals[Team 1],$CK24,tblActuals[Team 2],FF$3)</f>
        <v>0</v>
      </c>
      <c r="FG24" s="56">
        <f>SUMIFS(tblActuals[Team 2 Goals],tblActuals[Team 2],$CK24,tblActuals[Team 1],FG$3)+SUMIFS(tblActuals[Team 1 Goals],tblActuals[Team 1],$CK24,tblActuals[Team 2],FG$3)</f>
        <v>0</v>
      </c>
      <c r="FH24" s="56">
        <f>SUMIFS(tblActuals[Team 2 Goals],tblActuals[Team 2],$CK24,tblActuals[Team 1],FH$3)+SUMIFS(tblActuals[Team 1 Goals],tblActuals[Team 1],$CK24,tblActuals[Team 2],FH$3)</f>
        <v>0</v>
      </c>
      <c r="FI24" s="56">
        <f>SUMIFS(tblActuals[Team 2 Goals],tblActuals[Team 2],$CK24,tblActuals[Team 1],FI$3)+SUMIFS(tblActuals[Team 1 Goals],tblActuals[Team 1],$CK24,tblActuals[Team 2],FI$3)</f>
        <v>0</v>
      </c>
      <c r="FJ24" s="56">
        <f>SUMIFS(tblActuals[Team 2 Goals],tblActuals[Team 2],$CK24,tblActuals[Team 1],FJ$3)+SUMIFS(tblActuals[Team 1 Goals],tblActuals[Team 1],$CK24,tblActuals[Team 2],FJ$3)</f>
        <v>0</v>
      </c>
      <c r="FK24" s="56">
        <f>SUMIFS(tblActuals[Team 2 Goals],tblActuals[Team 2],$CK24,tblActuals[Team 1],FK$3)+SUMIFS(tblActuals[Team 1 Goals],tblActuals[Team 1],$CK24,tblActuals[Team 2],FK$3)</f>
        <v>0</v>
      </c>
      <c r="FL24" s="56">
        <f>SUMIFS(tblActuals[Team 2 Goals],tblActuals[Team 2],$CK24,tblActuals[Team 1],FL$3)+SUMIFS(tblActuals[Team 1 Goals],tblActuals[Team 1],$CK24,tblActuals[Team 2],FL$3)</f>
        <v>0</v>
      </c>
      <c r="FM24" s="56">
        <f>SUMIFS(tblActuals[Team 2 Goals],tblActuals[Team 2],$CK24,tblActuals[Team 1],FM$3)+SUMIFS(tblActuals[Team 1 Goals],tblActuals[Team 1],$CK24,tblActuals[Team 2],FM$3)</f>
        <v>0</v>
      </c>
      <c r="FN24" s="56">
        <f>SUMIFS(tblActuals[Team 2 Goals],tblActuals[Team 2],$CK24,tblActuals[Team 1],FN$3)+SUMIFS(tblActuals[Team 1 Goals],tblActuals[Team 1],$CK24,tblActuals[Team 2],FN$3)</f>
        <v>0</v>
      </c>
      <c r="FO24" s="56">
        <f>SUMIFS(tblActuals[Team 2 Goals],tblActuals[Team 2],$CK24,tblActuals[Team 1],FO$3)+SUMIFS(tblActuals[Team 1 Goals],tblActuals[Team 1],$CK24,tblActuals[Team 2],FO$3)</f>
        <v>0</v>
      </c>
      <c r="FP24" s="56">
        <f>SUMIFS(tblActuals[Team 2 Goals],tblActuals[Team 2],$CK24,tblActuals[Team 1],FP$3)+SUMIFS(tblActuals[Team 1 Goals],tblActuals[Team 1],$CK24,tblActuals[Team 2],FP$3)</f>
        <v>0</v>
      </c>
      <c r="FQ24" s="56">
        <f>SUMIFS(tblActuals[Team 2 Goals],tblActuals[Team 2],$CK24,tblActuals[Team 1],FQ$3)+SUMIFS(tblActuals[Team 1 Goals],tblActuals[Team 1],$CK24,tblActuals[Team 2],FQ$3)</f>
        <v>0</v>
      </c>
      <c r="FR24" s="56">
        <f>SUMIFS(tblActuals[Team 2 Goals],tblActuals[Team 2],$CK24,tblActuals[Team 1],FR$3)+SUMIFS(tblActuals[Team 1 Goals],tblActuals[Team 1],$CK24,tblActuals[Team 2],FR$3)</f>
        <v>0</v>
      </c>
      <c r="FS24" s="56">
        <f>SUMIFS(tblActuals[Team 2 Goals],tblActuals[Team 2],$CK24,tblActuals[Team 1],FS$3)+SUMIFS(tblActuals[Team 1 Goals],tblActuals[Team 1],$CK24,tblActuals[Team 2],FS$3)</f>
        <v>0</v>
      </c>
      <c r="FT24" s="56">
        <f>SUMIFS(tblActuals[Team 2 Goals],tblActuals[Team 2],$CK24,tblActuals[Team 1],FT$3)+SUMIFS(tblActuals[Team 1 Goals],tblActuals[Team 1],$CK24,tblActuals[Team 2],FT$3)</f>
        <v>0</v>
      </c>
      <c r="FU24" s="56">
        <f>SUMIFS(tblActuals[Team 2 Goals],tblActuals[Team 2],$CK24,tblActuals[Team 1],FU$3)+SUMIFS(tblActuals[Team 1 Goals],tblActuals[Team 1],$CK24,tblActuals[Team 2],FU$3)</f>
        <v>0</v>
      </c>
      <c r="FV24" s="56">
        <f>SUMIFS(tblActuals[Team 2 Goals],tblActuals[Team 2],$CK24,tblActuals[Team 1],FV$3)+SUMIFS(tblActuals[Team 1 Goals],tblActuals[Team 1],$CK24,tblActuals[Team 2],FV$3)</f>
        <v>0</v>
      </c>
      <c r="FW24" s="56">
        <f>SUMIFS(tblActuals[Team 2 Goals],tblActuals[Team 2],$CK24,tblActuals[Team 1],FW$3)+SUMIFS(tblActuals[Team 1 Goals],tblActuals[Team 1],$CK24,tblActuals[Team 2],FW$3)</f>
        <v>0</v>
      </c>
      <c r="FX24" s="56">
        <f>SUMIFS(tblActuals[Team 2 Goals],tblActuals[Team 2],$CK24,tblActuals[Team 1],FX$3)+SUMIFS(tblActuals[Team 1 Goals],tblActuals[Team 1],$CK24,tblActuals[Team 2],FX$3)</f>
        <v>0</v>
      </c>
      <c r="FY24" s="56">
        <f>SUMIFS(tblActuals[Team 2 Goals],tblActuals[Team 2],$CK24,tblActuals[Team 1],FY$3)+SUMIFS(tblActuals[Team 1 Goals],tblActuals[Team 1],$CK24,tblActuals[Team 2],FY$3)</f>
        <v>0</v>
      </c>
      <c r="FZ24" s="57"/>
      <c r="GA24" s="57"/>
      <c r="GB24" s="37"/>
      <c r="GC24" s="37"/>
      <c r="GD24" s="37"/>
      <c r="GE24" s="37"/>
      <c r="GF24" s="37"/>
      <c r="GG24" s="37"/>
      <c r="GH24" s="75"/>
      <c r="GI24" s="148"/>
      <c r="GJ24" s="148"/>
      <c r="GK24" s="75"/>
      <c r="GL24" s="75"/>
      <c r="GM24" s="75"/>
      <c r="GN24" s="75"/>
      <c r="GO24" s="75"/>
      <c r="GP24" s="75"/>
    </row>
    <row r="25" spans="1:211" s="11" customFormat="1" ht="30" customHeight="1" x14ac:dyDescent="0.25">
      <c r="A25" s="20"/>
      <c r="B25" s="122">
        <v>22</v>
      </c>
      <c r="C25" s="122" t="s">
        <v>12</v>
      </c>
      <c r="D25" s="123">
        <v>45465</v>
      </c>
      <c r="E25" s="122" t="s">
        <v>79</v>
      </c>
      <c r="F25" s="124">
        <v>0.875</v>
      </c>
      <c r="G25" s="125">
        <f t="shared" si="8"/>
        <v>45465.625</v>
      </c>
      <c r="H25" s="122" t="s">
        <v>110</v>
      </c>
      <c r="I25" s="126"/>
      <c r="J25" s="118"/>
      <c r="K25" s="118"/>
      <c r="L25" s="119" t="str">
        <f>IF(tblActuals[[#This Row],[SCORE]]="","",IF(Q25=R25,"Draw",IF(Q25&gt;R25,M25,N25)))</f>
        <v/>
      </c>
      <c r="M25" s="120" t="str">
        <f>IF(tblActuals[[#This Row],[TEAMS]]="","",LEFT(H25,FIND(" -",H25,1)-1))</f>
        <v>Belgium</v>
      </c>
      <c r="N25" s="120" t="str">
        <f>IF(tblActuals[[#This Row],[TEAMS]]="","",MID(H25,FIND("-",H25,1)+2,LEN(H25)-FIND("-",H25,1)+2))</f>
        <v>Romania</v>
      </c>
      <c r="O25" s="120" t="str">
        <f>IF(tblActuals[[#This Row],[Team 1 Goals]]&gt;tblActuals[[#This Row],[Team 2 Goals]],tblActuals[[#This Row],[Team 1]],IF(tblActuals[[#This Row],[Team 2 Goals]]&gt;tblActuals[[#This Row],[Team 1 Goals]],tblActuals[[#This Row],[Team 2]],""))</f>
        <v/>
      </c>
      <c r="P25" s="120" t="str">
        <f>IF(tblActuals[[#This Row],[Winner]]=tblActuals[[#This Row],[Team 1]],tblActuals[[#This Row],[Team 2]],IF(tblActuals[[#This Row],[Winner]]=tblActuals[[#This Row],[Team 2]],tblActuals[[#This Row],[Team 1]],""))</f>
        <v/>
      </c>
      <c r="Q25" s="120" t="str">
        <f>IF(tblActuals[[#This Row],[SCORE]]="","",LEFT(I25,FIND(":",I25,1)-1)*1)</f>
        <v/>
      </c>
      <c r="R25" s="120" t="str">
        <f>IF(tblActuals[[#This Row],[SCORE]]="","",MID(I25,FIND(":",I25,1)+1,LEN(I25)-FIND(":",I25,1)+1)*1)</f>
        <v/>
      </c>
      <c r="S25" s="120" t="str">
        <f>IF(OR(tblActuals[[#This Row],[Team 1 Goals]]="",tblActuals[[#This Row],[Team 2 Goals]]=""),"",tblActuals[[#This Row],[Team 1 Goals]]-tblActuals[[#This Row],[Team 2 Goals]])</f>
        <v/>
      </c>
      <c r="T25" s="120" t="str">
        <f>IF(OR(tblActuals[[#This Row],[Team 1 Goals]]="",tblActuals[[#This Row],[Team 2 Goals]]=""),"",tblActuals[[#This Row],[Team 2 Goals]]-tblActuals[[#This Row],[Team 1 Goals]])</f>
        <v/>
      </c>
      <c r="U25" s="120" t="str">
        <f>IF(tblActuals[[#This Row],[SCORE]]="","",IF(tblActuals[[#This Row],[WINNER / RESULT]]="Draw",1,IF(tblActuals[[#This Row],[WINNER / RESULT]]=tblActuals[[#This Row],[Team 1]],3,0)))</f>
        <v/>
      </c>
      <c r="V25" s="120" t="str">
        <f>IF(tblActuals[[#This Row],[SCORE]]="","",IF(tblActuals[[#This Row],[WINNER / RESULT]]="Draw",1,IF(tblActuals[[#This Row],[WINNER / RESULT]]=tblActuals[[#This Row],[Team 2]],3,0)))</f>
        <v/>
      </c>
      <c r="W25" s="121"/>
      <c r="X25" s="121"/>
      <c r="Y25" s="121"/>
      <c r="Z25" s="121"/>
      <c r="AA25" s="120" t="e">
        <f>tblActuals[[#This Row],[Team 1 Goals]]+tblActuals[[#This Row],[Team 1 ET Goals]]&amp;":"&amp;tblActuals[[#This Row],[Team 2 Goals]]+tblActuals[[#This Row],[Team 2 ET Goals]]</f>
        <v>#VALUE!</v>
      </c>
      <c r="AB25" s="120" t="e">
        <f>+tblActuals[[#This Row],[Team 1 Goals]]+tblActuals[[#This Row],[Team 2 Goals]]</f>
        <v>#VALUE!</v>
      </c>
      <c r="AC25" s="165">
        <f t="shared" si="0"/>
        <v>45465</v>
      </c>
      <c r="AD25" s="166">
        <f t="shared" si="9"/>
        <v>26.5</v>
      </c>
      <c r="AJ25" s="77" t="s">
        <v>7</v>
      </c>
      <c r="AK25" s="139">
        <v>2</v>
      </c>
      <c r="AL25" s="140" t="str">
        <f ca="1">IFERROR(INDEX(AT:AT,MATCH("2"&amp;AJ25,BD:BD,0),1),"")</f>
        <v>France</v>
      </c>
      <c r="AM25" s="140" t="str">
        <f ca="1">IF(AL25="","",VLOOKUP(AL25,AT:AY,2,FALSE)&amp;"-"&amp;VLOOKUP(AL25,AT:AY,3,FALSE)&amp;"-"&amp;VLOOKUP(AL25,AT:AY,4,FALSE))</f>
        <v>0-0-0</v>
      </c>
      <c r="AN25" s="140">
        <f ca="1">IF(AL25="","",VLOOKUP(AL25,AT:BA,8,FALSE))</f>
        <v>0</v>
      </c>
      <c r="AO25" s="141">
        <f ca="1">IF(AL25="","",VLOOKUP(AL25,AT:BD,5,FALSE))</f>
        <v>0</v>
      </c>
      <c r="AP25" s="75"/>
      <c r="AQ25" s="4"/>
      <c r="AR25" s="4"/>
      <c r="AS25" s="4" t="s">
        <v>12</v>
      </c>
      <c r="AT25" s="4" t="s">
        <v>131</v>
      </c>
      <c r="AU25" s="4">
        <f>COUNTIF(tblActuals[Winner],AT25)</f>
        <v>0</v>
      </c>
      <c r="AV25" s="4">
        <f>COUNTIFS(tblActuals[Team 2],AT25,tblActuals[WINNER / RESULT],"Draw")+COUNTIFS(tblActuals[Team 1],AT25,tblActuals[WINNER / RESULT],"Draw")</f>
        <v>0</v>
      </c>
      <c r="AW25" s="4">
        <f>COUNTIF(tblActuals[Loser],AT25)</f>
        <v>0</v>
      </c>
      <c r="AX25" s="4">
        <f>AV25+(3*AU25)</f>
        <v>0</v>
      </c>
      <c r="AY25" s="4">
        <f>SUMIFS(tblActuals[Team 1 Goals],tblActuals[Team 1],AT25)+SUMIFS(tblActuals[Team 2 Goals],tblActuals[Team 2],AT25)</f>
        <v>0</v>
      </c>
      <c r="AZ25" s="4">
        <f>SUMIFS(tblActuals[Team 2 Goals],tblActuals[Team 1],AT25)+SUMIFS(tblActuals[Team 1 Goals],tblActuals[Team 2],AT25)</f>
        <v>0</v>
      </c>
      <c r="BA25" s="4">
        <f>AY25-AZ25</f>
        <v>0</v>
      </c>
      <c r="BB25" s="4">
        <f ca="1">RANK(BO25,$BO$24:$BO$27,1)</f>
        <v>2</v>
      </c>
      <c r="BC25" s="4" t="str">
        <f t="shared" si="1"/>
        <v/>
      </c>
      <c r="BD25" s="4" t="str">
        <f ca="1">IF(BC25="",BB25&amp;AS25,BC25&amp;AS25)</f>
        <v>2E</v>
      </c>
      <c r="BE25" s="4">
        <f>RANK(AX25,$AX$24:$AX$27,0)</f>
        <v>1</v>
      </c>
      <c r="BF25" s="4" cm="1">
        <f t="array" aca="1" ref="BF25" ca="1">SUMPRODUCT((OFFSET($CL$3:$DQ$3,MATCH($AT25,$CK$4:$CK$35,0),0))*((IF($BE26=$BE25,$CL$3:$DQ$3=$AT26,0))+(IF($BE27=$BE25,$CL$3:$DQ$3=$AT27,0))+(IF($BE24=$BE25,$CL$3:$DQ$3=$AT24,0))))</f>
        <v>0</v>
      </c>
      <c r="BG25" s="4" cm="1">
        <f t="array" aca="1" ref="BG25" ca="1">SUMPRODUCT((OFFSET($DT$3:$EY$3,MATCH($AT25,$DS$4:$DS$35,0),0))*((IF($BE26=$BE25,$DT$3:$EY$3=$AT26,0))+(IF($BE27=$BE25,$DT$3:$EY$3=$AT27,0))+(IF($BE24=$BE25,$DT$3:$EY$3=$AT24,0))))</f>
        <v>0</v>
      </c>
      <c r="BH25" s="4" cm="1">
        <f t="array" aca="1" ref="BH25" ca="1">SUMPRODUCT((OFFSET($FB$3:$GG$3,MATCH($AT25,$FA$4:$FA$35,0),0))*((IF($BE26=$BE25,$FB$3:$GG$3=$AT26,0))+(IF($BE27=$BE25,$FB$3:$GG$3=$AT27,0))+(IF($BE24=$BE25,$FB$3:$GG$3=$AT24,0))))</f>
        <v>0</v>
      </c>
      <c r="BI25" s="4" cm="1">
        <f t="array" aca="1" ref="BI25" ca="1">SUMPRODUCT((OFFSET($CL$3:$DQ$3,MATCH($AT25,$CK$4:$CK$35,0),0))*((IF($BE26&lt;&gt;$BE25,$CL$3:$DQ$3=$AT26,0))+(IF($BE27&lt;&gt;$BE25,$CL$3:$DQ$3=$AT27,0))+(IF($BE24&lt;&gt;$BE25,$CL$3:$DQ$3=$AT24,0))))</f>
        <v>0</v>
      </c>
      <c r="BJ25" s="4" cm="1">
        <f t="array" aca="1" ref="BJ25" ca="1">SUMPRODUCT((OFFSET($DT$3:$EY$3,MATCH($AT25,$DS$4:$DS$35,0),0))*((IF($BE26&lt;&gt;$BE25,$DT$3:$EY$3=$AT26,0))+(IF($BE27&lt;&gt;$BE25,$DT$3:$EY$3=$AT27,0))+(IF($BE24&lt;&gt;$BE25,$DT$3:$EY$3=$AT24,0))))</f>
        <v>0</v>
      </c>
      <c r="BK25" s="4" cm="1">
        <f t="array" aca="1" ref="BK25" ca="1">SUMPRODUCT((OFFSET($FB$3:$GG$3,MATCH($AT25,$FA$4:$FA$35,0),0))*((IF($BE26&lt;&gt;$BE25,$FB$3:$GG$3=$AT26,0))+(IF($BE27&lt;&gt;$BE25,$FB$3:$GG$3=$AT27,0))+(IF($BE24&lt;&gt;$BE25,$FB$3:$GG$3=$AT24,0))))</f>
        <v>0</v>
      </c>
      <c r="BL25" s="4">
        <f t="shared" si="10"/>
        <v>0</v>
      </c>
      <c r="BM25" s="4">
        <f t="shared" si="11"/>
        <v>0</v>
      </c>
      <c r="BN25" s="4">
        <f ca="1">(BF25/10)+(BG25/100)+(BH25/1000)+(BJ25/10000)+(BK25/100000)+(BL25/1000000)+(BM25/10000000)+(ROW(BI26)/100000000)</f>
        <v>2.6E-7</v>
      </c>
      <c r="BO25" s="4">
        <f ca="1">+BE25-BN25</f>
        <v>0.99999974000000003</v>
      </c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K25" s="4" t="s">
        <v>134</v>
      </c>
      <c r="CL25" s="56">
        <f>SUMIFS(tblActuals[Team 2 Points],tblActuals[Team 2],$CK25,tblActuals[Team 1],CL$3)+SUMIFS(tblActuals[Team 1 Points],tblActuals[Team 1],$CK25,tblActuals[Team 2],CL$3)</f>
        <v>0</v>
      </c>
      <c r="CM25" s="56">
        <f>SUMIFS(tblActuals[Team 2 Points],tblActuals[Team 2],$CK25,tblActuals[Team 1],CM$3)+SUMIFS(tblActuals[Team 1 Points],tblActuals[Team 1],$CK25,tblActuals[Team 2],CM$3)</f>
        <v>0</v>
      </c>
      <c r="CN25" s="56">
        <f>SUMIFS(tblActuals[Team 2 Points],tblActuals[Team 2],$CK25,tblActuals[Team 1],CN$3)+SUMIFS(tblActuals[Team 1 Points],tblActuals[Team 1],$CK25,tblActuals[Team 2],CN$3)</f>
        <v>0</v>
      </c>
      <c r="CO25" s="56">
        <f>SUMIFS(tblActuals[Team 2 Points],tblActuals[Team 2],$CK25,tblActuals[Team 1],CO$3)+SUMIFS(tblActuals[Team 1 Points],tblActuals[Team 1],$CK25,tblActuals[Team 2],CO$3)</f>
        <v>0</v>
      </c>
      <c r="CP25" s="56">
        <f>SUMIFS(tblActuals[Team 2 Points],tblActuals[Team 2],$CK25,tblActuals[Team 1],CP$3)+SUMIFS(tblActuals[Team 1 Points],tblActuals[Team 1],$CK25,tblActuals[Team 2],CP$3)</f>
        <v>0</v>
      </c>
      <c r="CQ25" s="56">
        <f>SUMIFS(tblActuals[Team 2 Points],tblActuals[Team 2],$CK25,tblActuals[Team 1],CQ$3)+SUMIFS(tblActuals[Team 1 Points],tblActuals[Team 1],$CK25,tblActuals[Team 2],CQ$3)</f>
        <v>0</v>
      </c>
      <c r="CR25" s="56">
        <f>SUMIFS(tblActuals[Team 2 Points],tblActuals[Team 2],$CK25,tblActuals[Team 1],CR$3)+SUMIFS(tblActuals[Team 1 Points],tblActuals[Team 1],$CK25,tblActuals[Team 2],CR$3)</f>
        <v>0</v>
      </c>
      <c r="CS25" s="56">
        <f>SUMIFS(tblActuals[Team 2 Points],tblActuals[Team 2],$CK25,tblActuals[Team 1],CS$3)+SUMIFS(tblActuals[Team 1 Points],tblActuals[Team 1],$CK25,tblActuals[Team 2],CS$3)</f>
        <v>0</v>
      </c>
      <c r="CT25" s="56">
        <f>SUMIFS(tblActuals[Team 2 Points],tblActuals[Team 2],$CK25,tblActuals[Team 1],CT$3)+SUMIFS(tblActuals[Team 1 Points],tblActuals[Team 1],$CK25,tblActuals[Team 2],CT$3)</f>
        <v>0</v>
      </c>
      <c r="CU25" s="56">
        <f>SUMIFS(tblActuals[Team 2 Points],tblActuals[Team 2],$CK25,tblActuals[Team 1],CU$3)+SUMIFS(tblActuals[Team 1 Points],tblActuals[Team 1],$CK25,tblActuals[Team 2],CU$3)</f>
        <v>0</v>
      </c>
      <c r="CV25" s="56">
        <f>SUMIFS(tblActuals[Team 2 Points],tblActuals[Team 2],$CK25,tblActuals[Team 1],CV$3)+SUMIFS(tblActuals[Team 1 Points],tblActuals[Team 1],$CK25,tblActuals[Team 2],CV$3)</f>
        <v>0</v>
      </c>
      <c r="CW25" s="56">
        <f>SUMIFS(tblActuals[Team 2 Points],tblActuals[Team 2],$CK25,tblActuals[Team 1],CW$3)+SUMIFS(tblActuals[Team 1 Points],tblActuals[Team 1],$CK25,tblActuals[Team 2],CW$3)</f>
        <v>0</v>
      </c>
      <c r="CX25" s="56">
        <f>SUMIFS(tblActuals[Team 2 Points],tblActuals[Team 2],$CK25,tblActuals[Team 1],CX$3)+SUMIFS(tblActuals[Team 1 Points],tblActuals[Team 1],$CK25,tblActuals[Team 2],CX$3)</f>
        <v>0</v>
      </c>
      <c r="CY25" s="56">
        <f>SUMIFS(tblActuals[Team 2 Points],tblActuals[Team 2],$CK25,tblActuals[Team 1],CY$3)+SUMIFS(tblActuals[Team 1 Points],tblActuals[Team 1],$CK25,tblActuals[Team 2],CY$3)</f>
        <v>0</v>
      </c>
      <c r="CZ25" s="56">
        <f>SUMIFS(tblActuals[Team 2 Points],tblActuals[Team 2],$CK25,tblActuals[Team 1],CZ$3)+SUMIFS(tblActuals[Team 1 Points],tblActuals[Team 1],$CK25,tblActuals[Team 2],CZ$3)</f>
        <v>0</v>
      </c>
      <c r="DA25" s="56">
        <f>SUMIFS(tblActuals[Team 2 Points],tblActuals[Team 2],$CK25,tblActuals[Team 1],DA$3)+SUMIFS(tblActuals[Team 1 Points],tblActuals[Team 1],$CK25,tblActuals[Team 2],DA$3)</f>
        <v>0</v>
      </c>
      <c r="DB25" s="56">
        <f>SUMIFS(tblActuals[Team 2 Points],tblActuals[Team 2],$CK25,tblActuals[Team 1],DB$3)+SUMIFS(tblActuals[Team 1 Points],tblActuals[Team 1],$CK25,tblActuals[Team 2],DB$3)</f>
        <v>0</v>
      </c>
      <c r="DC25" s="56">
        <f>SUMIFS(tblActuals[Team 2 Points],tblActuals[Team 2],$CK25,tblActuals[Team 1],DC$3)+SUMIFS(tblActuals[Team 1 Points],tblActuals[Team 1],$CK25,tblActuals[Team 2],DC$3)</f>
        <v>0</v>
      </c>
      <c r="DD25" s="56">
        <f>SUMIFS(tblActuals[Team 2 Points],tblActuals[Team 2],$CK25,tblActuals[Team 1],DD$3)+SUMIFS(tblActuals[Team 1 Points],tblActuals[Team 1],$CK25,tblActuals[Team 2],DD$3)</f>
        <v>0</v>
      </c>
      <c r="DE25" s="56">
        <f>SUMIFS(tblActuals[Team 2 Points],tblActuals[Team 2],$CK25,tblActuals[Team 1],DE$3)+SUMIFS(tblActuals[Team 1 Points],tblActuals[Team 1],$CK25,tblActuals[Team 2],DE$3)</f>
        <v>0</v>
      </c>
      <c r="DF25" s="56">
        <f>SUMIFS(tblActuals[Team 2 Points],tblActuals[Team 2],$CK25,tblActuals[Team 1],DF$3)+SUMIFS(tblActuals[Team 1 Points],tblActuals[Team 1],$CK25,tblActuals[Team 2],DF$3)</f>
        <v>0</v>
      </c>
      <c r="DG25" s="56">
        <f>SUMIFS(tblActuals[Team 2 Points],tblActuals[Team 2],$CK25,tblActuals[Team 1],DG$3)+SUMIFS(tblActuals[Team 1 Points],tblActuals[Team 1],$CK25,tblActuals[Team 2],DG$3)</f>
        <v>0</v>
      </c>
      <c r="DH25" s="56">
        <f>SUMIFS(tblActuals[Team 2 Points],tblActuals[Team 2],$CK25,tblActuals[Team 1],DH$3)+SUMIFS(tblActuals[Team 1 Points],tblActuals[Team 1],$CK25,tblActuals[Team 2],DH$3)</f>
        <v>0</v>
      </c>
      <c r="DI25" s="56">
        <f>SUMIFS(tblActuals[Team 2 Points],tblActuals[Team 2],$CK25,tblActuals[Team 1],DI$3)+SUMIFS(tblActuals[Team 1 Points],tblActuals[Team 1],$CK25,tblActuals[Team 2],DI$3)</f>
        <v>0</v>
      </c>
      <c r="DJ25" s="57"/>
      <c r="DK25" s="57"/>
      <c r="DL25" s="57"/>
      <c r="DM25" s="57"/>
      <c r="DN25" s="57"/>
      <c r="DO25" s="57"/>
      <c r="DP25" s="57"/>
      <c r="DQ25" s="57"/>
      <c r="DR25" s="4"/>
      <c r="DS25" s="4" t="s">
        <v>134</v>
      </c>
      <c r="DT25" s="56">
        <f>SUMIFS(tblActuals[Team 2 GD],tblActuals[Team 2],$CK25,tblActuals[Team 1],DT$3)+SUMIFS(tblActuals[Team 1 GD],tblActuals[Team 1],$CK25,tblActuals[Team 2],DT$3)</f>
        <v>0</v>
      </c>
      <c r="DU25" s="56">
        <f>SUMIFS(tblActuals[Team 2 GD],tblActuals[Team 2],$CK25,tblActuals[Team 1],DU$3)+SUMIFS(tblActuals[Team 1 GD],tblActuals[Team 1],$CK25,tblActuals[Team 2],DU$3)</f>
        <v>0</v>
      </c>
      <c r="DV25" s="56">
        <f>SUMIFS(tblActuals[Team 2 GD],tblActuals[Team 2],$CK25,tblActuals[Team 1],DV$3)+SUMIFS(tblActuals[Team 1 GD],tblActuals[Team 1],$CK25,tblActuals[Team 2],DV$3)</f>
        <v>0</v>
      </c>
      <c r="DW25" s="56">
        <f>SUMIFS(tblActuals[Team 2 GD],tblActuals[Team 2],$CK25,tblActuals[Team 1],DW$3)+SUMIFS(tblActuals[Team 1 GD],tblActuals[Team 1],$CK25,tblActuals[Team 2],DW$3)</f>
        <v>0</v>
      </c>
      <c r="DX25" s="56">
        <f>SUMIFS(tblActuals[Team 2 GD],tblActuals[Team 2],$CK25,tblActuals[Team 1],DX$3)+SUMIFS(tblActuals[Team 1 GD],tblActuals[Team 1],$CK25,tblActuals[Team 2],DX$3)</f>
        <v>0</v>
      </c>
      <c r="DY25" s="56">
        <f>SUMIFS(tblActuals[Team 2 GD],tblActuals[Team 2],$CK25,tblActuals[Team 1],DY$3)+SUMIFS(tblActuals[Team 1 GD],tblActuals[Team 1],$CK25,tblActuals[Team 2],DY$3)</f>
        <v>0</v>
      </c>
      <c r="DZ25" s="56">
        <f>SUMIFS(tblActuals[Team 2 GD],tblActuals[Team 2],$CK25,tblActuals[Team 1],DZ$3)+SUMIFS(tblActuals[Team 1 GD],tblActuals[Team 1],$CK25,tblActuals[Team 2],DZ$3)</f>
        <v>0</v>
      </c>
      <c r="EA25" s="56">
        <f>SUMIFS(tblActuals[Team 2 GD],tblActuals[Team 2],$CK25,tblActuals[Team 1],EA$3)+SUMIFS(tblActuals[Team 1 GD],tblActuals[Team 1],$CK25,tblActuals[Team 2],EA$3)</f>
        <v>0</v>
      </c>
      <c r="EB25" s="56">
        <f>SUMIFS(tblActuals[Team 2 GD],tblActuals[Team 2],$CK25,tblActuals[Team 1],EB$3)+SUMIFS(tblActuals[Team 1 GD],tblActuals[Team 1],$CK25,tblActuals[Team 2],EB$3)</f>
        <v>0</v>
      </c>
      <c r="EC25" s="56">
        <f>SUMIFS(tblActuals[Team 2 GD],tblActuals[Team 2],$CK25,tblActuals[Team 1],EC$3)+SUMIFS(tblActuals[Team 1 GD],tblActuals[Team 1],$CK25,tblActuals[Team 2],EC$3)</f>
        <v>0</v>
      </c>
      <c r="ED25" s="56">
        <f>SUMIFS(tblActuals[Team 2 GD],tblActuals[Team 2],$CK25,tblActuals[Team 1],ED$3)+SUMIFS(tblActuals[Team 1 GD],tblActuals[Team 1],$CK25,tblActuals[Team 2],ED$3)</f>
        <v>0</v>
      </c>
      <c r="EE25" s="56">
        <f>SUMIFS(tblActuals[Team 2 GD],tblActuals[Team 2],$CK25,tblActuals[Team 1],EE$3)+SUMIFS(tblActuals[Team 1 GD],tblActuals[Team 1],$CK25,tblActuals[Team 2],EE$3)</f>
        <v>0</v>
      </c>
      <c r="EF25" s="56">
        <f>SUMIFS(tblActuals[Team 2 GD],tblActuals[Team 2],$CK25,tblActuals[Team 1],EF$3)+SUMIFS(tblActuals[Team 1 GD],tblActuals[Team 1],$CK25,tblActuals[Team 2],EF$3)</f>
        <v>0</v>
      </c>
      <c r="EG25" s="56">
        <f>SUMIFS(tblActuals[Team 2 GD],tblActuals[Team 2],$CK25,tblActuals[Team 1],EG$3)+SUMIFS(tblActuals[Team 1 GD],tblActuals[Team 1],$CK25,tblActuals[Team 2],EG$3)</f>
        <v>0</v>
      </c>
      <c r="EH25" s="56">
        <f>SUMIFS(tblActuals[Team 2 GD],tblActuals[Team 2],$CK25,tblActuals[Team 1],EH$3)+SUMIFS(tblActuals[Team 1 GD],tblActuals[Team 1],$CK25,tblActuals[Team 2],EH$3)</f>
        <v>0</v>
      </c>
      <c r="EI25" s="56">
        <f>SUMIFS(tblActuals[Team 2 GD],tblActuals[Team 2],$CK25,tblActuals[Team 1],EI$3)+SUMIFS(tblActuals[Team 1 GD],tblActuals[Team 1],$CK25,tblActuals[Team 2],EI$3)</f>
        <v>0</v>
      </c>
      <c r="EJ25" s="56">
        <f>SUMIFS(tblActuals[Team 2 GD],tblActuals[Team 2],$CK25,tblActuals[Team 1],EJ$3)+SUMIFS(tblActuals[Team 1 GD],tblActuals[Team 1],$CK25,tblActuals[Team 2],EJ$3)</f>
        <v>0</v>
      </c>
      <c r="EK25" s="56">
        <f>SUMIFS(tblActuals[Team 2 GD],tblActuals[Team 2],$CK25,tblActuals[Team 1],EK$3)+SUMIFS(tblActuals[Team 1 GD],tblActuals[Team 1],$CK25,tblActuals[Team 2],EK$3)</f>
        <v>0</v>
      </c>
      <c r="EL25" s="56">
        <f>SUMIFS(tblActuals[Team 2 GD],tblActuals[Team 2],$CK25,tblActuals[Team 1],EL$3)+SUMIFS(tblActuals[Team 1 GD],tblActuals[Team 1],$CK25,tblActuals[Team 2],EL$3)</f>
        <v>0</v>
      </c>
      <c r="EM25" s="56">
        <f>SUMIFS(tblActuals[Team 2 GD],tblActuals[Team 2],$CK25,tblActuals[Team 1],EM$3)+SUMIFS(tblActuals[Team 1 GD],tblActuals[Team 1],$CK25,tblActuals[Team 2],EM$3)</f>
        <v>0</v>
      </c>
      <c r="EN25" s="56">
        <f>SUMIFS(tblActuals[Team 2 GD],tblActuals[Team 2],$CK25,tblActuals[Team 1],EN$3)+SUMIFS(tblActuals[Team 1 GD],tblActuals[Team 1],$CK25,tblActuals[Team 2],EN$3)</f>
        <v>0</v>
      </c>
      <c r="EO25" s="56">
        <f>SUMIFS(tblActuals[Team 2 GD],tblActuals[Team 2],$CK25,tblActuals[Team 1],EO$3)+SUMIFS(tblActuals[Team 1 GD],tblActuals[Team 1],$CK25,tblActuals[Team 2],EO$3)</f>
        <v>0</v>
      </c>
      <c r="EP25" s="56">
        <f>SUMIFS(tblActuals[Team 2 GD],tblActuals[Team 2],$CK25,tblActuals[Team 1],EP$3)+SUMIFS(tblActuals[Team 1 GD],tblActuals[Team 1],$CK25,tblActuals[Team 2],EP$3)</f>
        <v>0</v>
      </c>
      <c r="EQ25" s="56">
        <f>SUMIFS(tblActuals[Team 2 GD],tblActuals[Team 2],$CK25,tblActuals[Team 1],EQ$3)+SUMIFS(tblActuals[Team 1 GD],tblActuals[Team 1],$CK25,tblActuals[Team 2],EQ$3)</f>
        <v>0</v>
      </c>
      <c r="ER25" s="57"/>
      <c r="ES25" s="57"/>
      <c r="ET25" s="57"/>
      <c r="EU25" s="57"/>
      <c r="EV25" s="57"/>
      <c r="EW25" s="57"/>
      <c r="EX25" s="57"/>
      <c r="EY25" s="57"/>
      <c r="EZ25" s="4"/>
      <c r="FA25" s="4" t="s">
        <v>134</v>
      </c>
      <c r="FB25" s="56">
        <f>SUMIFS(tblActuals[Team 2 Goals],tblActuals[Team 2],$CK25,tblActuals[Team 1],FB$3)+SUMIFS(tblActuals[Team 1 Goals],tblActuals[Team 1],$CK25,tblActuals[Team 2],FB$3)</f>
        <v>0</v>
      </c>
      <c r="FC25" s="56">
        <f>SUMIFS(tblActuals[Team 2 Goals],tblActuals[Team 2],$CK25,tblActuals[Team 1],FC$3)+SUMIFS(tblActuals[Team 1 Goals],tblActuals[Team 1],$CK25,tblActuals[Team 2],FC$3)</f>
        <v>0</v>
      </c>
      <c r="FD25" s="56">
        <f>SUMIFS(tblActuals[Team 2 Goals],tblActuals[Team 2],$CK25,tblActuals[Team 1],FD$3)+SUMIFS(tblActuals[Team 1 Goals],tblActuals[Team 1],$CK25,tblActuals[Team 2],FD$3)</f>
        <v>0</v>
      </c>
      <c r="FE25" s="56">
        <f>SUMIFS(tblActuals[Team 2 Goals],tblActuals[Team 2],$CK25,tblActuals[Team 1],FE$3)+SUMIFS(tblActuals[Team 1 Goals],tblActuals[Team 1],$CK25,tblActuals[Team 2],FE$3)</f>
        <v>0</v>
      </c>
      <c r="FF25" s="56">
        <f>SUMIFS(tblActuals[Team 2 Goals],tblActuals[Team 2],$CK25,tblActuals[Team 1],FF$3)+SUMIFS(tblActuals[Team 1 Goals],tblActuals[Team 1],$CK25,tblActuals[Team 2],FF$3)</f>
        <v>0</v>
      </c>
      <c r="FG25" s="56">
        <f>SUMIFS(tblActuals[Team 2 Goals],tblActuals[Team 2],$CK25,tblActuals[Team 1],FG$3)+SUMIFS(tblActuals[Team 1 Goals],tblActuals[Team 1],$CK25,tblActuals[Team 2],FG$3)</f>
        <v>0</v>
      </c>
      <c r="FH25" s="56">
        <f>SUMIFS(tblActuals[Team 2 Goals],tblActuals[Team 2],$CK25,tblActuals[Team 1],FH$3)+SUMIFS(tblActuals[Team 1 Goals],tblActuals[Team 1],$CK25,tblActuals[Team 2],FH$3)</f>
        <v>0</v>
      </c>
      <c r="FI25" s="56">
        <f>SUMIFS(tblActuals[Team 2 Goals],tblActuals[Team 2],$CK25,tblActuals[Team 1],FI$3)+SUMIFS(tblActuals[Team 1 Goals],tblActuals[Team 1],$CK25,tblActuals[Team 2],FI$3)</f>
        <v>0</v>
      </c>
      <c r="FJ25" s="56">
        <f>SUMIFS(tblActuals[Team 2 Goals],tblActuals[Team 2],$CK25,tblActuals[Team 1],FJ$3)+SUMIFS(tblActuals[Team 1 Goals],tblActuals[Team 1],$CK25,tblActuals[Team 2],FJ$3)</f>
        <v>0</v>
      </c>
      <c r="FK25" s="56">
        <f>SUMIFS(tblActuals[Team 2 Goals],tblActuals[Team 2],$CK25,tblActuals[Team 1],FK$3)+SUMIFS(tblActuals[Team 1 Goals],tblActuals[Team 1],$CK25,tblActuals[Team 2],FK$3)</f>
        <v>0</v>
      </c>
      <c r="FL25" s="56">
        <f>SUMIFS(tblActuals[Team 2 Goals],tblActuals[Team 2],$CK25,tblActuals[Team 1],FL$3)+SUMIFS(tblActuals[Team 1 Goals],tblActuals[Team 1],$CK25,tblActuals[Team 2],FL$3)</f>
        <v>0</v>
      </c>
      <c r="FM25" s="56">
        <f>SUMIFS(tblActuals[Team 2 Goals],tblActuals[Team 2],$CK25,tblActuals[Team 1],FM$3)+SUMIFS(tblActuals[Team 1 Goals],tblActuals[Team 1],$CK25,tblActuals[Team 2],FM$3)</f>
        <v>0</v>
      </c>
      <c r="FN25" s="56">
        <f>SUMIFS(tblActuals[Team 2 Goals],tblActuals[Team 2],$CK25,tblActuals[Team 1],FN$3)+SUMIFS(tblActuals[Team 1 Goals],tblActuals[Team 1],$CK25,tblActuals[Team 2],FN$3)</f>
        <v>0</v>
      </c>
      <c r="FO25" s="56">
        <f>SUMIFS(tblActuals[Team 2 Goals],tblActuals[Team 2],$CK25,tblActuals[Team 1],FO$3)+SUMIFS(tblActuals[Team 1 Goals],tblActuals[Team 1],$CK25,tblActuals[Team 2],FO$3)</f>
        <v>0</v>
      </c>
      <c r="FP25" s="56">
        <f>SUMIFS(tblActuals[Team 2 Goals],tblActuals[Team 2],$CK25,tblActuals[Team 1],FP$3)+SUMIFS(tblActuals[Team 1 Goals],tblActuals[Team 1],$CK25,tblActuals[Team 2],FP$3)</f>
        <v>0</v>
      </c>
      <c r="FQ25" s="56">
        <f>SUMIFS(tblActuals[Team 2 Goals],tblActuals[Team 2],$CK25,tblActuals[Team 1],FQ$3)+SUMIFS(tblActuals[Team 1 Goals],tblActuals[Team 1],$CK25,tblActuals[Team 2],FQ$3)</f>
        <v>0</v>
      </c>
      <c r="FR25" s="56">
        <f>SUMIFS(tblActuals[Team 2 Goals],tblActuals[Team 2],$CK25,tblActuals[Team 1],FR$3)+SUMIFS(tblActuals[Team 1 Goals],tblActuals[Team 1],$CK25,tblActuals[Team 2],FR$3)</f>
        <v>0</v>
      </c>
      <c r="FS25" s="56">
        <f>SUMIFS(tblActuals[Team 2 Goals],tblActuals[Team 2],$CK25,tblActuals[Team 1],FS$3)+SUMIFS(tblActuals[Team 1 Goals],tblActuals[Team 1],$CK25,tblActuals[Team 2],FS$3)</f>
        <v>0</v>
      </c>
      <c r="FT25" s="56">
        <f>SUMIFS(tblActuals[Team 2 Goals],tblActuals[Team 2],$CK25,tblActuals[Team 1],FT$3)+SUMIFS(tblActuals[Team 1 Goals],tblActuals[Team 1],$CK25,tblActuals[Team 2],FT$3)</f>
        <v>0</v>
      </c>
      <c r="FU25" s="56">
        <f>SUMIFS(tblActuals[Team 2 Goals],tblActuals[Team 2],$CK25,tblActuals[Team 1],FU$3)+SUMIFS(tblActuals[Team 1 Goals],tblActuals[Team 1],$CK25,tblActuals[Team 2],FU$3)</f>
        <v>0</v>
      </c>
      <c r="FV25" s="56">
        <f>SUMIFS(tblActuals[Team 2 Goals],tblActuals[Team 2],$CK25,tblActuals[Team 1],FV$3)+SUMIFS(tblActuals[Team 1 Goals],tblActuals[Team 1],$CK25,tblActuals[Team 2],FV$3)</f>
        <v>0</v>
      </c>
      <c r="FW25" s="56">
        <f>SUMIFS(tblActuals[Team 2 Goals],tblActuals[Team 2],$CK25,tblActuals[Team 1],FW$3)+SUMIFS(tblActuals[Team 1 Goals],tblActuals[Team 1],$CK25,tblActuals[Team 2],FW$3)</f>
        <v>0</v>
      </c>
      <c r="FX25" s="56">
        <f>SUMIFS(tblActuals[Team 2 Goals],tblActuals[Team 2],$CK25,tblActuals[Team 1],FX$3)+SUMIFS(tblActuals[Team 1 Goals],tblActuals[Team 1],$CK25,tblActuals[Team 2],FX$3)</f>
        <v>0</v>
      </c>
      <c r="FY25" s="56">
        <f>SUMIFS(tblActuals[Team 2 Goals],tblActuals[Team 2],$CK25,tblActuals[Team 1],FY$3)+SUMIFS(tblActuals[Team 1 Goals],tblActuals[Team 1],$CK25,tblActuals[Team 2],FY$3)</f>
        <v>0</v>
      </c>
      <c r="FZ25" s="57"/>
      <c r="GA25" s="57"/>
      <c r="GB25" s="37"/>
      <c r="GC25" s="37"/>
      <c r="GD25" s="37"/>
      <c r="GE25" s="37"/>
      <c r="GF25" s="37"/>
      <c r="GG25" s="37"/>
      <c r="GH25" s="75"/>
      <c r="GI25" s="148"/>
      <c r="GJ25" s="148"/>
      <c r="GK25" s="75"/>
      <c r="GL25" s="75"/>
      <c r="GM25" s="75"/>
      <c r="GN25" s="75"/>
      <c r="GO25" s="75"/>
      <c r="GP25" s="75"/>
    </row>
    <row r="26" spans="1:211" s="11" customFormat="1" ht="30" customHeight="1" x14ac:dyDescent="0.25">
      <c r="A26" s="20"/>
      <c r="B26" s="122">
        <v>23</v>
      </c>
      <c r="C26" s="122" t="s">
        <v>45</v>
      </c>
      <c r="D26" s="123">
        <v>45465</v>
      </c>
      <c r="E26" s="122" t="s">
        <v>81</v>
      </c>
      <c r="F26" s="124">
        <v>0.75</v>
      </c>
      <c r="G26" s="125">
        <f t="shared" si="8"/>
        <v>45465.5</v>
      </c>
      <c r="H26" s="122" t="s">
        <v>111</v>
      </c>
      <c r="I26" s="126"/>
      <c r="J26" s="118"/>
      <c r="K26" s="118"/>
      <c r="L26" s="119" t="str">
        <f>IF(tblActuals[[#This Row],[SCORE]]="","",IF(Q26=R26,"Draw",IF(Q26&gt;R26,M26,N26)))</f>
        <v/>
      </c>
      <c r="M26" s="120" t="str">
        <f>IF(tblActuals[[#This Row],[TEAMS]]="","",LEFT(H26,FIND(" -",H26,1)-1))</f>
        <v>Turkey</v>
      </c>
      <c r="N26" s="120" t="str">
        <f>IF(tblActuals[[#This Row],[TEAMS]]="","",MID(H26,FIND("-",H26,1)+2,LEN(H26)-FIND("-",H26,1)+2))</f>
        <v>Portugal</v>
      </c>
      <c r="O26" s="120" t="str">
        <f>IF(tblActuals[[#This Row],[Team 1 Goals]]&gt;tblActuals[[#This Row],[Team 2 Goals]],tblActuals[[#This Row],[Team 1]],IF(tblActuals[[#This Row],[Team 2 Goals]]&gt;tblActuals[[#This Row],[Team 1 Goals]],tblActuals[[#This Row],[Team 2]],""))</f>
        <v/>
      </c>
      <c r="P26" s="120" t="str">
        <f>IF(tblActuals[[#This Row],[Winner]]=tblActuals[[#This Row],[Team 1]],tblActuals[[#This Row],[Team 2]],IF(tblActuals[[#This Row],[Winner]]=tblActuals[[#This Row],[Team 2]],tblActuals[[#This Row],[Team 1]],""))</f>
        <v/>
      </c>
      <c r="Q26" s="120" t="str">
        <f>IF(tblActuals[[#This Row],[SCORE]]="","",LEFT(I26,FIND(":",I26,1)-1)*1)</f>
        <v/>
      </c>
      <c r="R26" s="120" t="str">
        <f>IF(tblActuals[[#This Row],[SCORE]]="","",MID(I26,FIND(":",I26,1)+1,LEN(I26)-FIND(":",I26,1)+1)*1)</f>
        <v/>
      </c>
      <c r="S26" s="120" t="str">
        <f>IF(OR(tblActuals[[#This Row],[Team 1 Goals]]="",tblActuals[[#This Row],[Team 2 Goals]]=""),"",tblActuals[[#This Row],[Team 1 Goals]]-tblActuals[[#This Row],[Team 2 Goals]])</f>
        <v/>
      </c>
      <c r="T26" s="120" t="str">
        <f>IF(OR(tblActuals[[#This Row],[Team 1 Goals]]="",tblActuals[[#This Row],[Team 2 Goals]]=""),"",tblActuals[[#This Row],[Team 2 Goals]]-tblActuals[[#This Row],[Team 1 Goals]])</f>
        <v/>
      </c>
      <c r="U26" s="120" t="str">
        <f>IF(tblActuals[[#This Row],[SCORE]]="","",IF(tblActuals[[#This Row],[WINNER / RESULT]]="Draw",1,IF(tblActuals[[#This Row],[WINNER / RESULT]]=tblActuals[[#This Row],[Team 1]],3,0)))</f>
        <v/>
      </c>
      <c r="V26" s="120" t="str">
        <f>IF(tblActuals[[#This Row],[SCORE]]="","",IF(tblActuals[[#This Row],[WINNER / RESULT]]="Draw",1,IF(tblActuals[[#This Row],[WINNER / RESULT]]=tblActuals[[#This Row],[Team 2]],3,0)))</f>
        <v/>
      </c>
      <c r="W26" s="121"/>
      <c r="X26" s="121"/>
      <c r="Y26" s="121"/>
      <c r="Z26" s="121"/>
      <c r="AA26" s="120" t="e">
        <f>tblActuals[[#This Row],[Team 1 Goals]]+tblActuals[[#This Row],[Team 1 ET Goals]]&amp;":"&amp;tblActuals[[#This Row],[Team 2 Goals]]+tblActuals[[#This Row],[Team 2 ET Goals]]</f>
        <v>#VALUE!</v>
      </c>
      <c r="AB26" s="120" t="e">
        <f>+tblActuals[[#This Row],[Team 1 Goals]]+tblActuals[[#This Row],[Team 2 Goals]]</f>
        <v>#VALUE!</v>
      </c>
      <c r="AC26" s="165">
        <f t="shared" si="0"/>
        <v>45465</v>
      </c>
      <c r="AD26" s="166">
        <f t="shared" si="9"/>
        <v>25.6</v>
      </c>
      <c r="AJ26" s="77" t="s">
        <v>7</v>
      </c>
      <c r="AK26" s="142">
        <v>3</v>
      </c>
      <c r="AL26" s="143" t="str">
        <f ca="1">IFERROR(INDEX(AT:AT,MATCH("3"&amp;AJ26,BD:BD,0),1),"")</f>
        <v>Netherlands</v>
      </c>
      <c r="AM26" s="143" t="str">
        <f ca="1">IF(AL26="","",VLOOKUP(AL26,AT:AY,2,FALSE)&amp;"-"&amp;VLOOKUP(AL26,AT:AY,3,FALSE)&amp;"-"&amp;VLOOKUP(AL26,AT:AY,4,FALSE))</f>
        <v>0-0-0</v>
      </c>
      <c r="AN26" s="143">
        <f ca="1">IF(AL26="","",VLOOKUP(AL26,AT:BA,8,FALSE))</f>
        <v>0</v>
      </c>
      <c r="AO26" s="144">
        <f ca="1">IF(AL26="","",VLOOKUP(AL26,AT:BD,5,FALSE))</f>
        <v>0</v>
      </c>
      <c r="AP26" s="75" t="str">
        <f ca="1">IF(INDEX($AK$43:$AK$48,MATCH(AL26,$AL$43:$AL$48,0),1)&lt;=4,"X","")</f>
        <v>X</v>
      </c>
      <c r="AQ26" s="4"/>
      <c r="AR26" s="4"/>
      <c r="AS26" s="4" t="s">
        <v>12</v>
      </c>
      <c r="AT26" s="4" t="s">
        <v>130</v>
      </c>
      <c r="AU26" s="4">
        <f>COUNTIF(tblActuals[Winner],AT26)</f>
        <v>0</v>
      </c>
      <c r="AV26" s="4">
        <f>COUNTIFS(tblActuals[Team 2],AT26,tblActuals[WINNER / RESULT],"Draw")+COUNTIFS(tblActuals[Team 1],AT26,tblActuals[WINNER / RESULT],"Draw")</f>
        <v>0</v>
      </c>
      <c r="AW26" s="4">
        <f>COUNTIF(tblActuals[Loser],AT26)</f>
        <v>0</v>
      </c>
      <c r="AX26" s="4">
        <f>AV26+(3*AU26)</f>
        <v>0</v>
      </c>
      <c r="AY26" s="4">
        <f>SUMIFS(tblActuals[Team 1 Goals],tblActuals[Team 1],AT26)+SUMIFS(tblActuals[Team 2 Goals],tblActuals[Team 2],AT26)</f>
        <v>0</v>
      </c>
      <c r="AZ26" s="4">
        <f>SUMIFS(tblActuals[Team 2 Goals],tblActuals[Team 1],AT26)+SUMIFS(tblActuals[Team 1 Goals],tblActuals[Team 2],AT26)</f>
        <v>0</v>
      </c>
      <c r="BA26" s="4">
        <f>AY26-AZ26</f>
        <v>0</v>
      </c>
      <c r="BB26" s="4">
        <f ca="1">RANK(BO26,$BO$24:$BO$27,1)</f>
        <v>3</v>
      </c>
      <c r="BC26" s="4" t="str">
        <f t="shared" si="1"/>
        <v/>
      </c>
      <c r="BD26" s="4" t="str">
        <f ca="1">IF(BC26="",BB26&amp;AS26,BC26&amp;AS26)</f>
        <v>3E</v>
      </c>
      <c r="BE26" s="4">
        <f>RANK(AX26,$AX$24:$AX$27,0)</f>
        <v>1</v>
      </c>
      <c r="BF26" s="4" cm="1">
        <f t="array" aca="1" ref="BF26" ca="1">SUMPRODUCT((OFFSET($CL$3:$DQ$3,MATCH($AT26,$CK$4:$CK$35,0),0))*((IF($BE24=$BE26,$CL$3:$DQ$3=$AT24,0))+(IF($BE27=$BE26,$CL$3:$DQ$3=$AT27,0))+(IF($BE25=$BE26,$CL$3:$DQ$3=$AT25,0))))</f>
        <v>0</v>
      </c>
      <c r="BG26" s="4" cm="1">
        <f t="array" aca="1" ref="BG26" ca="1">SUMPRODUCT((OFFSET($DT$3:$EY$3,MATCH($AT26,$DS$4:$DS$35,0),0))*((IF($BE24=$BE26,$DT$3:$EY$3=$AT24,0))+(IF($BE27=$BE26,$DT$3:$EY$3=$AT27,0))+(IF($BE25=$BE26,$DT$3:$EY$3=$AT25,0))))</f>
        <v>0</v>
      </c>
      <c r="BH26" s="4" cm="1">
        <f t="array" aca="1" ref="BH26" ca="1">SUMPRODUCT((OFFSET($FB$3:$GG$3,MATCH($AT26,$FA$4:$FA$35,0),0))*((IF($BE24=$BE26,$FB$3:$GG$3=$AT24,0))+(IF($BE27=$BE26,$FB$3:$GG$3=$AT27,0))+(IF($BE25=$BE26,$FB$3:$GG$3=$AT25,0))))</f>
        <v>0</v>
      </c>
      <c r="BI26" s="4" cm="1">
        <f t="array" aca="1" ref="BI26" ca="1">SUMPRODUCT((OFFSET($CL$3:$DQ$3,MATCH($AT26,$CK$4:$CK$35,0),0))*((IF($BE24&lt;&gt;$BE26,$CL$3:$DQ$3=$AT24,0))+(IF($BE27&lt;&gt;$BE26,$CL$3:$DQ$3=$AT27,0))+(IF($BE25&lt;&gt;$BE26,$CL$3:$DQ$3=$AT25,0))))</f>
        <v>0</v>
      </c>
      <c r="BJ26" s="4" cm="1">
        <f t="array" aca="1" ref="BJ26" ca="1">SUMPRODUCT((OFFSET($DT$3:$EY$3,MATCH($AT26,$DS$4:$DS$35,0),0))*((IF($BE24&lt;&gt;$BE26,$DT$3:$EY$3=$AT24,0))+(IF($BE27&lt;&gt;$BE26,$DT$3:$EY$3=$AT27,0))+(IF($BE25&lt;&gt;$BE26,$DT$3:$EY$3=$AT25,0))))</f>
        <v>0</v>
      </c>
      <c r="BK26" s="4" cm="1">
        <f t="array" aca="1" ref="BK26" ca="1">SUMPRODUCT((OFFSET($FB$3:$GG$3,MATCH($AT26,$FA$4:$FA$35,0),0))*((IF($BE24&lt;&gt;$BE26,$FB$3:$GG$3=$AT24,0))+(IF($BE27&lt;&gt;$BE26,$FB$3:$GG$3=$AT27,0))+(IF($BE25&lt;&gt;$BE26,$FB$3:$GG$3=$AT25,0))))</f>
        <v>0</v>
      </c>
      <c r="BL26" s="4">
        <f t="shared" si="10"/>
        <v>0</v>
      </c>
      <c r="BM26" s="4">
        <f t="shared" si="11"/>
        <v>0</v>
      </c>
      <c r="BN26" s="4">
        <f ca="1">(BF26/10)+(BG26/100)+(BH26/1000)+(BJ26/10000)+(BK26/100000)+(BL26/1000000)+(BM26/10000000)+(ROW(BI25)/100000000)</f>
        <v>2.4999999999999999E-7</v>
      </c>
      <c r="BO26" s="4">
        <f ca="1">+BE26-BN26</f>
        <v>0.99999974999999997</v>
      </c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K26" s="4" t="s">
        <v>30</v>
      </c>
      <c r="CL26" s="56">
        <f>SUMIFS(tblActuals[Team 2 Points],tblActuals[Team 2],$CK26,tblActuals[Team 1],CL$3)+SUMIFS(tblActuals[Team 1 Points],tblActuals[Team 1],$CK26,tblActuals[Team 2],CL$3)</f>
        <v>0</v>
      </c>
      <c r="CM26" s="56">
        <f>SUMIFS(tblActuals[Team 2 Points],tblActuals[Team 2],$CK26,tblActuals[Team 1],CM$3)+SUMIFS(tblActuals[Team 1 Points],tblActuals[Team 1],$CK26,tblActuals[Team 2],CM$3)</f>
        <v>0</v>
      </c>
      <c r="CN26" s="56">
        <f>SUMIFS(tblActuals[Team 2 Points],tblActuals[Team 2],$CK26,tblActuals[Team 1],CN$3)+SUMIFS(tblActuals[Team 1 Points],tblActuals[Team 1],$CK26,tblActuals[Team 2],CN$3)</f>
        <v>0</v>
      </c>
      <c r="CO26" s="56">
        <f>SUMIFS(tblActuals[Team 2 Points],tblActuals[Team 2],$CK26,tblActuals[Team 1],CO$3)+SUMIFS(tblActuals[Team 1 Points],tblActuals[Team 1],$CK26,tblActuals[Team 2],CO$3)</f>
        <v>0</v>
      </c>
      <c r="CP26" s="56">
        <f>SUMIFS(tblActuals[Team 2 Points],tblActuals[Team 2],$CK26,tblActuals[Team 1],CP$3)+SUMIFS(tblActuals[Team 1 Points],tblActuals[Team 1],$CK26,tblActuals[Team 2],CP$3)</f>
        <v>0</v>
      </c>
      <c r="CQ26" s="56">
        <f>SUMIFS(tblActuals[Team 2 Points],tblActuals[Team 2],$CK26,tblActuals[Team 1],CQ$3)+SUMIFS(tblActuals[Team 1 Points],tblActuals[Team 1],$CK26,tblActuals[Team 2],CQ$3)</f>
        <v>0</v>
      </c>
      <c r="CR26" s="56">
        <f>SUMIFS(tblActuals[Team 2 Points],tblActuals[Team 2],$CK26,tblActuals[Team 1],CR$3)+SUMIFS(tblActuals[Team 1 Points],tblActuals[Team 1],$CK26,tblActuals[Team 2],CR$3)</f>
        <v>0</v>
      </c>
      <c r="CS26" s="56">
        <f>SUMIFS(tblActuals[Team 2 Points],tblActuals[Team 2],$CK26,tblActuals[Team 1],CS$3)+SUMIFS(tblActuals[Team 1 Points],tblActuals[Team 1],$CK26,tblActuals[Team 2],CS$3)</f>
        <v>0</v>
      </c>
      <c r="CT26" s="56">
        <f>SUMIFS(tblActuals[Team 2 Points],tblActuals[Team 2],$CK26,tblActuals[Team 1],CT$3)+SUMIFS(tblActuals[Team 1 Points],tblActuals[Team 1],$CK26,tblActuals[Team 2],CT$3)</f>
        <v>0</v>
      </c>
      <c r="CU26" s="56">
        <f>SUMIFS(tblActuals[Team 2 Points],tblActuals[Team 2],$CK26,tblActuals[Team 1],CU$3)+SUMIFS(tblActuals[Team 1 Points],tblActuals[Team 1],$CK26,tblActuals[Team 2],CU$3)</f>
        <v>0</v>
      </c>
      <c r="CV26" s="56">
        <f>SUMIFS(tblActuals[Team 2 Points],tblActuals[Team 2],$CK26,tblActuals[Team 1],CV$3)+SUMIFS(tblActuals[Team 1 Points],tblActuals[Team 1],$CK26,tblActuals[Team 2],CV$3)</f>
        <v>0</v>
      </c>
      <c r="CW26" s="56">
        <f>SUMIFS(tblActuals[Team 2 Points],tblActuals[Team 2],$CK26,tblActuals[Team 1],CW$3)+SUMIFS(tblActuals[Team 1 Points],tblActuals[Team 1],$CK26,tblActuals[Team 2],CW$3)</f>
        <v>0</v>
      </c>
      <c r="CX26" s="56">
        <f>SUMIFS(tblActuals[Team 2 Points],tblActuals[Team 2],$CK26,tblActuals[Team 1],CX$3)+SUMIFS(tblActuals[Team 1 Points],tblActuals[Team 1],$CK26,tblActuals[Team 2],CX$3)</f>
        <v>0</v>
      </c>
      <c r="CY26" s="56">
        <f>SUMIFS(tblActuals[Team 2 Points],tblActuals[Team 2],$CK26,tblActuals[Team 1],CY$3)+SUMIFS(tblActuals[Team 1 Points],tblActuals[Team 1],$CK26,tblActuals[Team 2],CY$3)</f>
        <v>0</v>
      </c>
      <c r="CZ26" s="56">
        <f>SUMIFS(tblActuals[Team 2 Points],tblActuals[Team 2],$CK26,tblActuals[Team 1],CZ$3)+SUMIFS(tblActuals[Team 1 Points],tblActuals[Team 1],$CK26,tblActuals[Team 2],CZ$3)</f>
        <v>0</v>
      </c>
      <c r="DA26" s="56">
        <f>SUMIFS(tblActuals[Team 2 Points],tblActuals[Team 2],$CK26,tblActuals[Team 1],DA$3)+SUMIFS(tblActuals[Team 1 Points],tblActuals[Team 1],$CK26,tblActuals[Team 2],DA$3)</f>
        <v>0</v>
      </c>
      <c r="DB26" s="56">
        <f>SUMIFS(tblActuals[Team 2 Points],tblActuals[Team 2],$CK26,tblActuals[Team 1],DB$3)+SUMIFS(tblActuals[Team 1 Points],tblActuals[Team 1],$CK26,tblActuals[Team 2],DB$3)</f>
        <v>0</v>
      </c>
      <c r="DC26" s="56">
        <f>SUMIFS(tblActuals[Team 2 Points],tblActuals[Team 2],$CK26,tblActuals[Team 1],DC$3)+SUMIFS(tblActuals[Team 1 Points],tblActuals[Team 1],$CK26,tblActuals[Team 2],DC$3)</f>
        <v>0</v>
      </c>
      <c r="DD26" s="56">
        <f>SUMIFS(tblActuals[Team 2 Points],tblActuals[Team 2],$CK26,tblActuals[Team 1],DD$3)+SUMIFS(tblActuals[Team 1 Points],tblActuals[Team 1],$CK26,tblActuals[Team 2],DD$3)</f>
        <v>0</v>
      </c>
      <c r="DE26" s="56">
        <f>SUMIFS(tblActuals[Team 2 Points],tblActuals[Team 2],$CK26,tblActuals[Team 1],DE$3)+SUMIFS(tblActuals[Team 1 Points],tblActuals[Team 1],$CK26,tblActuals[Team 2],DE$3)</f>
        <v>0</v>
      </c>
      <c r="DF26" s="56">
        <f>SUMIFS(tblActuals[Team 2 Points],tblActuals[Team 2],$CK26,tblActuals[Team 1],DF$3)+SUMIFS(tblActuals[Team 1 Points],tblActuals[Team 1],$CK26,tblActuals[Team 2],DF$3)</f>
        <v>0</v>
      </c>
      <c r="DG26" s="56">
        <f>SUMIFS(tblActuals[Team 2 Points],tblActuals[Team 2],$CK26,tblActuals[Team 1],DG$3)+SUMIFS(tblActuals[Team 1 Points],tblActuals[Team 1],$CK26,tblActuals[Team 2],DG$3)</f>
        <v>0</v>
      </c>
      <c r="DH26" s="56">
        <f>SUMIFS(tblActuals[Team 2 Points],tblActuals[Team 2],$CK26,tblActuals[Team 1],DH$3)+SUMIFS(tblActuals[Team 1 Points],tblActuals[Team 1],$CK26,tblActuals[Team 2],DH$3)</f>
        <v>0</v>
      </c>
      <c r="DI26" s="56">
        <f>SUMIFS(tblActuals[Team 2 Points],tblActuals[Team 2],$CK26,tblActuals[Team 1],DI$3)+SUMIFS(tblActuals[Team 1 Points],tblActuals[Team 1],$CK26,tblActuals[Team 2],DI$3)</f>
        <v>0</v>
      </c>
      <c r="DJ26" s="57"/>
      <c r="DK26" s="57"/>
      <c r="DL26" s="57"/>
      <c r="DM26" s="57"/>
      <c r="DN26" s="57"/>
      <c r="DO26" s="57"/>
      <c r="DP26" s="57"/>
      <c r="DQ26" s="57"/>
      <c r="DR26" s="4"/>
      <c r="DS26" s="4" t="s">
        <v>30</v>
      </c>
      <c r="DT26" s="56">
        <f>SUMIFS(tblActuals[Team 2 GD],tblActuals[Team 2],$CK26,tblActuals[Team 1],DT$3)+SUMIFS(tblActuals[Team 1 GD],tblActuals[Team 1],$CK26,tblActuals[Team 2],DT$3)</f>
        <v>0</v>
      </c>
      <c r="DU26" s="56">
        <f>SUMIFS(tblActuals[Team 2 GD],tblActuals[Team 2],$CK26,tblActuals[Team 1],DU$3)+SUMIFS(tblActuals[Team 1 GD],tblActuals[Team 1],$CK26,tblActuals[Team 2],DU$3)</f>
        <v>0</v>
      </c>
      <c r="DV26" s="56">
        <f>SUMIFS(tblActuals[Team 2 GD],tblActuals[Team 2],$CK26,tblActuals[Team 1],DV$3)+SUMIFS(tblActuals[Team 1 GD],tblActuals[Team 1],$CK26,tblActuals[Team 2],DV$3)</f>
        <v>0</v>
      </c>
      <c r="DW26" s="56">
        <f>SUMIFS(tblActuals[Team 2 GD],tblActuals[Team 2],$CK26,tblActuals[Team 1],DW$3)+SUMIFS(tblActuals[Team 1 GD],tblActuals[Team 1],$CK26,tblActuals[Team 2],DW$3)</f>
        <v>0</v>
      </c>
      <c r="DX26" s="56">
        <f>SUMIFS(tblActuals[Team 2 GD],tblActuals[Team 2],$CK26,tblActuals[Team 1],DX$3)+SUMIFS(tblActuals[Team 1 GD],tblActuals[Team 1],$CK26,tblActuals[Team 2],DX$3)</f>
        <v>0</v>
      </c>
      <c r="DY26" s="56">
        <f>SUMIFS(tblActuals[Team 2 GD],tblActuals[Team 2],$CK26,tblActuals[Team 1],DY$3)+SUMIFS(tblActuals[Team 1 GD],tblActuals[Team 1],$CK26,tblActuals[Team 2],DY$3)</f>
        <v>0</v>
      </c>
      <c r="DZ26" s="56">
        <f>SUMIFS(tblActuals[Team 2 GD],tblActuals[Team 2],$CK26,tblActuals[Team 1],DZ$3)+SUMIFS(tblActuals[Team 1 GD],tblActuals[Team 1],$CK26,tblActuals[Team 2],DZ$3)</f>
        <v>0</v>
      </c>
      <c r="EA26" s="56">
        <f>SUMIFS(tblActuals[Team 2 GD],tblActuals[Team 2],$CK26,tblActuals[Team 1],EA$3)+SUMIFS(tblActuals[Team 1 GD],tblActuals[Team 1],$CK26,tblActuals[Team 2],EA$3)</f>
        <v>0</v>
      </c>
      <c r="EB26" s="56">
        <f>SUMIFS(tblActuals[Team 2 GD],tblActuals[Team 2],$CK26,tblActuals[Team 1],EB$3)+SUMIFS(tblActuals[Team 1 GD],tblActuals[Team 1],$CK26,tblActuals[Team 2],EB$3)</f>
        <v>0</v>
      </c>
      <c r="EC26" s="56">
        <f>SUMIFS(tblActuals[Team 2 GD],tblActuals[Team 2],$CK26,tblActuals[Team 1],EC$3)+SUMIFS(tblActuals[Team 1 GD],tblActuals[Team 1],$CK26,tblActuals[Team 2],EC$3)</f>
        <v>0</v>
      </c>
      <c r="ED26" s="56">
        <f>SUMIFS(tblActuals[Team 2 GD],tblActuals[Team 2],$CK26,tblActuals[Team 1],ED$3)+SUMIFS(tblActuals[Team 1 GD],tblActuals[Team 1],$CK26,tblActuals[Team 2],ED$3)</f>
        <v>0</v>
      </c>
      <c r="EE26" s="56">
        <f>SUMIFS(tblActuals[Team 2 GD],tblActuals[Team 2],$CK26,tblActuals[Team 1],EE$3)+SUMIFS(tblActuals[Team 1 GD],tblActuals[Team 1],$CK26,tblActuals[Team 2],EE$3)</f>
        <v>0</v>
      </c>
      <c r="EF26" s="56">
        <f>SUMIFS(tblActuals[Team 2 GD],tblActuals[Team 2],$CK26,tblActuals[Team 1],EF$3)+SUMIFS(tblActuals[Team 1 GD],tblActuals[Team 1],$CK26,tblActuals[Team 2],EF$3)</f>
        <v>0</v>
      </c>
      <c r="EG26" s="56">
        <f>SUMIFS(tblActuals[Team 2 GD],tblActuals[Team 2],$CK26,tblActuals[Team 1],EG$3)+SUMIFS(tblActuals[Team 1 GD],tblActuals[Team 1],$CK26,tblActuals[Team 2],EG$3)</f>
        <v>0</v>
      </c>
      <c r="EH26" s="56">
        <f>SUMIFS(tblActuals[Team 2 GD],tblActuals[Team 2],$CK26,tblActuals[Team 1],EH$3)+SUMIFS(tblActuals[Team 1 GD],tblActuals[Team 1],$CK26,tblActuals[Team 2],EH$3)</f>
        <v>0</v>
      </c>
      <c r="EI26" s="56">
        <f>SUMIFS(tblActuals[Team 2 GD],tblActuals[Team 2],$CK26,tblActuals[Team 1],EI$3)+SUMIFS(tblActuals[Team 1 GD],tblActuals[Team 1],$CK26,tblActuals[Team 2],EI$3)</f>
        <v>0</v>
      </c>
      <c r="EJ26" s="56">
        <f>SUMIFS(tblActuals[Team 2 GD],tblActuals[Team 2],$CK26,tblActuals[Team 1],EJ$3)+SUMIFS(tblActuals[Team 1 GD],tblActuals[Team 1],$CK26,tblActuals[Team 2],EJ$3)</f>
        <v>0</v>
      </c>
      <c r="EK26" s="56">
        <f>SUMIFS(tblActuals[Team 2 GD],tblActuals[Team 2],$CK26,tblActuals[Team 1],EK$3)+SUMIFS(tblActuals[Team 1 GD],tblActuals[Team 1],$CK26,tblActuals[Team 2],EK$3)</f>
        <v>0</v>
      </c>
      <c r="EL26" s="56">
        <f>SUMIFS(tblActuals[Team 2 GD],tblActuals[Team 2],$CK26,tblActuals[Team 1],EL$3)+SUMIFS(tblActuals[Team 1 GD],tblActuals[Team 1],$CK26,tblActuals[Team 2],EL$3)</f>
        <v>0</v>
      </c>
      <c r="EM26" s="56">
        <f>SUMIFS(tblActuals[Team 2 GD],tblActuals[Team 2],$CK26,tblActuals[Team 1],EM$3)+SUMIFS(tblActuals[Team 1 GD],tblActuals[Team 1],$CK26,tblActuals[Team 2],EM$3)</f>
        <v>0</v>
      </c>
      <c r="EN26" s="56">
        <f>SUMIFS(tblActuals[Team 2 GD],tblActuals[Team 2],$CK26,tblActuals[Team 1],EN$3)+SUMIFS(tblActuals[Team 1 GD],tblActuals[Team 1],$CK26,tblActuals[Team 2],EN$3)</f>
        <v>0</v>
      </c>
      <c r="EO26" s="56">
        <f>SUMIFS(tblActuals[Team 2 GD],tblActuals[Team 2],$CK26,tblActuals[Team 1],EO$3)+SUMIFS(tblActuals[Team 1 GD],tblActuals[Team 1],$CK26,tblActuals[Team 2],EO$3)</f>
        <v>0</v>
      </c>
      <c r="EP26" s="56">
        <f>SUMIFS(tblActuals[Team 2 GD],tblActuals[Team 2],$CK26,tblActuals[Team 1],EP$3)+SUMIFS(tblActuals[Team 1 GD],tblActuals[Team 1],$CK26,tblActuals[Team 2],EP$3)</f>
        <v>0</v>
      </c>
      <c r="EQ26" s="56">
        <f>SUMIFS(tblActuals[Team 2 GD],tblActuals[Team 2],$CK26,tblActuals[Team 1],EQ$3)+SUMIFS(tblActuals[Team 1 GD],tblActuals[Team 1],$CK26,tblActuals[Team 2],EQ$3)</f>
        <v>0</v>
      </c>
      <c r="ER26" s="57"/>
      <c r="ES26" s="57"/>
      <c r="ET26" s="57"/>
      <c r="EU26" s="57"/>
      <c r="EV26" s="57"/>
      <c r="EW26" s="57"/>
      <c r="EX26" s="57"/>
      <c r="EY26" s="57"/>
      <c r="EZ26" s="4"/>
      <c r="FA26" s="4" t="s">
        <v>30</v>
      </c>
      <c r="FB26" s="56">
        <f>SUMIFS(tblActuals[Team 2 Goals],tblActuals[Team 2],$CK26,tblActuals[Team 1],FB$3)+SUMIFS(tblActuals[Team 1 Goals],tblActuals[Team 1],$CK26,tblActuals[Team 2],FB$3)</f>
        <v>0</v>
      </c>
      <c r="FC26" s="56">
        <f>SUMIFS(tblActuals[Team 2 Goals],tblActuals[Team 2],$CK26,tblActuals[Team 1],FC$3)+SUMIFS(tblActuals[Team 1 Goals],tblActuals[Team 1],$CK26,tblActuals[Team 2],FC$3)</f>
        <v>0</v>
      </c>
      <c r="FD26" s="56">
        <f>SUMIFS(tblActuals[Team 2 Goals],tblActuals[Team 2],$CK26,tblActuals[Team 1],FD$3)+SUMIFS(tblActuals[Team 1 Goals],tblActuals[Team 1],$CK26,tblActuals[Team 2],FD$3)</f>
        <v>0</v>
      </c>
      <c r="FE26" s="56">
        <f>SUMIFS(tblActuals[Team 2 Goals],tblActuals[Team 2],$CK26,tblActuals[Team 1],FE$3)+SUMIFS(tblActuals[Team 1 Goals],tblActuals[Team 1],$CK26,tblActuals[Team 2],FE$3)</f>
        <v>0</v>
      </c>
      <c r="FF26" s="56">
        <f>SUMIFS(tblActuals[Team 2 Goals],tblActuals[Team 2],$CK26,tblActuals[Team 1],FF$3)+SUMIFS(tblActuals[Team 1 Goals],tblActuals[Team 1],$CK26,tblActuals[Team 2],FF$3)</f>
        <v>0</v>
      </c>
      <c r="FG26" s="56">
        <f>SUMIFS(tblActuals[Team 2 Goals],tblActuals[Team 2],$CK26,tblActuals[Team 1],FG$3)+SUMIFS(tblActuals[Team 1 Goals],tblActuals[Team 1],$CK26,tblActuals[Team 2],FG$3)</f>
        <v>0</v>
      </c>
      <c r="FH26" s="56">
        <f>SUMIFS(tblActuals[Team 2 Goals],tblActuals[Team 2],$CK26,tblActuals[Team 1],FH$3)+SUMIFS(tblActuals[Team 1 Goals],tblActuals[Team 1],$CK26,tblActuals[Team 2],FH$3)</f>
        <v>0</v>
      </c>
      <c r="FI26" s="56">
        <f>SUMIFS(tblActuals[Team 2 Goals],tblActuals[Team 2],$CK26,tblActuals[Team 1],FI$3)+SUMIFS(tblActuals[Team 1 Goals],tblActuals[Team 1],$CK26,tblActuals[Team 2],FI$3)</f>
        <v>0</v>
      </c>
      <c r="FJ26" s="56">
        <f>SUMIFS(tblActuals[Team 2 Goals],tblActuals[Team 2],$CK26,tblActuals[Team 1],FJ$3)+SUMIFS(tblActuals[Team 1 Goals],tblActuals[Team 1],$CK26,tblActuals[Team 2],FJ$3)</f>
        <v>0</v>
      </c>
      <c r="FK26" s="56">
        <f>SUMIFS(tblActuals[Team 2 Goals],tblActuals[Team 2],$CK26,tblActuals[Team 1],FK$3)+SUMIFS(tblActuals[Team 1 Goals],tblActuals[Team 1],$CK26,tblActuals[Team 2],FK$3)</f>
        <v>0</v>
      </c>
      <c r="FL26" s="56">
        <f>SUMIFS(tblActuals[Team 2 Goals],tblActuals[Team 2],$CK26,tblActuals[Team 1],FL$3)+SUMIFS(tblActuals[Team 1 Goals],tblActuals[Team 1],$CK26,tblActuals[Team 2],FL$3)</f>
        <v>0</v>
      </c>
      <c r="FM26" s="56">
        <f>SUMIFS(tblActuals[Team 2 Goals],tblActuals[Team 2],$CK26,tblActuals[Team 1],FM$3)+SUMIFS(tblActuals[Team 1 Goals],tblActuals[Team 1],$CK26,tblActuals[Team 2],FM$3)</f>
        <v>0</v>
      </c>
      <c r="FN26" s="56">
        <f>SUMIFS(tblActuals[Team 2 Goals],tblActuals[Team 2],$CK26,tblActuals[Team 1],FN$3)+SUMIFS(tblActuals[Team 1 Goals],tblActuals[Team 1],$CK26,tblActuals[Team 2],FN$3)</f>
        <v>0</v>
      </c>
      <c r="FO26" s="56">
        <f>SUMIFS(tblActuals[Team 2 Goals],tblActuals[Team 2],$CK26,tblActuals[Team 1],FO$3)+SUMIFS(tblActuals[Team 1 Goals],tblActuals[Team 1],$CK26,tblActuals[Team 2],FO$3)</f>
        <v>0</v>
      </c>
      <c r="FP26" s="56">
        <f>SUMIFS(tblActuals[Team 2 Goals],tblActuals[Team 2],$CK26,tblActuals[Team 1],FP$3)+SUMIFS(tblActuals[Team 1 Goals],tblActuals[Team 1],$CK26,tblActuals[Team 2],FP$3)</f>
        <v>0</v>
      </c>
      <c r="FQ26" s="56">
        <f>SUMIFS(tblActuals[Team 2 Goals],tblActuals[Team 2],$CK26,tblActuals[Team 1],FQ$3)+SUMIFS(tblActuals[Team 1 Goals],tblActuals[Team 1],$CK26,tblActuals[Team 2],FQ$3)</f>
        <v>0</v>
      </c>
      <c r="FR26" s="56">
        <f>SUMIFS(tblActuals[Team 2 Goals],tblActuals[Team 2],$CK26,tblActuals[Team 1],FR$3)+SUMIFS(tblActuals[Team 1 Goals],tblActuals[Team 1],$CK26,tblActuals[Team 2],FR$3)</f>
        <v>0</v>
      </c>
      <c r="FS26" s="56">
        <f>SUMIFS(tblActuals[Team 2 Goals],tblActuals[Team 2],$CK26,tblActuals[Team 1],FS$3)+SUMIFS(tblActuals[Team 1 Goals],tblActuals[Team 1],$CK26,tblActuals[Team 2],FS$3)</f>
        <v>0</v>
      </c>
      <c r="FT26" s="56">
        <f>SUMIFS(tblActuals[Team 2 Goals],tblActuals[Team 2],$CK26,tblActuals[Team 1],FT$3)+SUMIFS(tblActuals[Team 1 Goals],tblActuals[Team 1],$CK26,tblActuals[Team 2],FT$3)</f>
        <v>0</v>
      </c>
      <c r="FU26" s="56">
        <f>SUMIFS(tblActuals[Team 2 Goals],tblActuals[Team 2],$CK26,tblActuals[Team 1],FU$3)+SUMIFS(tblActuals[Team 1 Goals],tblActuals[Team 1],$CK26,tblActuals[Team 2],FU$3)</f>
        <v>0</v>
      </c>
      <c r="FV26" s="56">
        <f>SUMIFS(tblActuals[Team 2 Goals],tblActuals[Team 2],$CK26,tblActuals[Team 1],FV$3)+SUMIFS(tblActuals[Team 1 Goals],tblActuals[Team 1],$CK26,tblActuals[Team 2],FV$3)</f>
        <v>0</v>
      </c>
      <c r="FW26" s="56">
        <f>SUMIFS(tblActuals[Team 2 Goals],tblActuals[Team 2],$CK26,tblActuals[Team 1],FW$3)+SUMIFS(tblActuals[Team 1 Goals],tblActuals[Team 1],$CK26,tblActuals[Team 2],FW$3)</f>
        <v>0</v>
      </c>
      <c r="FX26" s="56">
        <f>SUMIFS(tblActuals[Team 2 Goals],tblActuals[Team 2],$CK26,tblActuals[Team 1],FX$3)+SUMIFS(tblActuals[Team 1 Goals],tblActuals[Team 1],$CK26,tblActuals[Team 2],FX$3)</f>
        <v>0</v>
      </c>
      <c r="FY26" s="56">
        <f>SUMIFS(tblActuals[Team 2 Goals],tblActuals[Team 2],$CK26,tblActuals[Team 1],FY$3)+SUMIFS(tblActuals[Team 1 Goals],tblActuals[Team 1],$CK26,tblActuals[Team 2],FY$3)</f>
        <v>0</v>
      </c>
      <c r="FZ26" s="57"/>
      <c r="GA26" s="57"/>
      <c r="GB26" s="37"/>
      <c r="GC26" s="37"/>
      <c r="GD26" s="37"/>
      <c r="GE26" s="37"/>
      <c r="GF26" s="37"/>
      <c r="GG26" s="37"/>
      <c r="GH26" s="75"/>
      <c r="GI26" s="148"/>
      <c r="GJ26" s="148"/>
      <c r="GK26" s="75"/>
      <c r="GL26" s="75"/>
      <c r="GM26" s="75"/>
      <c r="GN26" s="75"/>
      <c r="GO26" s="75"/>
      <c r="GP26" s="75"/>
    </row>
    <row r="27" spans="1:211" s="11" customFormat="1" ht="30" customHeight="1" thickBot="1" x14ac:dyDescent="0.3">
      <c r="A27" s="20"/>
      <c r="B27" s="122">
        <v>24</v>
      </c>
      <c r="C27" s="122" t="s">
        <v>45</v>
      </c>
      <c r="D27" s="123">
        <v>45465</v>
      </c>
      <c r="E27" s="122" t="s">
        <v>84</v>
      </c>
      <c r="F27" s="124">
        <v>0.625</v>
      </c>
      <c r="G27" s="125">
        <f t="shared" si="8"/>
        <v>45465.375</v>
      </c>
      <c r="H27" s="122" t="s">
        <v>112</v>
      </c>
      <c r="I27" s="126"/>
      <c r="J27" s="118"/>
      <c r="K27" s="118"/>
      <c r="L27" s="119" t="str">
        <f>IF(tblActuals[[#This Row],[SCORE]]="","",IF(Q27=R27,"Draw",IF(Q27&gt;R27,M27,N27)))</f>
        <v/>
      </c>
      <c r="M27" s="120" t="str">
        <f>IF(tblActuals[[#This Row],[TEAMS]]="","",LEFT(H27,FIND(" -",H27,1)-1))</f>
        <v>Georgia</v>
      </c>
      <c r="N27" s="120" t="str">
        <f>IF(tblActuals[[#This Row],[TEAMS]]="","",MID(H27,FIND("-",H27,1)+2,LEN(H27)-FIND("-",H27,1)+2))</f>
        <v>Czechia</v>
      </c>
      <c r="O27" s="120" t="str">
        <f>IF(tblActuals[[#This Row],[Team 1 Goals]]&gt;tblActuals[[#This Row],[Team 2 Goals]],tblActuals[[#This Row],[Team 1]],IF(tblActuals[[#This Row],[Team 2 Goals]]&gt;tblActuals[[#This Row],[Team 1 Goals]],tblActuals[[#This Row],[Team 2]],""))</f>
        <v/>
      </c>
      <c r="P27" s="120" t="str">
        <f>IF(tblActuals[[#This Row],[Winner]]=tblActuals[[#This Row],[Team 1]],tblActuals[[#This Row],[Team 2]],IF(tblActuals[[#This Row],[Winner]]=tblActuals[[#This Row],[Team 2]],tblActuals[[#This Row],[Team 1]],""))</f>
        <v/>
      </c>
      <c r="Q27" s="120" t="str">
        <f>IF(tblActuals[[#This Row],[SCORE]]="","",LEFT(I27,FIND(":",I27,1)-1)*1)</f>
        <v/>
      </c>
      <c r="R27" s="120" t="str">
        <f>IF(tblActuals[[#This Row],[SCORE]]="","",MID(I27,FIND(":",I27,1)+1,LEN(I27)-FIND(":",I27,1)+1)*1)</f>
        <v/>
      </c>
      <c r="S27" s="120" t="str">
        <f>IF(OR(tblActuals[[#This Row],[Team 1 Goals]]="",tblActuals[[#This Row],[Team 2 Goals]]=""),"",tblActuals[[#This Row],[Team 1 Goals]]-tblActuals[[#This Row],[Team 2 Goals]])</f>
        <v/>
      </c>
      <c r="T27" s="120" t="str">
        <f>IF(OR(tblActuals[[#This Row],[Team 1 Goals]]="",tblActuals[[#This Row],[Team 2 Goals]]=""),"",tblActuals[[#This Row],[Team 2 Goals]]-tblActuals[[#This Row],[Team 1 Goals]])</f>
        <v/>
      </c>
      <c r="U27" s="120" t="str">
        <f>IF(tblActuals[[#This Row],[SCORE]]="","",IF(tblActuals[[#This Row],[WINNER / RESULT]]="Draw",1,IF(tblActuals[[#This Row],[WINNER / RESULT]]=tblActuals[[#This Row],[Team 1]],3,0)))</f>
        <v/>
      </c>
      <c r="V27" s="120" t="str">
        <f>IF(tblActuals[[#This Row],[SCORE]]="","",IF(tblActuals[[#This Row],[WINNER / RESULT]]="Draw",1,IF(tblActuals[[#This Row],[WINNER / RESULT]]=tblActuals[[#This Row],[Team 2]],3,0)))</f>
        <v/>
      </c>
      <c r="W27" s="121"/>
      <c r="X27" s="121"/>
      <c r="Y27" s="121"/>
      <c r="Z27" s="121"/>
      <c r="AA27" s="120" t="e">
        <f>tblActuals[[#This Row],[Team 1 Goals]]+tblActuals[[#This Row],[Team 1 ET Goals]]&amp;":"&amp;tblActuals[[#This Row],[Team 2 Goals]]+tblActuals[[#This Row],[Team 2 ET Goals]]</f>
        <v>#VALUE!</v>
      </c>
      <c r="AB27" s="120" t="e">
        <f>+tblActuals[[#This Row],[Team 1 Goals]]+tblActuals[[#This Row],[Team 2 Goals]]</f>
        <v>#VALUE!</v>
      </c>
      <c r="AC27" s="165">
        <f t="shared" si="0"/>
        <v>45465</v>
      </c>
      <c r="AD27" s="166">
        <f t="shared" si="9"/>
        <v>24.7</v>
      </c>
      <c r="AJ27" s="77" t="s">
        <v>7</v>
      </c>
      <c r="AK27" s="145">
        <v>4</v>
      </c>
      <c r="AL27" s="146" t="str">
        <f ca="1">IFERROR(INDEX(AT:AT,MATCH("4"&amp;AJ27,BD:BD,0),1),"")</f>
        <v>Poland</v>
      </c>
      <c r="AM27" s="146" t="str">
        <f ca="1">IF(AL27="","",VLOOKUP(AL27,AT:AY,2,FALSE)&amp;"-"&amp;VLOOKUP(AL27,AT:AY,3,FALSE)&amp;"-"&amp;VLOOKUP(AL27,AT:AY,4,FALSE))</f>
        <v>0-0-0</v>
      </c>
      <c r="AN27" s="146">
        <f ca="1">IF(AL27="","",VLOOKUP(AL27,AT:BA,8,FALSE))</f>
        <v>0</v>
      </c>
      <c r="AO27" s="147">
        <f ca="1">IF(AL27="","",VLOOKUP(AL27,AT:BD,5,FALSE))</f>
        <v>0</v>
      </c>
      <c r="AP27" s="75"/>
      <c r="AQ27" s="4"/>
      <c r="AR27" s="4"/>
      <c r="AS27" s="4" t="s">
        <v>12</v>
      </c>
      <c r="AT27" s="4" t="s">
        <v>132</v>
      </c>
      <c r="AU27" s="4">
        <f>COUNTIF(tblActuals[Winner],AT27)</f>
        <v>0</v>
      </c>
      <c r="AV27" s="4">
        <f>COUNTIFS(tblActuals[Team 2],AT27,tblActuals[WINNER / RESULT],"Draw")+COUNTIFS(tblActuals[Team 1],AT27,tblActuals[WINNER / RESULT],"Draw")</f>
        <v>0</v>
      </c>
      <c r="AW27" s="4">
        <f>COUNTIF(tblActuals[Loser],AT27)</f>
        <v>0</v>
      </c>
      <c r="AX27" s="4">
        <f>AV27+(3*AU27)</f>
        <v>0</v>
      </c>
      <c r="AY27" s="4">
        <f>SUMIFS(tblActuals[Team 1 Goals],tblActuals[Team 1],AT27)+SUMIFS(tblActuals[Team 2 Goals],tblActuals[Team 2],AT27)</f>
        <v>0</v>
      </c>
      <c r="AZ27" s="4">
        <f>SUMIFS(tblActuals[Team 2 Goals],tblActuals[Team 1],AT27)+SUMIFS(tblActuals[Team 1 Goals],tblActuals[Team 2],AT27)</f>
        <v>0</v>
      </c>
      <c r="BA27" s="4">
        <f>AY27-AZ27</f>
        <v>0</v>
      </c>
      <c r="BB27" s="4">
        <f ca="1">RANK(BO27,$BO$24:$BO$27,1)</f>
        <v>4</v>
      </c>
      <c r="BC27" s="4" t="str">
        <f t="shared" si="1"/>
        <v/>
      </c>
      <c r="BD27" s="4" t="str">
        <f ca="1">IF(BC27="",BB27&amp;AS27,BC27&amp;AS27)</f>
        <v>4E</v>
      </c>
      <c r="BE27" s="4">
        <f>RANK(AX27,$AX$24:$AX$27,0)</f>
        <v>1</v>
      </c>
      <c r="BF27" s="4" cm="1">
        <f t="array" aca="1" ref="BF27" ca="1">SUMPRODUCT((OFFSET($CL$3:$DQ$3,MATCH($AT27,$CK$4:$CK$35,0),0))*((IF($BE25=$BE27,$CL$3:$DQ$3=$AT25,0))+(IF($BE24=$BE27,$CL$3:$DQ$3=$AT24,0))+(IF($BE26=$BE27,$CL$3:$DQ$3=$AT26,0))))</f>
        <v>0</v>
      </c>
      <c r="BG27" s="4" cm="1">
        <f t="array" aca="1" ref="BG27" ca="1">SUMPRODUCT((OFFSET($DT$3:$EY$3,MATCH($AT27,$DS$4:$DS$35,0),0))*((IF($BE25=$BE27,$DT$3:$EY$3=$AT25,0))+(IF($BE24=$BE27,$DT$3:$EY$3=$AT24,0))+(IF($BE26=$BE27,$DT$3:$EY$3=$AT26,0))))</f>
        <v>0</v>
      </c>
      <c r="BH27" s="4" cm="1">
        <f t="array" aca="1" ref="BH27" ca="1">SUMPRODUCT((OFFSET($FB$3:$GG$3,MATCH($AT27,$FA$4:$FA$35,0),0))*((IF($BE25=$BE27,$FB$3:$GG$3=$AT25,0))+(IF($BE24=$BE27,$FB$3:$GG$3=$AT24,0))+(IF($BE26=$BE27,$FB$3:$GG$3=$AT26,0))))</f>
        <v>0</v>
      </c>
      <c r="BI27" s="4" cm="1">
        <f t="array" aca="1" ref="BI27" ca="1">SUMPRODUCT((OFFSET($CL$3:$DQ$3,MATCH($AT27,$CK$4:$CK$35,0),0))*((IF($BE25&lt;&gt;$BE27,$CL$3:$DQ$3=$AT25,0))+(IF($BE24&lt;&gt;$BE27,$CL$3:$DQ$3=$AT24,0))+(IF($BE26&lt;&gt;$BE27,$CL$3:$DQ$3=$AT26,0))))</f>
        <v>0</v>
      </c>
      <c r="BJ27" s="4" cm="1">
        <f t="array" aca="1" ref="BJ27" ca="1">SUMPRODUCT((OFFSET($DT$3:$EY$3,MATCH($AT27,$DS$4:$DS$35,0),0))*((IF($BE25&lt;&gt;$BE27,$DT$3:$EY$3=$AT25,0))+(IF($BE24&lt;&gt;$BE27,$DT$3:$EY$3=$AT24,0))+(IF($BE26&lt;&gt;$BE27,$DT$3:$EY$3=$AT26,0))))</f>
        <v>0</v>
      </c>
      <c r="BK27" s="4" cm="1">
        <f t="array" aca="1" ref="BK27" ca="1">SUMPRODUCT((OFFSET($FB$3:$GG$3,MATCH($AT27,$FA$4:$FA$35,0),0))*((IF($BE25&lt;&gt;$BE27,$FB$3:$GG$3=$AT25,0))+(IF($BE24&lt;&gt;$BE27,$FB$3:$GG$3=$AT24,0))+(IF($BE26&lt;&gt;$BE27,$FB$3:$GG$3=$AT26,0))))</f>
        <v>0</v>
      </c>
      <c r="BL27" s="4">
        <f t="shared" si="10"/>
        <v>0</v>
      </c>
      <c r="BM27" s="4">
        <f t="shared" si="11"/>
        <v>0</v>
      </c>
      <c r="BN27" s="4">
        <f ca="1">(BF27/10)+(BG27/100)+(BH27/1000)+(BJ27/10000)+(BK27/100000)+(BL27/1000000)+(BM27/10000000)+(ROW(BI24)/100000000)</f>
        <v>2.3999999999999998E-7</v>
      </c>
      <c r="BO27" s="4">
        <f ca="1">+BE27-BN27</f>
        <v>0.99999976000000002</v>
      </c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K27" s="4" t="s">
        <v>135</v>
      </c>
      <c r="CL27" s="56">
        <f>SUMIFS(tblActuals[Team 2 Points],tblActuals[Team 2],$CK27,tblActuals[Team 1],CL$3)+SUMIFS(tblActuals[Team 1 Points],tblActuals[Team 1],$CK27,tblActuals[Team 2],CL$3)</f>
        <v>0</v>
      </c>
      <c r="CM27" s="56">
        <f>SUMIFS(tblActuals[Team 2 Points],tblActuals[Team 2],$CK27,tblActuals[Team 1],CM$3)+SUMIFS(tblActuals[Team 1 Points],tblActuals[Team 1],$CK27,tblActuals[Team 2],CM$3)</f>
        <v>0</v>
      </c>
      <c r="CN27" s="56">
        <f>SUMIFS(tblActuals[Team 2 Points],tblActuals[Team 2],$CK27,tblActuals[Team 1],CN$3)+SUMIFS(tblActuals[Team 1 Points],tblActuals[Team 1],$CK27,tblActuals[Team 2],CN$3)</f>
        <v>0</v>
      </c>
      <c r="CO27" s="56">
        <f>SUMIFS(tblActuals[Team 2 Points],tblActuals[Team 2],$CK27,tblActuals[Team 1],CO$3)+SUMIFS(tblActuals[Team 1 Points],tblActuals[Team 1],$CK27,tblActuals[Team 2],CO$3)</f>
        <v>0</v>
      </c>
      <c r="CP27" s="56">
        <f>SUMIFS(tblActuals[Team 2 Points],tblActuals[Team 2],$CK27,tblActuals[Team 1],CP$3)+SUMIFS(tblActuals[Team 1 Points],tblActuals[Team 1],$CK27,tblActuals[Team 2],CP$3)</f>
        <v>0</v>
      </c>
      <c r="CQ27" s="56">
        <f>SUMIFS(tblActuals[Team 2 Points],tblActuals[Team 2],$CK27,tblActuals[Team 1],CQ$3)+SUMIFS(tblActuals[Team 1 Points],tblActuals[Team 1],$CK27,tblActuals[Team 2],CQ$3)</f>
        <v>0</v>
      </c>
      <c r="CR27" s="56">
        <f>SUMIFS(tblActuals[Team 2 Points],tblActuals[Team 2],$CK27,tblActuals[Team 1],CR$3)+SUMIFS(tblActuals[Team 1 Points],tblActuals[Team 1],$CK27,tblActuals[Team 2],CR$3)</f>
        <v>0</v>
      </c>
      <c r="CS27" s="56">
        <f>SUMIFS(tblActuals[Team 2 Points],tblActuals[Team 2],$CK27,tblActuals[Team 1],CS$3)+SUMIFS(tblActuals[Team 1 Points],tblActuals[Team 1],$CK27,tblActuals[Team 2],CS$3)</f>
        <v>0</v>
      </c>
      <c r="CT27" s="56">
        <f>SUMIFS(tblActuals[Team 2 Points],tblActuals[Team 2],$CK27,tblActuals[Team 1],CT$3)+SUMIFS(tblActuals[Team 1 Points],tblActuals[Team 1],$CK27,tblActuals[Team 2],CT$3)</f>
        <v>0</v>
      </c>
      <c r="CU27" s="56">
        <f>SUMIFS(tblActuals[Team 2 Points],tblActuals[Team 2],$CK27,tblActuals[Team 1],CU$3)+SUMIFS(tblActuals[Team 1 Points],tblActuals[Team 1],$CK27,tblActuals[Team 2],CU$3)</f>
        <v>0</v>
      </c>
      <c r="CV27" s="56">
        <f>SUMIFS(tblActuals[Team 2 Points],tblActuals[Team 2],$CK27,tblActuals[Team 1],CV$3)+SUMIFS(tblActuals[Team 1 Points],tblActuals[Team 1],$CK27,tblActuals[Team 2],CV$3)</f>
        <v>0</v>
      </c>
      <c r="CW27" s="56">
        <f>SUMIFS(tblActuals[Team 2 Points],tblActuals[Team 2],$CK27,tblActuals[Team 1],CW$3)+SUMIFS(tblActuals[Team 1 Points],tblActuals[Team 1],$CK27,tblActuals[Team 2],CW$3)</f>
        <v>0</v>
      </c>
      <c r="CX27" s="56">
        <f>SUMIFS(tblActuals[Team 2 Points],tblActuals[Team 2],$CK27,tblActuals[Team 1],CX$3)+SUMIFS(tblActuals[Team 1 Points],tblActuals[Team 1],$CK27,tblActuals[Team 2],CX$3)</f>
        <v>0</v>
      </c>
      <c r="CY27" s="56">
        <f>SUMIFS(tblActuals[Team 2 Points],tblActuals[Team 2],$CK27,tblActuals[Team 1],CY$3)+SUMIFS(tblActuals[Team 1 Points],tblActuals[Team 1],$CK27,tblActuals[Team 2],CY$3)</f>
        <v>0</v>
      </c>
      <c r="CZ27" s="56">
        <f>SUMIFS(tblActuals[Team 2 Points],tblActuals[Team 2],$CK27,tblActuals[Team 1],CZ$3)+SUMIFS(tblActuals[Team 1 Points],tblActuals[Team 1],$CK27,tblActuals[Team 2],CZ$3)</f>
        <v>0</v>
      </c>
      <c r="DA27" s="56">
        <f>SUMIFS(tblActuals[Team 2 Points],tblActuals[Team 2],$CK27,tblActuals[Team 1],DA$3)+SUMIFS(tblActuals[Team 1 Points],tblActuals[Team 1],$CK27,tblActuals[Team 2],DA$3)</f>
        <v>0</v>
      </c>
      <c r="DB27" s="56">
        <f>SUMIFS(tblActuals[Team 2 Points],tblActuals[Team 2],$CK27,tblActuals[Team 1],DB$3)+SUMIFS(tblActuals[Team 1 Points],tblActuals[Team 1],$CK27,tblActuals[Team 2],DB$3)</f>
        <v>0</v>
      </c>
      <c r="DC27" s="56">
        <f>SUMIFS(tblActuals[Team 2 Points],tblActuals[Team 2],$CK27,tblActuals[Team 1],DC$3)+SUMIFS(tblActuals[Team 1 Points],tblActuals[Team 1],$CK27,tblActuals[Team 2],DC$3)</f>
        <v>0</v>
      </c>
      <c r="DD27" s="56">
        <f>SUMIFS(tblActuals[Team 2 Points],tblActuals[Team 2],$CK27,tblActuals[Team 1],DD$3)+SUMIFS(tblActuals[Team 1 Points],tblActuals[Team 1],$CK27,tblActuals[Team 2],DD$3)</f>
        <v>0</v>
      </c>
      <c r="DE27" s="56">
        <f>SUMIFS(tblActuals[Team 2 Points],tblActuals[Team 2],$CK27,tblActuals[Team 1],DE$3)+SUMIFS(tblActuals[Team 1 Points],tblActuals[Team 1],$CK27,tblActuals[Team 2],DE$3)</f>
        <v>0</v>
      </c>
      <c r="DF27" s="56">
        <f>SUMIFS(tblActuals[Team 2 Points],tblActuals[Team 2],$CK27,tblActuals[Team 1],DF$3)+SUMIFS(tblActuals[Team 1 Points],tblActuals[Team 1],$CK27,tblActuals[Team 2],DF$3)</f>
        <v>0</v>
      </c>
      <c r="DG27" s="56">
        <f>SUMIFS(tblActuals[Team 2 Points],tblActuals[Team 2],$CK27,tblActuals[Team 1],DG$3)+SUMIFS(tblActuals[Team 1 Points],tblActuals[Team 1],$CK27,tblActuals[Team 2],DG$3)</f>
        <v>0</v>
      </c>
      <c r="DH27" s="56">
        <f>SUMIFS(tblActuals[Team 2 Points],tblActuals[Team 2],$CK27,tblActuals[Team 1],DH$3)+SUMIFS(tblActuals[Team 1 Points],tblActuals[Team 1],$CK27,tblActuals[Team 2],DH$3)</f>
        <v>0</v>
      </c>
      <c r="DI27" s="56">
        <f>SUMIFS(tblActuals[Team 2 Points],tblActuals[Team 2],$CK27,tblActuals[Team 1],DI$3)+SUMIFS(tblActuals[Team 1 Points],tblActuals[Team 1],$CK27,tblActuals[Team 2],DI$3)</f>
        <v>0</v>
      </c>
      <c r="DJ27" s="57"/>
      <c r="DK27" s="57"/>
      <c r="DL27" s="57"/>
      <c r="DM27" s="57"/>
      <c r="DN27" s="57"/>
      <c r="DO27" s="57"/>
      <c r="DP27" s="57"/>
      <c r="DQ27" s="57"/>
      <c r="DR27" s="4"/>
      <c r="DS27" s="4" t="s">
        <v>135</v>
      </c>
      <c r="DT27" s="56">
        <f>SUMIFS(tblActuals[Team 2 GD],tblActuals[Team 2],$CK27,tblActuals[Team 1],DT$3)+SUMIFS(tblActuals[Team 1 GD],tblActuals[Team 1],$CK27,tblActuals[Team 2],DT$3)</f>
        <v>0</v>
      </c>
      <c r="DU27" s="56">
        <f>SUMIFS(tblActuals[Team 2 GD],tblActuals[Team 2],$CK27,tblActuals[Team 1],DU$3)+SUMIFS(tblActuals[Team 1 GD],tblActuals[Team 1],$CK27,tblActuals[Team 2],DU$3)</f>
        <v>0</v>
      </c>
      <c r="DV27" s="56">
        <f>SUMIFS(tblActuals[Team 2 GD],tblActuals[Team 2],$CK27,tblActuals[Team 1],DV$3)+SUMIFS(tblActuals[Team 1 GD],tblActuals[Team 1],$CK27,tblActuals[Team 2],DV$3)</f>
        <v>0</v>
      </c>
      <c r="DW27" s="56">
        <f>SUMIFS(tblActuals[Team 2 GD],tblActuals[Team 2],$CK27,tblActuals[Team 1],DW$3)+SUMIFS(tblActuals[Team 1 GD],tblActuals[Team 1],$CK27,tblActuals[Team 2],DW$3)</f>
        <v>0</v>
      </c>
      <c r="DX27" s="56">
        <f>SUMIFS(tblActuals[Team 2 GD],tblActuals[Team 2],$CK27,tblActuals[Team 1],DX$3)+SUMIFS(tblActuals[Team 1 GD],tblActuals[Team 1],$CK27,tblActuals[Team 2],DX$3)</f>
        <v>0</v>
      </c>
      <c r="DY27" s="56">
        <f>SUMIFS(tblActuals[Team 2 GD],tblActuals[Team 2],$CK27,tblActuals[Team 1],DY$3)+SUMIFS(tblActuals[Team 1 GD],tblActuals[Team 1],$CK27,tblActuals[Team 2],DY$3)</f>
        <v>0</v>
      </c>
      <c r="DZ27" s="56">
        <f>SUMIFS(tblActuals[Team 2 GD],tblActuals[Team 2],$CK27,tblActuals[Team 1],DZ$3)+SUMIFS(tblActuals[Team 1 GD],tblActuals[Team 1],$CK27,tblActuals[Team 2],DZ$3)</f>
        <v>0</v>
      </c>
      <c r="EA27" s="56">
        <f>SUMIFS(tblActuals[Team 2 GD],tblActuals[Team 2],$CK27,tblActuals[Team 1],EA$3)+SUMIFS(tblActuals[Team 1 GD],tblActuals[Team 1],$CK27,tblActuals[Team 2],EA$3)</f>
        <v>0</v>
      </c>
      <c r="EB27" s="56">
        <f>SUMIFS(tblActuals[Team 2 GD],tblActuals[Team 2],$CK27,tblActuals[Team 1],EB$3)+SUMIFS(tblActuals[Team 1 GD],tblActuals[Team 1],$CK27,tblActuals[Team 2],EB$3)</f>
        <v>0</v>
      </c>
      <c r="EC27" s="56">
        <f>SUMIFS(tblActuals[Team 2 GD],tblActuals[Team 2],$CK27,tblActuals[Team 1],EC$3)+SUMIFS(tblActuals[Team 1 GD],tblActuals[Team 1],$CK27,tblActuals[Team 2],EC$3)</f>
        <v>0</v>
      </c>
      <c r="ED27" s="56">
        <f>SUMIFS(tblActuals[Team 2 GD],tblActuals[Team 2],$CK27,tblActuals[Team 1],ED$3)+SUMIFS(tblActuals[Team 1 GD],tblActuals[Team 1],$CK27,tblActuals[Team 2],ED$3)</f>
        <v>0</v>
      </c>
      <c r="EE27" s="56">
        <f>SUMIFS(tblActuals[Team 2 GD],tblActuals[Team 2],$CK27,tblActuals[Team 1],EE$3)+SUMIFS(tblActuals[Team 1 GD],tblActuals[Team 1],$CK27,tblActuals[Team 2],EE$3)</f>
        <v>0</v>
      </c>
      <c r="EF27" s="56">
        <f>SUMIFS(tblActuals[Team 2 GD],tblActuals[Team 2],$CK27,tblActuals[Team 1],EF$3)+SUMIFS(tblActuals[Team 1 GD],tblActuals[Team 1],$CK27,tblActuals[Team 2],EF$3)</f>
        <v>0</v>
      </c>
      <c r="EG27" s="56">
        <f>SUMIFS(tblActuals[Team 2 GD],tblActuals[Team 2],$CK27,tblActuals[Team 1],EG$3)+SUMIFS(tblActuals[Team 1 GD],tblActuals[Team 1],$CK27,tblActuals[Team 2],EG$3)</f>
        <v>0</v>
      </c>
      <c r="EH27" s="56">
        <f>SUMIFS(tblActuals[Team 2 GD],tblActuals[Team 2],$CK27,tblActuals[Team 1],EH$3)+SUMIFS(tblActuals[Team 1 GD],tblActuals[Team 1],$CK27,tblActuals[Team 2],EH$3)</f>
        <v>0</v>
      </c>
      <c r="EI27" s="56">
        <f>SUMIFS(tblActuals[Team 2 GD],tblActuals[Team 2],$CK27,tblActuals[Team 1],EI$3)+SUMIFS(tblActuals[Team 1 GD],tblActuals[Team 1],$CK27,tblActuals[Team 2],EI$3)</f>
        <v>0</v>
      </c>
      <c r="EJ27" s="56">
        <f>SUMIFS(tblActuals[Team 2 GD],tblActuals[Team 2],$CK27,tblActuals[Team 1],EJ$3)+SUMIFS(tblActuals[Team 1 GD],tblActuals[Team 1],$CK27,tblActuals[Team 2],EJ$3)</f>
        <v>0</v>
      </c>
      <c r="EK27" s="56">
        <f>SUMIFS(tblActuals[Team 2 GD],tblActuals[Team 2],$CK27,tblActuals[Team 1],EK$3)+SUMIFS(tblActuals[Team 1 GD],tblActuals[Team 1],$CK27,tblActuals[Team 2],EK$3)</f>
        <v>0</v>
      </c>
      <c r="EL27" s="56">
        <f>SUMIFS(tblActuals[Team 2 GD],tblActuals[Team 2],$CK27,tblActuals[Team 1],EL$3)+SUMIFS(tblActuals[Team 1 GD],tblActuals[Team 1],$CK27,tblActuals[Team 2],EL$3)</f>
        <v>0</v>
      </c>
      <c r="EM27" s="56">
        <f>SUMIFS(tblActuals[Team 2 GD],tblActuals[Team 2],$CK27,tblActuals[Team 1],EM$3)+SUMIFS(tblActuals[Team 1 GD],tblActuals[Team 1],$CK27,tblActuals[Team 2],EM$3)</f>
        <v>0</v>
      </c>
      <c r="EN27" s="56">
        <f>SUMIFS(tblActuals[Team 2 GD],tblActuals[Team 2],$CK27,tblActuals[Team 1],EN$3)+SUMIFS(tblActuals[Team 1 GD],tblActuals[Team 1],$CK27,tblActuals[Team 2],EN$3)</f>
        <v>0</v>
      </c>
      <c r="EO27" s="56">
        <f>SUMIFS(tblActuals[Team 2 GD],tblActuals[Team 2],$CK27,tblActuals[Team 1],EO$3)+SUMIFS(tblActuals[Team 1 GD],tblActuals[Team 1],$CK27,tblActuals[Team 2],EO$3)</f>
        <v>0</v>
      </c>
      <c r="EP27" s="56">
        <f>SUMIFS(tblActuals[Team 2 GD],tblActuals[Team 2],$CK27,tblActuals[Team 1],EP$3)+SUMIFS(tblActuals[Team 1 GD],tblActuals[Team 1],$CK27,tblActuals[Team 2],EP$3)</f>
        <v>0</v>
      </c>
      <c r="EQ27" s="56">
        <f>SUMIFS(tblActuals[Team 2 GD],tblActuals[Team 2],$CK27,tblActuals[Team 1],EQ$3)+SUMIFS(tblActuals[Team 1 GD],tblActuals[Team 1],$CK27,tblActuals[Team 2],EQ$3)</f>
        <v>0</v>
      </c>
      <c r="ER27" s="57"/>
      <c r="ES27" s="57"/>
      <c r="ET27" s="57"/>
      <c r="EU27" s="57"/>
      <c r="EV27" s="57"/>
      <c r="EW27" s="57"/>
      <c r="EX27" s="57"/>
      <c r="EY27" s="57"/>
      <c r="EZ27" s="4"/>
      <c r="FA27" s="4" t="s">
        <v>135</v>
      </c>
      <c r="FB27" s="56">
        <f>SUMIFS(tblActuals[Team 2 Goals],tblActuals[Team 2],$CK27,tblActuals[Team 1],FB$3)+SUMIFS(tblActuals[Team 1 Goals],tblActuals[Team 1],$CK27,tblActuals[Team 2],FB$3)</f>
        <v>0</v>
      </c>
      <c r="FC27" s="56">
        <f>SUMIFS(tblActuals[Team 2 Goals],tblActuals[Team 2],$CK27,tblActuals[Team 1],FC$3)+SUMIFS(tblActuals[Team 1 Goals],tblActuals[Team 1],$CK27,tblActuals[Team 2],FC$3)</f>
        <v>0</v>
      </c>
      <c r="FD27" s="56">
        <f>SUMIFS(tblActuals[Team 2 Goals],tblActuals[Team 2],$CK27,tblActuals[Team 1],FD$3)+SUMIFS(tblActuals[Team 1 Goals],tblActuals[Team 1],$CK27,tblActuals[Team 2],FD$3)</f>
        <v>0</v>
      </c>
      <c r="FE27" s="56">
        <f>SUMIFS(tblActuals[Team 2 Goals],tblActuals[Team 2],$CK27,tblActuals[Team 1],FE$3)+SUMIFS(tblActuals[Team 1 Goals],tblActuals[Team 1],$CK27,tblActuals[Team 2],FE$3)</f>
        <v>0</v>
      </c>
      <c r="FF27" s="56">
        <f>SUMIFS(tblActuals[Team 2 Goals],tblActuals[Team 2],$CK27,tblActuals[Team 1],FF$3)+SUMIFS(tblActuals[Team 1 Goals],tblActuals[Team 1],$CK27,tblActuals[Team 2],FF$3)</f>
        <v>0</v>
      </c>
      <c r="FG27" s="56">
        <f>SUMIFS(tblActuals[Team 2 Goals],tblActuals[Team 2],$CK27,tblActuals[Team 1],FG$3)+SUMIFS(tblActuals[Team 1 Goals],tblActuals[Team 1],$CK27,tblActuals[Team 2],FG$3)</f>
        <v>0</v>
      </c>
      <c r="FH27" s="56">
        <f>SUMIFS(tblActuals[Team 2 Goals],tblActuals[Team 2],$CK27,tblActuals[Team 1],FH$3)+SUMIFS(tblActuals[Team 1 Goals],tblActuals[Team 1],$CK27,tblActuals[Team 2],FH$3)</f>
        <v>0</v>
      </c>
      <c r="FI27" s="56">
        <f>SUMIFS(tblActuals[Team 2 Goals],tblActuals[Team 2],$CK27,tblActuals[Team 1],FI$3)+SUMIFS(tblActuals[Team 1 Goals],tblActuals[Team 1],$CK27,tblActuals[Team 2],FI$3)</f>
        <v>0</v>
      </c>
      <c r="FJ27" s="56">
        <f>SUMIFS(tblActuals[Team 2 Goals],tblActuals[Team 2],$CK27,tblActuals[Team 1],FJ$3)+SUMIFS(tblActuals[Team 1 Goals],tblActuals[Team 1],$CK27,tblActuals[Team 2],FJ$3)</f>
        <v>0</v>
      </c>
      <c r="FK27" s="56">
        <f>SUMIFS(tblActuals[Team 2 Goals],tblActuals[Team 2],$CK27,tblActuals[Team 1],FK$3)+SUMIFS(tblActuals[Team 1 Goals],tblActuals[Team 1],$CK27,tblActuals[Team 2],FK$3)</f>
        <v>0</v>
      </c>
      <c r="FL27" s="56">
        <f>SUMIFS(tblActuals[Team 2 Goals],tblActuals[Team 2],$CK27,tblActuals[Team 1],FL$3)+SUMIFS(tblActuals[Team 1 Goals],tblActuals[Team 1],$CK27,tblActuals[Team 2],FL$3)</f>
        <v>0</v>
      </c>
      <c r="FM27" s="56">
        <f>SUMIFS(tblActuals[Team 2 Goals],tblActuals[Team 2],$CK27,tblActuals[Team 1],FM$3)+SUMIFS(tblActuals[Team 1 Goals],tblActuals[Team 1],$CK27,tblActuals[Team 2],FM$3)</f>
        <v>0</v>
      </c>
      <c r="FN27" s="56">
        <f>SUMIFS(tblActuals[Team 2 Goals],tblActuals[Team 2],$CK27,tblActuals[Team 1],FN$3)+SUMIFS(tblActuals[Team 1 Goals],tblActuals[Team 1],$CK27,tblActuals[Team 2],FN$3)</f>
        <v>0</v>
      </c>
      <c r="FO27" s="56">
        <f>SUMIFS(tblActuals[Team 2 Goals],tblActuals[Team 2],$CK27,tblActuals[Team 1],FO$3)+SUMIFS(tblActuals[Team 1 Goals],tblActuals[Team 1],$CK27,tblActuals[Team 2],FO$3)</f>
        <v>0</v>
      </c>
      <c r="FP27" s="56">
        <f>SUMIFS(tblActuals[Team 2 Goals],tblActuals[Team 2],$CK27,tblActuals[Team 1],FP$3)+SUMIFS(tblActuals[Team 1 Goals],tblActuals[Team 1],$CK27,tblActuals[Team 2],FP$3)</f>
        <v>0</v>
      </c>
      <c r="FQ27" s="56">
        <f>SUMIFS(tblActuals[Team 2 Goals],tblActuals[Team 2],$CK27,tblActuals[Team 1],FQ$3)+SUMIFS(tblActuals[Team 1 Goals],tblActuals[Team 1],$CK27,tblActuals[Team 2],FQ$3)</f>
        <v>0</v>
      </c>
      <c r="FR27" s="56">
        <f>SUMIFS(tblActuals[Team 2 Goals],tblActuals[Team 2],$CK27,tblActuals[Team 1],FR$3)+SUMIFS(tblActuals[Team 1 Goals],tblActuals[Team 1],$CK27,tblActuals[Team 2],FR$3)</f>
        <v>0</v>
      </c>
      <c r="FS27" s="56">
        <f>SUMIFS(tblActuals[Team 2 Goals],tblActuals[Team 2],$CK27,tblActuals[Team 1],FS$3)+SUMIFS(tblActuals[Team 1 Goals],tblActuals[Team 1],$CK27,tblActuals[Team 2],FS$3)</f>
        <v>0</v>
      </c>
      <c r="FT27" s="56">
        <f>SUMIFS(tblActuals[Team 2 Goals],tblActuals[Team 2],$CK27,tblActuals[Team 1],FT$3)+SUMIFS(tblActuals[Team 1 Goals],tblActuals[Team 1],$CK27,tblActuals[Team 2],FT$3)</f>
        <v>0</v>
      </c>
      <c r="FU27" s="56">
        <f>SUMIFS(tblActuals[Team 2 Goals],tblActuals[Team 2],$CK27,tblActuals[Team 1],FU$3)+SUMIFS(tblActuals[Team 1 Goals],tblActuals[Team 1],$CK27,tblActuals[Team 2],FU$3)</f>
        <v>0</v>
      </c>
      <c r="FV27" s="56">
        <f>SUMIFS(tblActuals[Team 2 Goals],tblActuals[Team 2],$CK27,tblActuals[Team 1],FV$3)+SUMIFS(tblActuals[Team 1 Goals],tblActuals[Team 1],$CK27,tblActuals[Team 2],FV$3)</f>
        <v>0</v>
      </c>
      <c r="FW27" s="56">
        <f>SUMIFS(tblActuals[Team 2 Goals],tblActuals[Team 2],$CK27,tblActuals[Team 1],FW$3)+SUMIFS(tblActuals[Team 1 Goals],tblActuals[Team 1],$CK27,tblActuals[Team 2],FW$3)</f>
        <v>0</v>
      </c>
      <c r="FX27" s="56">
        <f>SUMIFS(tblActuals[Team 2 Goals],tblActuals[Team 2],$CK27,tblActuals[Team 1],FX$3)+SUMIFS(tblActuals[Team 1 Goals],tblActuals[Team 1],$CK27,tblActuals[Team 2],FX$3)</f>
        <v>0</v>
      </c>
      <c r="FY27" s="56">
        <f>SUMIFS(tblActuals[Team 2 Goals],tblActuals[Team 2],$CK27,tblActuals[Team 1],FY$3)+SUMIFS(tblActuals[Team 1 Goals],tblActuals[Team 1],$CK27,tblActuals[Team 2],FY$3)</f>
        <v>0</v>
      </c>
      <c r="FZ27" s="57"/>
      <c r="GA27" s="57"/>
      <c r="GB27" s="37"/>
      <c r="GC27" s="37"/>
      <c r="GD27" s="37"/>
      <c r="GE27" s="37"/>
      <c r="GF27" s="37"/>
      <c r="GG27" s="37"/>
      <c r="GH27" s="75"/>
      <c r="GI27" s="148"/>
      <c r="GJ27" s="148"/>
      <c r="GK27" s="75"/>
      <c r="GL27" s="75"/>
      <c r="GM27" s="75"/>
      <c r="GN27" s="75"/>
      <c r="GO27" s="75"/>
      <c r="GP27" s="75"/>
    </row>
    <row r="28" spans="1:211" s="11" customFormat="1" ht="30" customHeight="1" thickBot="1" x14ac:dyDescent="0.3">
      <c r="A28" s="20"/>
      <c r="B28" s="122">
        <v>25</v>
      </c>
      <c r="C28" s="122" t="s">
        <v>1</v>
      </c>
      <c r="D28" s="123">
        <v>45466</v>
      </c>
      <c r="E28" s="122" t="s">
        <v>86</v>
      </c>
      <c r="F28" s="124">
        <v>0.875</v>
      </c>
      <c r="G28" s="125">
        <f t="shared" si="8"/>
        <v>45466.625</v>
      </c>
      <c r="H28" s="122" t="s">
        <v>113</v>
      </c>
      <c r="I28" s="126"/>
      <c r="J28" s="118"/>
      <c r="K28" s="118"/>
      <c r="L28" s="119" t="str">
        <f>IF(tblActuals[[#This Row],[SCORE]]="","",IF(Q28=R28,"Draw",IF(Q28&gt;R28,M28,N28)))</f>
        <v/>
      </c>
      <c r="M28" s="120" t="str">
        <f>IF(tblActuals[[#This Row],[TEAMS]]="","",LEFT(H28,FIND(" -",H28,1)-1))</f>
        <v>Switzerland</v>
      </c>
      <c r="N28" s="120" t="str">
        <f>IF(tblActuals[[#This Row],[TEAMS]]="","",MID(H28,FIND("-",H28,1)+2,LEN(H28)-FIND("-",H28,1)+2))</f>
        <v>Germany</v>
      </c>
      <c r="O28" s="120" t="str">
        <f>IF(tblActuals[[#This Row],[Team 1 Goals]]&gt;tblActuals[[#This Row],[Team 2 Goals]],tblActuals[[#This Row],[Team 1]],IF(tblActuals[[#This Row],[Team 2 Goals]]&gt;tblActuals[[#This Row],[Team 1 Goals]],tblActuals[[#This Row],[Team 2]],""))</f>
        <v/>
      </c>
      <c r="P28" s="120" t="str">
        <f>IF(tblActuals[[#This Row],[Winner]]=tblActuals[[#This Row],[Team 1]],tblActuals[[#This Row],[Team 2]],IF(tblActuals[[#This Row],[Winner]]=tblActuals[[#This Row],[Team 2]],tblActuals[[#This Row],[Team 1]],""))</f>
        <v/>
      </c>
      <c r="Q28" s="120" t="str">
        <f>IF(tblActuals[[#This Row],[SCORE]]="","",LEFT(I28,FIND(":",I28,1)-1)*1)</f>
        <v/>
      </c>
      <c r="R28" s="120" t="str">
        <f>IF(tblActuals[[#This Row],[SCORE]]="","",MID(I28,FIND(":",I28,1)+1,LEN(I28)-FIND(":",I28,1)+1)*1)</f>
        <v/>
      </c>
      <c r="S28" s="120" t="str">
        <f>IF(OR(tblActuals[[#This Row],[Team 1 Goals]]="",tblActuals[[#This Row],[Team 2 Goals]]=""),"",tblActuals[[#This Row],[Team 1 Goals]]-tblActuals[[#This Row],[Team 2 Goals]])</f>
        <v/>
      </c>
      <c r="T28" s="120" t="str">
        <f>IF(OR(tblActuals[[#This Row],[Team 1 Goals]]="",tblActuals[[#This Row],[Team 2 Goals]]=""),"",tblActuals[[#This Row],[Team 2 Goals]]-tblActuals[[#This Row],[Team 1 Goals]])</f>
        <v/>
      </c>
      <c r="U28" s="120" t="str">
        <f>IF(tblActuals[[#This Row],[SCORE]]="","",IF(tblActuals[[#This Row],[WINNER / RESULT]]="Draw",1,IF(tblActuals[[#This Row],[WINNER / RESULT]]=tblActuals[[#This Row],[Team 1]],3,0)))</f>
        <v/>
      </c>
      <c r="V28" s="120" t="str">
        <f>IF(tblActuals[[#This Row],[SCORE]]="","",IF(tblActuals[[#This Row],[WINNER / RESULT]]="Draw",1,IF(tblActuals[[#This Row],[WINNER / RESULT]]=tblActuals[[#This Row],[Team 2]],3,0)))</f>
        <v/>
      </c>
      <c r="W28" s="121"/>
      <c r="X28" s="121"/>
      <c r="Y28" s="121"/>
      <c r="Z28" s="121"/>
      <c r="AA28" s="120" t="e">
        <f>tblActuals[[#This Row],[Team 1 Goals]]+tblActuals[[#This Row],[Team 1 ET Goals]]&amp;":"&amp;tblActuals[[#This Row],[Team 2 Goals]]+tblActuals[[#This Row],[Team 2 ET Goals]]</f>
        <v>#VALUE!</v>
      </c>
      <c r="AB28" s="120" t="e">
        <f>+tblActuals[[#This Row],[Team 1 Goals]]+tblActuals[[#This Row],[Team 2 Goals]]</f>
        <v>#VALUE!</v>
      </c>
      <c r="AC28" s="165">
        <f t="shared" si="0"/>
        <v>45466</v>
      </c>
      <c r="AD28" s="166">
        <f t="shared" si="9"/>
        <v>27.8</v>
      </c>
      <c r="AJ28" s="77"/>
      <c r="AK28" s="148"/>
      <c r="AL28" s="148"/>
      <c r="AM28" s="148"/>
      <c r="AN28" s="148"/>
      <c r="AO28" s="148"/>
      <c r="AP28" s="75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 t="str">
        <f t="shared" si="1"/>
        <v/>
      </c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K28" s="4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4"/>
      <c r="DS28" s="4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4"/>
      <c r="FA28" s="4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  <c r="GB28" s="37"/>
      <c r="GC28" s="37"/>
      <c r="GD28" s="37"/>
      <c r="GE28" s="37"/>
      <c r="GF28" s="37"/>
      <c r="GG28" s="37"/>
      <c r="GH28" s="75"/>
      <c r="GI28" s="148"/>
      <c r="GJ28" s="148"/>
      <c r="GK28" s="75"/>
      <c r="GL28" s="75"/>
      <c r="GM28" s="75"/>
      <c r="GN28" s="75"/>
      <c r="GO28" s="75"/>
      <c r="GP28" s="75"/>
    </row>
    <row r="29" spans="1:211" s="11" customFormat="1" ht="30" customHeight="1" thickBot="1" x14ac:dyDescent="0.3">
      <c r="A29" s="20"/>
      <c r="B29" s="122">
        <v>26</v>
      </c>
      <c r="C29" s="122" t="s">
        <v>1</v>
      </c>
      <c r="D29" s="123">
        <v>45466</v>
      </c>
      <c r="E29" s="122" t="s">
        <v>83</v>
      </c>
      <c r="F29" s="124">
        <v>0.875</v>
      </c>
      <c r="G29" s="125">
        <f t="shared" si="8"/>
        <v>45466.625</v>
      </c>
      <c r="H29" s="122" t="s">
        <v>114</v>
      </c>
      <c r="I29" s="126"/>
      <c r="J29" s="118"/>
      <c r="K29" s="118"/>
      <c r="L29" s="119" t="str">
        <f>IF(tblActuals[[#This Row],[SCORE]]="","",IF(Q29=R29,"Draw",IF(Q29&gt;R29,M29,N29)))</f>
        <v/>
      </c>
      <c r="M29" s="120" t="str">
        <f>IF(tblActuals[[#This Row],[TEAMS]]="","",LEFT(H29,FIND(" -",H29,1)-1))</f>
        <v>Scotland</v>
      </c>
      <c r="N29" s="120" t="str">
        <f>IF(tblActuals[[#This Row],[TEAMS]]="","",MID(H29,FIND("-",H29,1)+2,LEN(H29)-FIND("-",H29,1)+2))</f>
        <v>Hungary</v>
      </c>
      <c r="O29" s="120" t="str">
        <f>IF(tblActuals[[#This Row],[Team 1 Goals]]&gt;tblActuals[[#This Row],[Team 2 Goals]],tblActuals[[#This Row],[Team 1]],IF(tblActuals[[#This Row],[Team 2 Goals]]&gt;tblActuals[[#This Row],[Team 1 Goals]],tblActuals[[#This Row],[Team 2]],""))</f>
        <v/>
      </c>
      <c r="P29" s="120" t="str">
        <f>IF(tblActuals[[#This Row],[Winner]]=tblActuals[[#This Row],[Team 1]],tblActuals[[#This Row],[Team 2]],IF(tblActuals[[#This Row],[Winner]]=tblActuals[[#This Row],[Team 2]],tblActuals[[#This Row],[Team 1]],""))</f>
        <v/>
      </c>
      <c r="Q29" s="120" t="str">
        <f>IF(tblActuals[[#This Row],[SCORE]]="","",LEFT(I29,FIND(":",I29,1)-1)*1)</f>
        <v/>
      </c>
      <c r="R29" s="120" t="str">
        <f>IF(tblActuals[[#This Row],[SCORE]]="","",MID(I29,FIND(":",I29,1)+1,LEN(I29)-FIND(":",I29,1)+1)*1)</f>
        <v/>
      </c>
      <c r="S29" s="120" t="str">
        <f>IF(OR(tblActuals[[#This Row],[Team 1 Goals]]="",tblActuals[[#This Row],[Team 2 Goals]]=""),"",tblActuals[[#This Row],[Team 1 Goals]]-tblActuals[[#This Row],[Team 2 Goals]])</f>
        <v/>
      </c>
      <c r="T29" s="120" t="str">
        <f>IF(OR(tblActuals[[#This Row],[Team 1 Goals]]="",tblActuals[[#This Row],[Team 2 Goals]]=""),"",tblActuals[[#This Row],[Team 2 Goals]]-tblActuals[[#This Row],[Team 1 Goals]])</f>
        <v/>
      </c>
      <c r="U29" s="120" t="str">
        <f>IF(tblActuals[[#This Row],[SCORE]]="","",IF(tblActuals[[#This Row],[WINNER / RESULT]]="Draw",1,IF(tblActuals[[#This Row],[WINNER / RESULT]]=tblActuals[[#This Row],[Team 1]],3,0)))</f>
        <v/>
      </c>
      <c r="V29" s="120" t="str">
        <f>IF(tblActuals[[#This Row],[SCORE]]="","",IF(tblActuals[[#This Row],[WINNER / RESULT]]="Draw",1,IF(tblActuals[[#This Row],[WINNER / RESULT]]=tblActuals[[#This Row],[Team 2]],3,0)))</f>
        <v/>
      </c>
      <c r="W29" s="121"/>
      <c r="X29" s="121"/>
      <c r="Y29" s="121"/>
      <c r="Z29" s="121"/>
      <c r="AA29" s="120" t="e">
        <f>tblActuals[[#This Row],[Team 1 Goals]]+tblActuals[[#This Row],[Team 1 ET Goals]]&amp;":"&amp;tblActuals[[#This Row],[Team 2 Goals]]+tblActuals[[#This Row],[Team 2 ET Goals]]</f>
        <v>#VALUE!</v>
      </c>
      <c r="AB29" s="120" t="e">
        <f>+tblActuals[[#This Row],[Team 1 Goals]]+tblActuals[[#This Row],[Team 2 Goals]]</f>
        <v>#VALUE!</v>
      </c>
      <c r="AC29" s="165">
        <f t="shared" si="0"/>
        <v>45466</v>
      </c>
      <c r="AD29" s="166">
        <f t="shared" si="9"/>
        <v>27.9</v>
      </c>
      <c r="AJ29" s="78"/>
      <c r="AK29" s="179" t="s">
        <v>55</v>
      </c>
      <c r="AL29" s="180"/>
      <c r="AM29" s="133" t="s">
        <v>46</v>
      </c>
      <c r="AN29" s="134" t="s">
        <v>57</v>
      </c>
      <c r="AO29" s="135" t="s">
        <v>11</v>
      </c>
      <c r="AP29" s="75"/>
      <c r="AQ29" s="4"/>
      <c r="AR29" s="4"/>
      <c r="AS29" s="4" t="s">
        <v>45</v>
      </c>
      <c r="AT29" s="4" t="s">
        <v>135</v>
      </c>
      <c r="AU29" s="4">
        <f>COUNTIF(tblActuals[Winner],AT29)</f>
        <v>0</v>
      </c>
      <c r="AV29" s="4">
        <f>COUNTIFS(tblActuals[Team 2],AT29,tblActuals[WINNER / RESULT],"Draw")+COUNTIFS(tblActuals[Team 1],AT29,tblActuals[WINNER / RESULT],"Draw")</f>
        <v>0</v>
      </c>
      <c r="AW29" s="4">
        <f>COUNTIF(tblActuals[Loser],AT29)</f>
        <v>0</v>
      </c>
      <c r="AX29" s="4">
        <f>AV29+(3*AU29)</f>
        <v>0</v>
      </c>
      <c r="AY29" s="4">
        <f>SUMIFS(tblActuals[Team 1 Goals],tblActuals[Team 1],AT29)+SUMIFS(tblActuals[Team 2 Goals],tblActuals[Team 2],AT29)</f>
        <v>0</v>
      </c>
      <c r="AZ29" s="4">
        <f>SUMIFS(tblActuals[Team 2 Goals],tblActuals[Team 1],AT29)+SUMIFS(tblActuals[Team 1 Goals],tblActuals[Team 2],AT29)</f>
        <v>0</v>
      </c>
      <c r="BA29" s="4">
        <f>AY29-AZ29</f>
        <v>0</v>
      </c>
      <c r="BB29" s="4">
        <f ca="1">RANK(BO29,$BO$29:$BO$32,1)</f>
        <v>1</v>
      </c>
      <c r="BC29" s="4" t="str">
        <f t="shared" si="1"/>
        <v/>
      </c>
      <c r="BD29" s="4" t="str">
        <f ca="1">IF(BC29="",BB29&amp;AS29,BC29&amp;AS29)</f>
        <v>1F</v>
      </c>
      <c r="BE29" s="4">
        <f>RANK(AX29,$AX$29:$AX$32,0)</f>
        <v>1</v>
      </c>
      <c r="BF29" s="4" cm="1">
        <f t="array" aca="1" ref="BF29" ca="1">SUMPRODUCT((OFFSET($CL$3:$DQ$3,MATCH($AT29,$CK$4:$CK$35,0),0))*((IF($BE31=$BE29,$CL$3:$DQ$3=$AT31,0))+(IF($BE32=$BE29,$CL$3:$DQ$3=$AT32,0))+(IF($BE30=$BE29,$CL$3:$DQ$3=$AT30,0))))</f>
        <v>0</v>
      </c>
      <c r="BG29" s="4" cm="1">
        <f t="array" aca="1" ref="BG29" ca="1">SUMPRODUCT((OFFSET($DT$3:$EY$3,MATCH($AT29,$DS$4:$DS$35,0),0))*((IF($BE31=$BE29,$DT$3:$EY$3=$AT31,0))+(IF($BE32=$BE29,$DT$3:$EY$3=$AT32,0))+(IF($BE30=$BE29,$DT$3:$EY$3=$AT30,0))))</f>
        <v>0</v>
      </c>
      <c r="BH29" s="4" cm="1">
        <f t="array" aca="1" ref="BH29" ca="1">SUMPRODUCT((OFFSET($FB$3:$GG$3,MATCH($AT29,$FA$4:$FA$35,0),0))*((IF($BE31=$BE29,$FB$3:$GG$3=$AT31,0))+(IF($BE32=$BE29,$FB$3:$GG$3=$AT32,0))+(IF($BE30=$BE29,$FB$3:$GG$3=$AT30,0))))</f>
        <v>0</v>
      </c>
      <c r="BI29" s="4" cm="1">
        <f t="array" aca="1" ref="BI29" ca="1">SUMPRODUCT((OFFSET($CL$3:$DQ$3,MATCH($AT29,$CK$4:$CK$35,0),0))*((IF($BE31&lt;&gt;$BE29,$CL$3:$DQ$3=$AT31,0))+(IF($BE32&lt;&gt;$BE29,$CL$3:$DQ$3=$AT32,0))+(IF($BE30&lt;&gt;$BE29,$CL$3:$DQ$3=$AT30,0))))</f>
        <v>0</v>
      </c>
      <c r="BJ29" s="4" cm="1">
        <f t="array" aca="1" ref="BJ29" ca="1">SUMPRODUCT((OFFSET($DT$3:$EY$3,MATCH($AT29,$DS$4:$DS$35,0),0))*((IF($BE31&lt;&gt;$BE29,$DT$3:$EY$3=$AT31,0))+(IF($BE32&lt;&gt;$BE29,$DT$3:$EY$3=$AT32,0))+(IF($BE30&lt;&gt;$BE29,$DT$3:$EY$3=$AT30,0))))</f>
        <v>0</v>
      </c>
      <c r="BK29" s="4" cm="1">
        <f t="array" aca="1" ref="BK29" ca="1">SUMPRODUCT((OFFSET($FB$3:$GG$3,MATCH($AT29,$FA$4:$FA$35,0),0))*((IF($BE31&lt;&gt;$BE29,$FB$3:$GG$3=$AT31,0))+(IF($BE32&lt;&gt;$BE29,$FB$3:$GG$3=$AT32,0))+(IF($BE30&lt;&gt;$BE29,$FB$3:$GG$3=$AT30,0))))</f>
        <v>0</v>
      </c>
      <c r="BL29" s="4">
        <f t="shared" si="10"/>
        <v>0</v>
      </c>
      <c r="BM29" s="4">
        <f t="shared" si="11"/>
        <v>0</v>
      </c>
      <c r="BN29" s="4">
        <f ca="1">(BF29/10)+(BG29/100)+(BH29/1000)+(BJ29/10000)+(BK29/100000)+(BL29/1000000)+(BM29/10000000)+(ROW(BI32)/100000000)</f>
        <v>3.2000000000000001E-7</v>
      </c>
      <c r="BO29" s="4">
        <f ca="1">+BE29-BN29</f>
        <v>0.99999967999999995</v>
      </c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K29" s="4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4"/>
      <c r="DS29" s="4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4"/>
      <c r="FA29" s="4"/>
      <c r="FB29" s="57"/>
      <c r="FC29" s="57"/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37"/>
      <c r="GC29" s="37"/>
      <c r="GD29" s="37"/>
      <c r="GE29" s="37"/>
      <c r="GF29" s="37"/>
      <c r="GG29" s="37"/>
      <c r="GH29" s="75"/>
      <c r="GI29" s="148"/>
      <c r="GJ29" s="157"/>
      <c r="GK29" s="75"/>
      <c r="GL29" s="75"/>
      <c r="GM29" s="75"/>
      <c r="GN29" s="75"/>
      <c r="GO29" s="75"/>
      <c r="GP29" s="75"/>
    </row>
    <row r="30" spans="1:211" s="11" customFormat="1" ht="30" customHeight="1" x14ac:dyDescent="0.25">
      <c r="A30" s="20"/>
      <c r="B30" s="122">
        <v>27</v>
      </c>
      <c r="C30" s="122" t="s">
        <v>5</v>
      </c>
      <c r="D30" s="123">
        <v>45467</v>
      </c>
      <c r="E30" s="122" t="s">
        <v>85</v>
      </c>
      <c r="F30" s="124">
        <v>0.875</v>
      </c>
      <c r="G30" s="125">
        <f t="shared" si="8"/>
        <v>45467.625</v>
      </c>
      <c r="H30" s="122" t="s">
        <v>115</v>
      </c>
      <c r="I30" s="126"/>
      <c r="J30" s="118"/>
      <c r="K30" s="118"/>
      <c r="L30" s="119" t="str">
        <f>IF(tblActuals[[#This Row],[SCORE]]="","",IF(Q30=R30,"Draw",IF(Q30&gt;R30,M30,N30)))</f>
        <v/>
      </c>
      <c r="M30" s="120" t="str">
        <f>IF(tblActuals[[#This Row],[TEAMS]]="","",LEFT(H30,FIND(" -",H30,1)-1))</f>
        <v>Albania</v>
      </c>
      <c r="N30" s="120" t="str">
        <f>IF(tblActuals[[#This Row],[TEAMS]]="","",MID(H30,FIND("-",H30,1)+2,LEN(H30)-FIND("-",H30,1)+2))</f>
        <v>Spain</v>
      </c>
      <c r="O30" s="120" t="str">
        <f>IF(tblActuals[[#This Row],[Team 1 Goals]]&gt;tblActuals[[#This Row],[Team 2 Goals]],tblActuals[[#This Row],[Team 1]],IF(tblActuals[[#This Row],[Team 2 Goals]]&gt;tblActuals[[#This Row],[Team 1 Goals]],tblActuals[[#This Row],[Team 2]],""))</f>
        <v/>
      </c>
      <c r="P30" s="120" t="str">
        <f>IF(tblActuals[[#This Row],[Winner]]=tblActuals[[#This Row],[Team 1]],tblActuals[[#This Row],[Team 2]],IF(tblActuals[[#This Row],[Winner]]=tblActuals[[#This Row],[Team 2]],tblActuals[[#This Row],[Team 1]],""))</f>
        <v/>
      </c>
      <c r="Q30" s="120" t="str">
        <f>IF(tblActuals[[#This Row],[SCORE]]="","",LEFT(I30,FIND(":",I30,1)-1)*1)</f>
        <v/>
      </c>
      <c r="R30" s="120" t="str">
        <f>IF(tblActuals[[#This Row],[SCORE]]="","",MID(I30,FIND(":",I30,1)+1,LEN(I30)-FIND(":",I30,1)+1)*1)</f>
        <v/>
      </c>
      <c r="S30" s="120" t="str">
        <f>IF(OR(tblActuals[[#This Row],[Team 1 Goals]]="",tblActuals[[#This Row],[Team 2 Goals]]=""),"",tblActuals[[#This Row],[Team 1 Goals]]-tblActuals[[#This Row],[Team 2 Goals]])</f>
        <v/>
      </c>
      <c r="T30" s="120" t="str">
        <f>IF(OR(tblActuals[[#This Row],[Team 1 Goals]]="",tblActuals[[#This Row],[Team 2 Goals]]=""),"",tblActuals[[#This Row],[Team 2 Goals]]-tblActuals[[#This Row],[Team 1 Goals]])</f>
        <v/>
      </c>
      <c r="U30" s="120" t="str">
        <f>IF(tblActuals[[#This Row],[SCORE]]="","",IF(tblActuals[[#This Row],[WINNER / RESULT]]="Draw",1,IF(tblActuals[[#This Row],[WINNER / RESULT]]=tblActuals[[#This Row],[Team 1]],3,0)))</f>
        <v/>
      </c>
      <c r="V30" s="120" t="str">
        <f>IF(tblActuals[[#This Row],[SCORE]]="","",IF(tblActuals[[#This Row],[WINNER / RESULT]]="Draw",1,IF(tblActuals[[#This Row],[WINNER / RESULT]]=tblActuals[[#This Row],[Team 2]],3,0)))</f>
        <v/>
      </c>
      <c r="W30" s="121"/>
      <c r="X30" s="121"/>
      <c r="Y30" s="121"/>
      <c r="Z30" s="121"/>
      <c r="AA30" s="120" t="e">
        <f>tblActuals[[#This Row],[Team 1 Goals]]+tblActuals[[#This Row],[Team 1 ET Goals]]&amp;":"&amp;tblActuals[[#This Row],[Team 2 Goals]]+tblActuals[[#This Row],[Team 2 ET Goals]]</f>
        <v>#VALUE!</v>
      </c>
      <c r="AB30" s="120" t="e">
        <f>+tblActuals[[#This Row],[Team 1 Goals]]+tblActuals[[#This Row],[Team 2 Goals]]</f>
        <v>#VALUE!</v>
      </c>
      <c r="AC30" s="165">
        <f t="shared" si="0"/>
        <v>45467</v>
      </c>
      <c r="AD30" s="166">
        <f t="shared" si="9"/>
        <v>30</v>
      </c>
      <c r="AJ30" s="77" t="s">
        <v>12</v>
      </c>
      <c r="AK30" s="136">
        <v>1</v>
      </c>
      <c r="AL30" s="137" t="str">
        <f ca="1">IFERROR(INDEX(AT:AT,MATCH("1"&amp;AJ30,BD:BD,0),1),"")</f>
        <v>Belgium</v>
      </c>
      <c r="AM30" s="137" t="str">
        <f ca="1">IF(AL30="","",VLOOKUP(AL30,AT:AY,2,FALSE)&amp;"-"&amp;VLOOKUP(AL30,AT:AY,3,FALSE)&amp;"-"&amp;VLOOKUP(AL30,AT:AY,4,FALSE))</f>
        <v>0-0-0</v>
      </c>
      <c r="AN30" s="137">
        <f ca="1">IF(AL30="","",VLOOKUP(AL30,AT:BA,8,FALSE))</f>
        <v>0</v>
      </c>
      <c r="AO30" s="138">
        <f ca="1">IF(AL30="","",VLOOKUP(AL30,AT:BD,5,FALSE))</f>
        <v>0</v>
      </c>
      <c r="AP30" s="75"/>
      <c r="AQ30" s="4"/>
      <c r="AR30" s="4"/>
      <c r="AS30" s="4" t="s">
        <v>45</v>
      </c>
      <c r="AT30" s="4" t="s">
        <v>134</v>
      </c>
      <c r="AU30" s="4">
        <f>COUNTIF(tblActuals[Winner],AT30)</f>
        <v>0</v>
      </c>
      <c r="AV30" s="4">
        <f>COUNTIFS(tblActuals[Team 2],AT30,tblActuals[WINNER / RESULT],"Draw")+COUNTIFS(tblActuals[Team 1],AT30,tblActuals[WINNER / RESULT],"Draw")</f>
        <v>0</v>
      </c>
      <c r="AW30" s="4">
        <f>COUNTIF(tblActuals[Loser],AT30)</f>
        <v>0</v>
      </c>
      <c r="AX30" s="4">
        <f>AV30+(3*AU30)</f>
        <v>0</v>
      </c>
      <c r="AY30" s="4">
        <f>SUMIFS(tblActuals[Team 1 Goals],tblActuals[Team 1],AT30)+SUMIFS(tblActuals[Team 2 Goals],tblActuals[Team 2],AT30)</f>
        <v>0</v>
      </c>
      <c r="AZ30" s="4">
        <f>SUMIFS(tblActuals[Team 2 Goals],tblActuals[Team 1],AT30)+SUMIFS(tblActuals[Team 1 Goals],tblActuals[Team 2],AT30)</f>
        <v>0</v>
      </c>
      <c r="BA30" s="4">
        <f>AY30-AZ30</f>
        <v>0</v>
      </c>
      <c r="BB30" s="4">
        <f ca="1">RANK(BO30,$BO$29:$BO$32,1)</f>
        <v>2</v>
      </c>
      <c r="BC30" s="4" t="str">
        <f t="shared" si="1"/>
        <v/>
      </c>
      <c r="BD30" s="4" t="str">
        <f ca="1">IF(BC30="",BB30&amp;AS30,BC30&amp;AS30)</f>
        <v>2F</v>
      </c>
      <c r="BE30" s="4">
        <f>RANK(AX30,$AX$29:$AX$32,0)</f>
        <v>1</v>
      </c>
      <c r="BF30" s="4" cm="1">
        <f t="array" aca="1" ref="BF30" ca="1">SUMPRODUCT((OFFSET($CL$3:$DQ$3,MATCH($AT30,$CK$4:$CK$35,0),0))*((IF($BE31=$BE30,$CL$3:$DQ$3=$AT31,0))+(IF($BE32=$BE30,$CL$3:$DQ$3=$AT32,0))+(IF($BE29=$BE30,$CL$3:$DQ$3=$AT29,0))))</f>
        <v>0</v>
      </c>
      <c r="BG30" s="4" cm="1">
        <f t="array" aca="1" ref="BG30" ca="1">SUMPRODUCT((OFFSET($DT$3:$EY$3,MATCH($AT30,$DS$4:$DS$35,0),0))*((IF($BE31=$BE30,$DT$3:$EY$3=$AT31,0))+(IF($BE32=$BE30,$DT$3:$EY$3=$AT32,0))+(IF($BE29=$BE30,$DT$3:$EY$3=$AT29,0))))</f>
        <v>0</v>
      </c>
      <c r="BH30" s="4" cm="1">
        <f t="array" aca="1" ref="BH30" ca="1">SUMPRODUCT((OFFSET($FB$3:$GG$3,MATCH($AT30,$FA$4:$FA$35,0),0))*((IF($BE31=$BE30,$FB$3:$GG$3=$AT31,0))+(IF($BE32=$BE30,$FB$3:$GG$3=$AT32,0))+(IF($BE29=$BE30,$FB$3:$GG$3=$AT29,0))))</f>
        <v>0</v>
      </c>
      <c r="BI30" s="4" cm="1">
        <f t="array" aca="1" ref="BI30" ca="1">SUMPRODUCT((OFFSET($CL$3:$DQ$3,MATCH($AT30,$CK$4:$CK$35,0),0))*((IF($BE31&lt;&gt;$BE30,$CL$3:$DQ$3=$AT31,0))+(IF($BE32&lt;&gt;$BE30,$CL$3:$DQ$3=$AT32,0))+(IF($BE29&lt;&gt;$BE30,$CL$3:$DQ$3=$AT29,0))))</f>
        <v>0</v>
      </c>
      <c r="BJ30" s="4" cm="1">
        <f t="array" aca="1" ref="BJ30" ca="1">SUMPRODUCT((OFFSET($DT$3:$EY$3,MATCH($AT30,$DS$4:$DS$35,0),0))*((IF($BE31&lt;&gt;$BE30,$DT$3:$EY$3=$AT31,0))+(IF($BE32&lt;&gt;$BE30,$DT$3:$EY$3=$AT32,0))+(IF($BE29&lt;&gt;$BE30,$DT$3:$EY$3=$AT29,0))))</f>
        <v>0</v>
      </c>
      <c r="BK30" s="4" cm="1">
        <f t="array" aca="1" ref="BK30" ca="1">SUMPRODUCT((OFFSET($FB$3:$GG$3,MATCH($AT30,$FA$4:$FA$35,0),0))*((IF($BE31&lt;&gt;$BE30,$FB$3:$GG$3=$AT31,0))+(IF($BE32&lt;&gt;$BE30,$FB$3:$GG$3=$AT32,0))+(IF($BE29&lt;&gt;$BE30,$FB$3:$GG$3=$AT29,0))))</f>
        <v>0</v>
      </c>
      <c r="BL30" s="4">
        <f t="shared" si="10"/>
        <v>0</v>
      </c>
      <c r="BM30" s="4">
        <f t="shared" si="11"/>
        <v>0</v>
      </c>
      <c r="BN30" s="4">
        <f ca="1">(BF30/10)+(BG30/100)+(BH30/1000)+(BJ30/10000)+(BK30/100000)+(BL30/1000000)+(BM30/10000000)+(ROW(BI31)/100000000)</f>
        <v>3.1E-7</v>
      </c>
      <c r="BO30" s="4">
        <f ca="1">+BE30-BN30</f>
        <v>0.99999969</v>
      </c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K30" s="4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4"/>
      <c r="DS30" s="4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4"/>
      <c r="FA30" s="4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37"/>
      <c r="GC30" s="37"/>
      <c r="GD30" s="37"/>
      <c r="GE30" s="37"/>
      <c r="GF30" s="37"/>
      <c r="GG30" s="37"/>
      <c r="GH30" s="75"/>
      <c r="GI30" s="148"/>
      <c r="GJ30" s="157"/>
      <c r="GK30" s="75"/>
      <c r="GL30" s="75"/>
      <c r="GM30" s="75"/>
      <c r="GN30" s="75"/>
      <c r="GO30" s="75"/>
      <c r="GP30" s="75"/>
      <c r="GQ30" s="97" t="str">
        <f>_xlfn.CONCAT(A9,A10,A11,A12,A13,A14,A15,A16)</f>
        <v/>
      </c>
    </row>
    <row r="31" spans="1:211" s="11" customFormat="1" ht="30" customHeight="1" x14ac:dyDescent="0.25">
      <c r="A31" s="20"/>
      <c r="B31" s="122">
        <v>28</v>
      </c>
      <c r="C31" s="122" t="s">
        <v>5</v>
      </c>
      <c r="D31" s="123">
        <v>45467</v>
      </c>
      <c r="E31" s="122" t="s">
        <v>87</v>
      </c>
      <c r="F31" s="124">
        <v>0.875</v>
      </c>
      <c r="G31" s="125">
        <f t="shared" si="8"/>
        <v>45467.625</v>
      </c>
      <c r="H31" s="122" t="s">
        <v>116</v>
      </c>
      <c r="I31" s="126"/>
      <c r="J31" s="118"/>
      <c r="K31" s="118"/>
      <c r="L31" s="119" t="str">
        <f>IF(tblActuals[[#This Row],[SCORE]]="","",IF(Q31=R31,"Draw",IF(Q31&gt;R31,M31,N31)))</f>
        <v/>
      </c>
      <c r="M31" s="120" t="str">
        <f>IF(tblActuals[[#This Row],[TEAMS]]="","",LEFT(H31,FIND(" -",H31,1)-1))</f>
        <v>Croatia</v>
      </c>
      <c r="N31" s="120" t="str">
        <f>IF(tblActuals[[#This Row],[TEAMS]]="","",MID(H31,FIND("-",H31,1)+2,LEN(H31)-FIND("-",H31,1)+2))</f>
        <v>Italy</v>
      </c>
      <c r="O31" s="120" t="str">
        <f>IF(tblActuals[[#This Row],[Team 1 Goals]]&gt;tblActuals[[#This Row],[Team 2 Goals]],tblActuals[[#This Row],[Team 1]],IF(tblActuals[[#This Row],[Team 2 Goals]]&gt;tblActuals[[#This Row],[Team 1 Goals]],tblActuals[[#This Row],[Team 2]],""))</f>
        <v/>
      </c>
      <c r="P31" s="120" t="str">
        <f>IF(tblActuals[[#This Row],[Winner]]=tblActuals[[#This Row],[Team 1]],tblActuals[[#This Row],[Team 2]],IF(tblActuals[[#This Row],[Winner]]=tblActuals[[#This Row],[Team 2]],tblActuals[[#This Row],[Team 1]],""))</f>
        <v/>
      </c>
      <c r="Q31" s="120" t="str">
        <f>IF(tblActuals[[#This Row],[SCORE]]="","",LEFT(I31,FIND(":",I31,1)-1)*1)</f>
        <v/>
      </c>
      <c r="R31" s="120" t="str">
        <f>IF(tblActuals[[#This Row],[SCORE]]="","",MID(I31,FIND(":",I31,1)+1,LEN(I31)-FIND(":",I31,1)+1)*1)</f>
        <v/>
      </c>
      <c r="S31" s="120" t="str">
        <f>IF(OR(tblActuals[[#This Row],[Team 1 Goals]]="",tblActuals[[#This Row],[Team 2 Goals]]=""),"",tblActuals[[#This Row],[Team 1 Goals]]-tblActuals[[#This Row],[Team 2 Goals]])</f>
        <v/>
      </c>
      <c r="T31" s="120" t="str">
        <f>IF(OR(tblActuals[[#This Row],[Team 1 Goals]]="",tblActuals[[#This Row],[Team 2 Goals]]=""),"",tblActuals[[#This Row],[Team 2 Goals]]-tblActuals[[#This Row],[Team 1 Goals]])</f>
        <v/>
      </c>
      <c r="U31" s="120" t="str">
        <f>IF(tblActuals[[#This Row],[SCORE]]="","",IF(tblActuals[[#This Row],[WINNER / RESULT]]="Draw",1,IF(tblActuals[[#This Row],[WINNER / RESULT]]=tblActuals[[#This Row],[Team 1]],3,0)))</f>
        <v/>
      </c>
      <c r="V31" s="120" t="str">
        <f>IF(tblActuals[[#This Row],[SCORE]]="","",IF(tblActuals[[#This Row],[WINNER / RESULT]]="Draw",1,IF(tblActuals[[#This Row],[WINNER / RESULT]]=tblActuals[[#This Row],[Team 2]],3,0)))</f>
        <v/>
      </c>
      <c r="W31" s="121"/>
      <c r="X31" s="121"/>
      <c r="Y31" s="121"/>
      <c r="Z31" s="121"/>
      <c r="AA31" s="120" t="e">
        <f>tblActuals[[#This Row],[Team 1 Goals]]+tblActuals[[#This Row],[Team 1 ET Goals]]&amp;":"&amp;tblActuals[[#This Row],[Team 2 Goals]]+tblActuals[[#This Row],[Team 2 ET Goals]]</f>
        <v>#VALUE!</v>
      </c>
      <c r="AB31" s="120" t="e">
        <f>+tblActuals[[#This Row],[Team 1 Goals]]+tblActuals[[#This Row],[Team 2 Goals]]</f>
        <v>#VALUE!</v>
      </c>
      <c r="AC31" s="165">
        <f t="shared" si="0"/>
        <v>45467</v>
      </c>
      <c r="AD31" s="166">
        <f t="shared" si="9"/>
        <v>30.1</v>
      </c>
      <c r="AJ31" s="77" t="s">
        <v>12</v>
      </c>
      <c r="AK31" s="139">
        <v>2</v>
      </c>
      <c r="AL31" s="140" t="str">
        <f ca="1">IFERROR(INDEX(AT:AT,MATCH("2"&amp;AJ31,BD:BD,0),1),"")</f>
        <v>Romania</v>
      </c>
      <c r="AM31" s="140" t="str">
        <f ca="1">IF(AL31="","",VLOOKUP(AL31,AT:AY,2,FALSE)&amp;"-"&amp;VLOOKUP(AL31,AT:AY,3,FALSE)&amp;"-"&amp;VLOOKUP(AL31,AT:AY,4,FALSE))</f>
        <v>0-0-0</v>
      </c>
      <c r="AN31" s="140">
        <f ca="1">IF(AL31="","",VLOOKUP(AL31,AT:BA,8,FALSE))</f>
        <v>0</v>
      </c>
      <c r="AO31" s="141">
        <f ca="1">IF(AL31="","",VLOOKUP(AL31,AT:BD,5,FALSE))</f>
        <v>0</v>
      </c>
      <c r="AP31" s="75"/>
      <c r="AQ31" s="4"/>
      <c r="AR31" s="4"/>
      <c r="AS31" s="4" t="s">
        <v>45</v>
      </c>
      <c r="AT31" s="4" t="s">
        <v>30</v>
      </c>
      <c r="AU31" s="4">
        <f>COUNTIF(tblActuals[Winner],AT31)</f>
        <v>0</v>
      </c>
      <c r="AV31" s="4">
        <f>COUNTIFS(tblActuals[Team 2],AT31,tblActuals[WINNER / RESULT],"Draw")+COUNTIFS(tblActuals[Team 1],AT31,tblActuals[WINNER / RESULT],"Draw")</f>
        <v>0</v>
      </c>
      <c r="AW31" s="4">
        <f>COUNTIF(tblActuals[Loser],AT31)</f>
        <v>0</v>
      </c>
      <c r="AX31" s="4">
        <f>AV31+(3*AU31)</f>
        <v>0</v>
      </c>
      <c r="AY31" s="4">
        <f>SUMIFS(tblActuals[Team 1 Goals],tblActuals[Team 1],AT31)+SUMIFS(tblActuals[Team 2 Goals],tblActuals[Team 2],AT31)</f>
        <v>0</v>
      </c>
      <c r="AZ31" s="4">
        <f>SUMIFS(tblActuals[Team 2 Goals],tblActuals[Team 1],AT31)+SUMIFS(tblActuals[Team 1 Goals],tblActuals[Team 2],AT31)</f>
        <v>0</v>
      </c>
      <c r="BA31" s="4">
        <f>AY31-AZ31</f>
        <v>0</v>
      </c>
      <c r="BB31" s="4">
        <f ca="1">RANK(BO31,$BO$29:$BO$32,1)</f>
        <v>3</v>
      </c>
      <c r="BC31" s="4" t="str">
        <f t="shared" si="1"/>
        <v/>
      </c>
      <c r="BD31" s="4" t="str">
        <f ca="1">IF(BC31="",BB31&amp;AS31,BC31&amp;AS31)</f>
        <v>3F</v>
      </c>
      <c r="BE31" s="4">
        <f>RANK(AX31,$AX$29:$AX$32,0)</f>
        <v>1</v>
      </c>
      <c r="BF31" s="4" cm="1">
        <f t="array" aca="1" ref="BF31" ca="1">SUMPRODUCT((OFFSET($CL$3:$DQ$3,MATCH($AT31,$CK$4:$CK$35,0),0))*((IF($BE29=$BE31,$CL$3:$DQ$3=$AT29,0))+(IF($BE32=$BE31,$CL$3:$DQ$3=$AT32,0))+(IF($BE30=$BE31,$CL$3:$DQ$3=$AT30,0))))</f>
        <v>0</v>
      </c>
      <c r="BG31" s="4" cm="1">
        <f t="array" aca="1" ref="BG31" ca="1">SUMPRODUCT((OFFSET($DT$3:$EY$3,MATCH($AT31,$DS$4:$DS$35,0),0))*((IF($BE29=$BE31,$DT$3:$EY$3=$AT29,0))+(IF($BE32=$BE31,$DT$3:$EY$3=$AT32,0))+(IF($BE30=$BE31,$DT$3:$EY$3=$AT30,0))))</f>
        <v>0</v>
      </c>
      <c r="BH31" s="4" cm="1">
        <f t="array" aca="1" ref="BH31" ca="1">SUMPRODUCT((OFFSET($FB$3:$GG$3,MATCH($AT31,$FA$4:$FA$35,0),0))*((IF($BE29=$BE31,$FB$3:$GG$3=$AT29,0))+(IF($BE32=$BE31,$FB$3:$GG$3=$AT32,0))+(IF($BE30=$BE31,$FB$3:$GG$3=$AT30,0))))</f>
        <v>0</v>
      </c>
      <c r="BI31" s="4" cm="1">
        <f t="array" aca="1" ref="BI31" ca="1">SUMPRODUCT((OFFSET($CL$3:$DQ$3,MATCH($AT31,$CK$4:$CK$35,0),0))*((IF($BE29&lt;&gt;$BE31,$CL$3:$DQ$3=$AT29,0))+(IF($BE32&lt;&gt;$BE31,$CL$3:$DQ$3=$AT32,0))+(IF($BE30&lt;&gt;$BE31,$CL$3:$DQ$3=$AT30,0))))</f>
        <v>0</v>
      </c>
      <c r="BJ31" s="4" cm="1">
        <f t="array" aca="1" ref="BJ31" ca="1">SUMPRODUCT((OFFSET($DT$3:$EY$3,MATCH($AT31,$DS$4:$DS$35,0),0))*((IF($BE29&lt;&gt;$BE31,$DT$3:$EY$3=$AT29,0))+(IF($BE32&lt;&gt;$BE31,$DT$3:$EY$3=$AT32,0))+(IF($BE30&lt;&gt;$BE31,$DT$3:$EY$3=$AT30,0))))</f>
        <v>0</v>
      </c>
      <c r="BK31" s="4" cm="1">
        <f t="array" aca="1" ref="BK31" ca="1">SUMPRODUCT((OFFSET($FB$3:$GG$3,MATCH($AT31,$FA$4:$FA$35,0),0))*((IF($BE29&lt;&gt;$BE31,$FB$3:$GG$3=$AT29,0))+(IF($BE32&lt;&gt;$BE31,$FB$3:$GG$3=$AT32,0))+(IF($BE30&lt;&gt;$BE31,$FB$3:$GG$3=$AT30,0))))</f>
        <v>0</v>
      </c>
      <c r="BL31" s="4">
        <f t="shared" si="10"/>
        <v>0</v>
      </c>
      <c r="BM31" s="4">
        <f t="shared" si="11"/>
        <v>0</v>
      </c>
      <c r="BN31" s="4">
        <f ca="1">(BF31/10)+(BG31/100)+(BH31/1000)+(BJ31/10000)+(BK31/100000)+(BL31/1000000)+(BM31/10000000)+(ROW(BI30)/100000000)</f>
        <v>2.9999999999999999E-7</v>
      </c>
      <c r="BO31" s="4">
        <f ca="1">+BE31-BN31</f>
        <v>0.99999970000000005</v>
      </c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K31" s="4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4"/>
      <c r="DS31" s="4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4"/>
      <c r="FA31" s="4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37"/>
      <c r="GC31" s="37"/>
      <c r="GD31" s="37"/>
      <c r="GE31" s="37"/>
      <c r="GF31" s="37"/>
      <c r="GG31" s="37"/>
      <c r="GH31" s="75"/>
      <c r="GI31" s="157"/>
      <c r="GJ31" s="157"/>
      <c r="GK31" s="75"/>
      <c r="GL31" s="75"/>
      <c r="GM31" s="75"/>
      <c r="GN31" s="75"/>
      <c r="GO31" s="75"/>
      <c r="GP31" s="75"/>
    </row>
    <row r="32" spans="1:211" s="11" customFormat="1" ht="30" customHeight="1" x14ac:dyDescent="0.25">
      <c r="A32" s="20"/>
      <c r="B32" s="122">
        <v>29</v>
      </c>
      <c r="C32" s="122" t="s">
        <v>6</v>
      </c>
      <c r="D32" s="123">
        <v>45468</v>
      </c>
      <c r="E32" s="122" t="s">
        <v>79</v>
      </c>
      <c r="F32" s="124">
        <v>0.875</v>
      </c>
      <c r="G32" s="125">
        <f t="shared" si="8"/>
        <v>45468.625</v>
      </c>
      <c r="H32" s="122" t="s">
        <v>117</v>
      </c>
      <c r="I32" s="126"/>
      <c r="J32" s="118"/>
      <c r="K32" s="118"/>
      <c r="L32" s="119" t="str">
        <f>IF(tblActuals[[#This Row],[SCORE]]="","",IF(Q32=R32,"Draw",IF(Q32&gt;R32,M32,N32)))</f>
        <v/>
      </c>
      <c r="M32" s="120" t="str">
        <f>IF(tblActuals[[#This Row],[TEAMS]]="","",LEFT(H32,FIND(" -",H32,1)-1))</f>
        <v>England</v>
      </c>
      <c r="N32" s="120" t="str">
        <f>IF(tblActuals[[#This Row],[TEAMS]]="","",MID(H32,FIND("-",H32,1)+2,LEN(H32)-FIND("-",H32,1)+2))</f>
        <v>Slovenia</v>
      </c>
      <c r="O32" s="120" t="str">
        <f>IF(tblActuals[[#This Row],[Team 1 Goals]]&gt;tblActuals[[#This Row],[Team 2 Goals]],tblActuals[[#This Row],[Team 1]],IF(tblActuals[[#This Row],[Team 2 Goals]]&gt;tblActuals[[#This Row],[Team 1 Goals]],tblActuals[[#This Row],[Team 2]],""))</f>
        <v/>
      </c>
      <c r="P32" s="120" t="str">
        <f>IF(tblActuals[[#This Row],[Winner]]=tblActuals[[#This Row],[Team 1]],tblActuals[[#This Row],[Team 2]],IF(tblActuals[[#This Row],[Winner]]=tblActuals[[#This Row],[Team 2]],tblActuals[[#This Row],[Team 1]],""))</f>
        <v/>
      </c>
      <c r="Q32" s="120" t="str">
        <f>IF(tblActuals[[#This Row],[SCORE]]="","",LEFT(I32,FIND(":",I32,1)-1)*1)</f>
        <v/>
      </c>
      <c r="R32" s="120" t="str">
        <f>IF(tblActuals[[#This Row],[SCORE]]="","",MID(I32,FIND(":",I32,1)+1,LEN(I32)-FIND(":",I32,1)+1)*1)</f>
        <v/>
      </c>
      <c r="S32" s="120" t="str">
        <f>IF(OR(tblActuals[[#This Row],[Team 1 Goals]]="",tblActuals[[#This Row],[Team 2 Goals]]=""),"",tblActuals[[#This Row],[Team 1 Goals]]-tblActuals[[#This Row],[Team 2 Goals]])</f>
        <v/>
      </c>
      <c r="T32" s="120" t="str">
        <f>IF(OR(tblActuals[[#This Row],[Team 1 Goals]]="",tblActuals[[#This Row],[Team 2 Goals]]=""),"",tblActuals[[#This Row],[Team 2 Goals]]-tblActuals[[#This Row],[Team 1 Goals]])</f>
        <v/>
      </c>
      <c r="U32" s="120" t="str">
        <f>IF(tblActuals[[#This Row],[SCORE]]="","",IF(tblActuals[[#This Row],[WINNER / RESULT]]="Draw",1,IF(tblActuals[[#This Row],[WINNER / RESULT]]=tblActuals[[#This Row],[Team 1]],3,0)))</f>
        <v/>
      </c>
      <c r="V32" s="120" t="str">
        <f>IF(tblActuals[[#This Row],[SCORE]]="","",IF(tblActuals[[#This Row],[WINNER / RESULT]]="Draw",1,IF(tblActuals[[#This Row],[WINNER / RESULT]]=tblActuals[[#This Row],[Team 2]],3,0)))</f>
        <v/>
      </c>
      <c r="W32" s="121"/>
      <c r="X32" s="121"/>
      <c r="Y32" s="121"/>
      <c r="Z32" s="121"/>
      <c r="AA32" s="120" t="e">
        <f>tblActuals[[#This Row],[Team 1 Goals]]+tblActuals[[#This Row],[Team 1 ET Goals]]&amp;":"&amp;tblActuals[[#This Row],[Team 2 Goals]]+tblActuals[[#This Row],[Team 2 ET Goals]]</f>
        <v>#VALUE!</v>
      </c>
      <c r="AB32" s="120" t="e">
        <f>+tblActuals[[#This Row],[Team 1 Goals]]+tblActuals[[#This Row],[Team 2 Goals]]</f>
        <v>#VALUE!</v>
      </c>
      <c r="AC32" s="165">
        <f t="shared" si="0"/>
        <v>45468</v>
      </c>
      <c r="AD32" s="166">
        <f t="shared" si="9"/>
        <v>34.200000000000003</v>
      </c>
      <c r="AJ32" s="77" t="s">
        <v>12</v>
      </c>
      <c r="AK32" s="142">
        <v>3</v>
      </c>
      <c r="AL32" s="143" t="str">
        <f ca="1">IFERROR(INDEX(AT:AT,MATCH("3"&amp;AJ32,BD:BD,0),1),"")</f>
        <v>Slovakia</v>
      </c>
      <c r="AM32" s="143" t="str">
        <f ca="1">IF(AL32="","",VLOOKUP(AL32,AT:AY,2,FALSE)&amp;"-"&amp;VLOOKUP(AL32,AT:AY,3,FALSE)&amp;"-"&amp;VLOOKUP(AL32,AT:AY,4,FALSE))</f>
        <v>0-0-0</v>
      </c>
      <c r="AN32" s="143">
        <f ca="1">IF(AL32="","",VLOOKUP(AL32,AT:BA,8,FALSE))</f>
        <v>0</v>
      </c>
      <c r="AO32" s="144">
        <f ca="1">IF(AL32="","",VLOOKUP(AL32,AT:BD,5,FALSE))</f>
        <v>0</v>
      </c>
      <c r="AP32" s="75" t="str">
        <f ca="1">IF(INDEX($AK$43:$AK$48,MATCH(AL32,$AL$43:$AL$48,0),1)&lt;=4,"X","")</f>
        <v>X</v>
      </c>
      <c r="AQ32" s="4"/>
      <c r="AR32" s="4"/>
      <c r="AS32" s="4" t="s">
        <v>45</v>
      </c>
      <c r="AT32" s="4" t="s">
        <v>133</v>
      </c>
      <c r="AU32" s="4">
        <f>COUNTIF(tblActuals[Winner],AT32)</f>
        <v>0</v>
      </c>
      <c r="AV32" s="4">
        <f>COUNTIFS(tblActuals[Team 2],AT32,tblActuals[WINNER / RESULT],"Draw")+COUNTIFS(tblActuals[Team 1],AT32,tblActuals[WINNER / RESULT],"Draw")</f>
        <v>0</v>
      </c>
      <c r="AW32" s="4">
        <f>COUNTIF(tblActuals[Loser],AT32)</f>
        <v>0</v>
      </c>
      <c r="AX32" s="4">
        <f>AV32+(3*AU32)</f>
        <v>0</v>
      </c>
      <c r="AY32" s="4">
        <f>SUMIFS(tblActuals[Team 1 Goals],tblActuals[Team 1],AT32)+SUMIFS(tblActuals[Team 2 Goals],tblActuals[Team 2],AT32)</f>
        <v>0</v>
      </c>
      <c r="AZ32" s="4">
        <f>SUMIFS(tblActuals[Team 2 Goals],tblActuals[Team 1],AT32)+SUMIFS(tblActuals[Team 1 Goals],tblActuals[Team 2],AT32)</f>
        <v>0</v>
      </c>
      <c r="BA32" s="4">
        <f>AY32-AZ32</f>
        <v>0</v>
      </c>
      <c r="BB32" s="4">
        <f ca="1">RANK(BO32,$BO$29:$BO$32,1)</f>
        <v>4</v>
      </c>
      <c r="BC32" s="4" t="str">
        <f t="shared" si="1"/>
        <v/>
      </c>
      <c r="BD32" s="4" t="str">
        <f ca="1">IF(BC32="",BB32&amp;AS32,BC32&amp;AS32)</f>
        <v>4F</v>
      </c>
      <c r="BE32" s="4">
        <f>RANK(AX32,$AX$29:$AX$32,0)</f>
        <v>1</v>
      </c>
      <c r="BF32" s="4" cm="1">
        <f t="array" aca="1" ref="BF32" ca="1">SUMPRODUCT((OFFSET($CL$3:$DQ$3,MATCH($AT32,$CK$4:$CK$35,0),0))*((IF($BE30=$BE32,$CL$3:$DQ$3=$AT30,0))+(IF($BE29=$BE32,$CL$3:$DQ$3=$AT29,0))+(IF($BE31=$BE32,$CL$3:$DQ$3=$AT31,0))))</f>
        <v>0</v>
      </c>
      <c r="BG32" s="4" cm="1">
        <f t="array" aca="1" ref="BG32" ca="1">SUMPRODUCT((OFFSET($DT$3:$EY$3,MATCH($AT32,$DS$4:$DS$35,0),0))*((IF($BE30=$BE32,$DT$3:$EY$3=$AT30,0))+(IF($BE29=$BE32,$DT$3:$EY$3=$AT29,0))+(IF($BE31=$BE32,$DT$3:$EY$3=$AT31,0))))</f>
        <v>0</v>
      </c>
      <c r="BH32" s="4" cm="1">
        <f t="array" aca="1" ref="BH32" ca="1">SUMPRODUCT((OFFSET($FB$3:$GG$3,MATCH($AT32,$FA$4:$FA$35,0),0))*((IF($BE30=$BE32,$FB$3:$GG$3=$AT30,0))+(IF($BE29=$BE32,$FB$3:$GG$3=$AT29,0))+(IF($BE31=$BE32,$FB$3:$GG$3=$AT31,0))))</f>
        <v>0</v>
      </c>
      <c r="BI32" s="4" cm="1">
        <f t="array" aca="1" ref="BI32" ca="1">SUMPRODUCT((OFFSET($CL$3:$DQ$3,MATCH($AT32,$CK$4:$CK$35,0),0))*((IF($BE30&lt;&gt;$BE32,$CL$3:$DQ$3=$AT30,0))+(IF($BE29&lt;&gt;$BE32,$CL$3:$DQ$3=$AT29,0))+(IF($BE31&lt;&gt;$BE32,$CL$3:$DQ$3=$AT31,0))))</f>
        <v>0</v>
      </c>
      <c r="BJ32" s="4" cm="1">
        <f t="array" aca="1" ref="BJ32" ca="1">SUMPRODUCT((OFFSET($DT$3:$EY$3,MATCH($AT32,$DS$4:$DS$35,0),0))*((IF($BE30&lt;&gt;$BE32,$DT$3:$EY$3=$AT30,0))+(IF($BE29&lt;&gt;$BE32,$DT$3:$EY$3=$AT29,0))+(IF($BE31&lt;&gt;$BE32,$DT$3:$EY$3=$AT31,0))))</f>
        <v>0</v>
      </c>
      <c r="BK32" s="4" cm="1">
        <f t="array" aca="1" ref="BK32" ca="1">SUMPRODUCT((OFFSET($FB$3:$GG$3,MATCH($AT32,$FA$4:$FA$35,0),0))*((IF($BE30&lt;&gt;$BE32,$FB$3:$GG$3=$AT30,0))+(IF($BE29&lt;&gt;$BE32,$FB$3:$GG$3=$AT29,0))+(IF($BE31&lt;&gt;$BE32,$FB$3:$GG$3=$AT31,0))))</f>
        <v>0</v>
      </c>
      <c r="BL32" s="4">
        <f t="shared" si="10"/>
        <v>0</v>
      </c>
      <c r="BM32" s="4">
        <f t="shared" si="11"/>
        <v>0</v>
      </c>
      <c r="BN32" s="4">
        <f ca="1">(BF32/10)+(BG32/100)+(BH32/1000)+(BJ32/10000)+(BK32/100000)+(BL32/1000000)+(BM32/10000000)+(ROW(BI29)/100000000)</f>
        <v>2.8999999999999998E-7</v>
      </c>
      <c r="BO32" s="4">
        <f ca="1">+BE32-BN32</f>
        <v>0.99999970999999999</v>
      </c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K32" s="4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4"/>
      <c r="DS32" s="4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4"/>
      <c r="FA32" s="4"/>
      <c r="FB32" s="57"/>
      <c r="FC32" s="57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37"/>
      <c r="GC32" s="37"/>
      <c r="GD32" s="37"/>
      <c r="GE32" s="37"/>
      <c r="GF32" s="37"/>
      <c r="GG32" s="37"/>
      <c r="GH32" s="75"/>
      <c r="GI32" s="157"/>
      <c r="GJ32" s="157"/>
      <c r="GK32" s="79"/>
      <c r="GL32" s="79"/>
      <c r="GM32" s="79"/>
      <c r="GN32" s="79"/>
      <c r="GO32" s="79"/>
      <c r="GP32" s="79"/>
    </row>
    <row r="33" spans="1:198" s="11" customFormat="1" ht="30" customHeight="1" thickBot="1" x14ac:dyDescent="0.3">
      <c r="A33" s="20"/>
      <c r="B33" s="122">
        <v>30</v>
      </c>
      <c r="C33" s="122" t="s">
        <v>6</v>
      </c>
      <c r="D33" s="123">
        <v>45468</v>
      </c>
      <c r="E33" s="122" t="s">
        <v>78</v>
      </c>
      <c r="F33" s="124">
        <v>0.875</v>
      </c>
      <c r="G33" s="125">
        <f t="shared" si="8"/>
        <v>45468.625</v>
      </c>
      <c r="H33" s="122" t="s">
        <v>118</v>
      </c>
      <c r="I33" s="126"/>
      <c r="J33" s="118"/>
      <c r="K33" s="118"/>
      <c r="L33" s="119" t="str">
        <f>IF(tblActuals[[#This Row],[SCORE]]="","",IF(Q33=R33,"Draw",IF(Q33&gt;R33,M33,N33)))</f>
        <v/>
      </c>
      <c r="M33" s="120" t="str">
        <f>IF(tblActuals[[#This Row],[TEAMS]]="","",LEFT(H33,FIND(" -",H33,1)-1))</f>
        <v>Denmark</v>
      </c>
      <c r="N33" s="120" t="str">
        <f>IF(tblActuals[[#This Row],[TEAMS]]="","",MID(H33,FIND("-",H33,1)+2,LEN(H33)-FIND("-",H33,1)+2))</f>
        <v>Serbia</v>
      </c>
      <c r="O33" s="120" t="str">
        <f>IF(tblActuals[[#This Row],[Team 1 Goals]]&gt;tblActuals[[#This Row],[Team 2 Goals]],tblActuals[[#This Row],[Team 1]],IF(tblActuals[[#This Row],[Team 2 Goals]]&gt;tblActuals[[#This Row],[Team 1 Goals]],tblActuals[[#This Row],[Team 2]],""))</f>
        <v/>
      </c>
      <c r="P33" s="120" t="str">
        <f>IF(tblActuals[[#This Row],[Winner]]=tblActuals[[#This Row],[Team 1]],tblActuals[[#This Row],[Team 2]],IF(tblActuals[[#This Row],[Winner]]=tblActuals[[#This Row],[Team 2]],tblActuals[[#This Row],[Team 1]],""))</f>
        <v/>
      </c>
      <c r="Q33" s="120" t="str">
        <f>IF(tblActuals[[#This Row],[SCORE]]="","",LEFT(I33,FIND(":",I33,1)-1)*1)</f>
        <v/>
      </c>
      <c r="R33" s="120" t="str">
        <f>IF(tblActuals[[#This Row],[SCORE]]="","",MID(I33,FIND(":",I33,1)+1,LEN(I33)-FIND(":",I33,1)+1)*1)</f>
        <v/>
      </c>
      <c r="S33" s="120" t="str">
        <f>IF(OR(tblActuals[[#This Row],[Team 1 Goals]]="",tblActuals[[#This Row],[Team 2 Goals]]=""),"",tblActuals[[#This Row],[Team 1 Goals]]-tblActuals[[#This Row],[Team 2 Goals]])</f>
        <v/>
      </c>
      <c r="T33" s="120" t="str">
        <f>IF(OR(tblActuals[[#This Row],[Team 1 Goals]]="",tblActuals[[#This Row],[Team 2 Goals]]=""),"",tblActuals[[#This Row],[Team 2 Goals]]-tblActuals[[#This Row],[Team 1 Goals]])</f>
        <v/>
      </c>
      <c r="U33" s="120" t="str">
        <f>IF(tblActuals[[#This Row],[SCORE]]="","",IF(tblActuals[[#This Row],[WINNER / RESULT]]="Draw",1,IF(tblActuals[[#This Row],[WINNER / RESULT]]=tblActuals[[#This Row],[Team 1]],3,0)))</f>
        <v/>
      </c>
      <c r="V33" s="120" t="str">
        <f>IF(tblActuals[[#This Row],[SCORE]]="","",IF(tblActuals[[#This Row],[WINNER / RESULT]]="Draw",1,IF(tblActuals[[#This Row],[WINNER / RESULT]]=tblActuals[[#This Row],[Team 2]],3,0)))</f>
        <v/>
      </c>
      <c r="W33" s="121"/>
      <c r="X33" s="121"/>
      <c r="Y33" s="121"/>
      <c r="Z33" s="121"/>
      <c r="AA33" s="120" t="e">
        <f>tblActuals[[#This Row],[Team 1 Goals]]+tblActuals[[#This Row],[Team 1 ET Goals]]&amp;":"&amp;tblActuals[[#This Row],[Team 2 Goals]]+tblActuals[[#This Row],[Team 2 ET Goals]]</f>
        <v>#VALUE!</v>
      </c>
      <c r="AB33" s="120" t="e">
        <f>+tblActuals[[#This Row],[Team 1 Goals]]+tblActuals[[#This Row],[Team 2 Goals]]</f>
        <v>#VALUE!</v>
      </c>
      <c r="AC33" s="165">
        <f t="shared" si="0"/>
        <v>45468</v>
      </c>
      <c r="AD33" s="166">
        <f t="shared" si="9"/>
        <v>34.299999999999997</v>
      </c>
      <c r="AJ33" s="77" t="s">
        <v>12</v>
      </c>
      <c r="AK33" s="145">
        <v>4</v>
      </c>
      <c r="AL33" s="146" t="str">
        <f ca="1">IFERROR(INDEX(AT:AT,MATCH("4"&amp;AJ33,BD:BD,0),1),"")</f>
        <v>Ukraine</v>
      </c>
      <c r="AM33" s="146" t="str">
        <f ca="1">IF(AL33="","",VLOOKUP(AL33,AT:AY,2,FALSE)&amp;"-"&amp;VLOOKUP(AL33,AT:AY,3,FALSE)&amp;"-"&amp;VLOOKUP(AL33,AT:AY,4,FALSE))</f>
        <v>0-0-0</v>
      </c>
      <c r="AN33" s="146">
        <f ca="1">IF(AL33="","",VLOOKUP(AL33,AT:BA,8,FALSE))</f>
        <v>0</v>
      </c>
      <c r="AO33" s="147">
        <f ca="1">IF(AL33="","",VLOOKUP(AL33,AT:BD,5,FALSE))</f>
        <v>0</v>
      </c>
      <c r="AP33" s="75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K33" s="4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4"/>
      <c r="DS33" s="4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4"/>
      <c r="FA33" s="4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37"/>
      <c r="GC33" s="37"/>
      <c r="GD33" s="37"/>
      <c r="GE33" s="37"/>
      <c r="GF33" s="37"/>
      <c r="GG33" s="37"/>
      <c r="GH33" s="75"/>
      <c r="GI33" s="157"/>
      <c r="GJ33" s="157"/>
      <c r="GK33" s="79"/>
      <c r="GL33" s="79"/>
      <c r="GM33" s="79"/>
      <c r="GN33" s="79"/>
      <c r="GO33" s="79"/>
      <c r="GP33" s="79"/>
    </row>
    <row r="34" spans="1:198" s="11" customFormat="1" ht="30" customHeight="1" thickBot="1" x14ac:dyDescent="0.3">
      <c r="A34" s="20"/>
      <c r="B34" s="122">
        <v>31</v>
      </c>
      <c r="C34" s="122" t="s">
        <v>7</v>
      </c>
      <c r="D34" s="123">
        <v>45468</v>
      </c>
      <c r="E34" s="122" t="s">
        <v>80</v>
      </c>
      <c r="F34" s="124">
        <v>0.75</v>
      </c>
      <c r="G34" s="125">
        <f t="shared" si="8"/>
        <v>45468.5</v>
      </c>
      <c r="H34" s="122" t="s">
        <v>141</v>
      </c>
      <c r="I34" s="126"/>
      <c r="J34" s="118"/>
      <c r="K34" s="118"/>
      <c r="L34" s="119" t="str">
        <f>IF(tblActuals[[#This Row],[SCORE]]="","",IF(Q34=R34,"Draw",IF(Q34&gt;R34,M34,N34)))</f>
        <v/>
      </c>
      <c r="M34" s="120" t="str">
        <f>IF(tblActuals[[#This Row],[TEAMS]]="","",LEFT(H34,FIND(" -",H34,1)-1))</f>
        <v>Netherlands</v>
      </c>
      <c r="N34" s="120" t="str">
        <f>IF(tblActuals[[#This Row],[TEAMS]]="","",MID(H34,FIND("-",H34,1)+2,LEN(H34)-FIND("-",H34,1)+2))</f>
        <v>Austria</v>
      </c>
      <c r="O34" s="120" t="str">
        <f>IF(tblActuals[[#This Row],[Team 1 Goals]]&gt;tblActuals[[#This Row],[Team 2 Goals]],tblActuals[[#This Row],[Team 1]],IF(tblActuals[[#This Row],[Team 2 Goals]]&gt;tblActuals[[#This Row],[Team 1 Goals]],tblActuals[[#This Row],[Team 2]],""))</f>
        <v/>
      </c>
      <c r="P34" s="120" t="str">
        <f>IF(tblActuals[[#This Row],[Winner]]=tblActuals[[#This Row],[Team 1]],tblActuals[[#This Row],[Team 2]],IF(tblActuals[[#This Row],[Winner]]=tblActuals[[#This Row],[Team 2]],tblActuals[[#This Row],[Team 1]],""))</f>
        <v/>
      </c>
      <c r="Q34" s="120" t="str">
        <f>IF(tblActuals[[#This Row],[SCORE]]="","",LEFT(I34,FIND(":",I34,1)-1)*1)</f>
        <v/>
      </c>
      <c r="R34" s="120" t="str">
        <f>IF(tblActuals[[#This Row],[SCORE]]="","",MID(I34,FIND(":",I34,1)+1,LEN(I34)-FIND(":",I34,1)+1)*1)</f>
        <v/>
      </c>
      <c r="S34" s="120" t="str">
        <f>IF(OR(tblActuals[[#This Row],[Team 1 Goals]]="",tblActuals[[#This Row],[Team 2 Goals]]=""),"",tblActuals[[#This Row],[Team 1 Goals]]-tblActuals[[#This Row],[Team 2 Goals]])</f>
        <v/>
      </c>
      <c r="T34" s="120" t="str">
        <f>IF(OR(tblActuals[[#This Row],[Team 1 Goals]]="",tblActuals[[#This Row],[Team 2 Goals]]=""),"",tblActuals[[#This Row],[Team 2 Goals]]-tblActuals[[#This Row],[Team 1 Goals]])</f>
        <v/>
      </c>
      <c r="U34" s="120" t="str">
        <f>IF(tblActuals[[#This Row],[SCORE]]="","",IF(tblActuals[[#This Row],[WINNER / RESULT]]="Draw",1,IF(tblActuals[[#This Row],[WINNER / RESULT]]=tblActuals[[#This Row],[Team 1]],3,0)))</f>
        <v/>
      </c>
      <c r="V34" s="120" t="str">
        <f>IF(tblActuals[[#This Row],[SCORE]]="","",IF(tblActuals[[#This Row],[WINNER / RESULT]]="Draw",1,IF(tblActuals[[#This Row],[WINNER / RESULT]]=tblActuals[[#This Row],[Team 2]],3,0)))</f>
        <v/>
      </c>
      <c r="W34" s="121"/>
      <c r="X34" s="121"/>
      <c r="Y34" s="121"/>
      <c r="Z34" s="121"/>
      <c r="AA34" s="120" t="e">
        <f>tblActuals[[#This Row],[Team 1 Goals]]+tblActuals[[#This Row],[Team 1 ET Goals]]&amp;":"&amp;tblActuals[[#This Row],[Team 2 Goals]]+tblActuals[[#This Row],[Team 2 ET Goals]]</f>
        <v>#VALUE!</v>
      </c>
      <c r="AB34" s="120" t="e">
        <f>+tblActuals[[#This Row],[Team 1 Goals]]+tblActuals[[#This Row],[Team 2 Goals]]</f>
        <v>#VALUE!</v>
      </c>
      <c r="AC34" s="165">
        <f t="shared" si="0"/>
        <v>45468</v>
      </c>
      <c r="AD34" s="166">
        <f t="shared" si="9"/>
        <v>32.4</v>
      </c>
      <c r="AJ34" s="77"/>
      <c r="AK34" s="148"/>
      <c r="AL34" s="148"/>
      <c r="AM34" s="148"/>
      <c r="AN34" s="148"/>
      <c r="AO34" s="148"/>
      <c r="AP34" s="75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K34" s="4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4"/>
      <c r="DS34" s="4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4"/>
      <c r="FA34" s="4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37"/>
      <c r="GC34" s="37"/>
      <c r="GD34" s="37"/>
      <c r="GE34" s="37"/>
      <c r="GF34" s="37"/>
      <c r="GG34" s="37"/>
      <c r="GH34" s="75"/>
      <c r="GI34" s="157"/>
      <c r="GJ34" s="157"/>
      <c r="GK34" s="79"/>
      <c r="GL34" s="79"/>
      <c r="GM34" s="79"/>
      <c r="GN34" s="79"/>
      <c r="GO34" s="79"/>
      <c r="GP34" s="79"/>
    </row>
    <row r="35" spans="1:198" s="11" customFormat="1" ht="30" customHeight="1" thickBot="1" x14ac:dyDescent="0.3">
      <c r="A35" s="20"/>
      <c r="B35" s="122">
        <v>32</v>
      </c>
      <c r="C35" s="122" t="s">
        <v>7</v>
      </c>
      <c r="D35" s="123">
        <v>45468</v>
      </c>
      <c r="E35" s="122" t="s">
        <v>81</v>
      </c>
      <c r="F35" s="124">
        <v>0.75</v>
      </c>
      <c r="G35" s="125">
        <f t="shared" si="8"/>
        <v>45468.5</v>
      </c>
      <c r="H35" s="122" t="s">
        <v>119</v>
      </c>
      <c r="I35" s="126"/>
      <c r="J35" s="118"/>
      <c r="K35" s="118"/>
      <c r="L35" s="119" t="str">
        <f>IF(tblActuals[[#This Row],[SCORE]]="","",IF(Q35=R35,"Draw",IF(Q35&gt;R35,M35,N35)))</f>
        <v/>
      </c>
      <c r="M35" s="120" t="str">
        <f>IF(tblActuals[[#This Row],[TEAMS]]="","",LEFT(H35,FIND(" -",H35,1)-1))</f>
        <v>France</v>
      </c>
      <c r="N35" s="120" t="str">
        <f>IF(tblActuals[[#This Row],[TEAMS]]="","",MID(H35,FIND("-",H35,1)+2,LEN(H35)-FIND("-",H35,1)+2))</f>
        <v>Poland</v>
      </c>
      <c r="O35" s="120" t="str">
        <f>IF(tblActuals[[#This Row],[Team 1 Goals]]&gt;tblActuals[[#This Row],[Team 2 Goals]],tblActuals[[#This Row],[Team 1]],IF(tblActuals[[#This Row],[Team 2 Goals]]&gt;tblActuals[[#This Row],[Team 1 Goals]],tblActuals[[#This Row],[Team 2]],""))</f>
        <v/>
      </c>
      <c r="P35" s="120" t="str">
        <f>IF(tblActuals[[#This Row],[Winner]]=tblActuals[[#This Row],[Team 1]],tblActuals[[#This Row],[Team 2]],IF(tblActuals[[#This Row],[Winner]]=tblActuals[[#This Row],[Team 2]],tblActuals[[#This Row],[Team 1]],""))</f>
        <v/>
      </c>
      <c r="Q35" s="120" t="str">
        <f>IF(tblActuals[[#This Row],[SCORE]]="","",LEFT(I35,FIND(":",I35,1)-1)*1)</f>
        <v/>
      </c>
      <c r="R35" s="120" t="str">
        <f>IF(tblActuals[[#This Row],[SCORE]]="","",MID(I35,FIND(":",I35,1)+1,LEN(I35)-FIND(":",I35,1)+1)*1)</f>
        <v/>
      </c>
      <c r="S35" s="120" t="str">
        <f>IF(OR(tblActuals[[#This Row],[Team 1 Goals]]="",tblActuals[[#This Row],[Team 2 Goals]]=""),"",tblActuals[[#This Row],[Team 1 Goals]]-tblActuals[[#This Row],[Team 2 Goals]])</f>
        <v/>
      </c>
      <c r="T35" s="120" t="str">
        <f>IF(OR(tblActuals[[#This Row],[Team 1 Goals]]="",tblActuals[[#This Row],[Team 2 Goals]]=""),"",tblActuals[[#This Row],[Team 2 Goals]]-tblActuals[[#This Row],[Team 1 Goals]])</f>
        <v/>
      </c>
      <c r="U35" s="120" t="str">
        <f>IF(tblActuals[[#This Row],[SCORE]]="","",IF(tblActuals[[#This Row],[WINNER / RESULT]]="Draw",1,IF(tblActuals[[#This Row],[WINNER / RESULT]]=tblActuals[[#This Row],[Team 1]],3,0)))</f>
        <v/>
      </c>
      <c r="V35" s="120" t="str">
        <f>IF(tblActuals[[#This Row],[SCORE]]="","",IF(tblActuals[[#This Row],[WINNER / RESULT]]="Draw",1,IF(tblActuals[[#This Row],[WINNER / RESULT]]=tblActuals[[#This Row],[Team 2]],3,0)))</f>
        <v/>
      </c>
      <c r="W35" s="121"/>
      <c r="X35" s="121"/>
      <c r="Y35" s="121"/>
      <c r="Z35" s="121"/>
      <c r="AA35" s="120" t="e">
        <f>tblActuals[[#This Row],[Team 1 Goals]]+tblActuals[[#This Row],[Team 1 ET Goals]]&amp;":"&amp;tblActuals[[#This Row],[Team 2 Goals]]+tblActuals[[#This Row],[Team 2 ET Goals]]</f>
        <v>#VALUE!</v>
      </c>
      <c r="AB35" s="120" t="e">
        <f>+tblActuals[[#This Row],[Team 1 Goals]]+tblActuals[[#This Row],[Team 2 Goals]]</f>
        <v>#VALUE!</v>
      </c>
      <c r="AC35" s="165">
        <f t="shared" si="0"/>
        <v>45468</v>
      </c>
      <c r="AD35" s="166">
        <f t="shared" si="9"/>
        <v>32.5</v>
      </c>
      <c r="AJ35" s="78"/>
      <c r="AK35" s="179" t="s">
        <v>56</v>
      </c>
      <c r="AL35" s="180"/>
      <c r="AM35" s="133" t="s">
        <v>46</v>
      </c>
      <c r="AN35" s="134" t="s">
        <v>57</v>
      </c>
      <c r="AO35" s="135" t="s">
        <v>11</v>
      </c>
      <c r="AP35" s="75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K35" s="4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4"/>
      <c r="DS35" s="4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4"/>
      <c r="FA35" s="4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37"/>
      <c r="GC35" s="37"/>
      <c r="GD35" s="37"/>
      <c r="GE35" s="37"/>
      <c r="GF35" s="37"/>
      <c r="GG35" s="37"/>
      <c r="GH35" s="75"/>
      <c r="GI35" s="157"/>
      <c r="GJ35" s="157"/>
      <c r="GK35" s="79"/>
      <c r="GL35" s="79"/>
      <c r="GM35" s="79"/>
      <c r="GN35" s="79"/>
      <c r="GO35" s="79"/>
      <c r="GP35" s="79"/>
    </row>
    <row r="36" spans="1:198" s="11" customFormat="1" ht="30" customHeight="1" x14ac:dyDescent="0.25">
      <c r="A36" s="20"/>
      <c r="B36" s="122">
        <v>33</v>
      </c>
      <c r="C36" s="122" t="s">
        <v>12</v>
      </c>
      <c r="D36" s="123">
        <v>45469</v>
      </c>
      <c r="E36" s="122" t="s">
        <v>86</v>
      </c>
      <c r="F36" s="124">
        <v>0.75</v>
      </c>
      <c r="G36" s="125">
        <f t="shared" si="8"/>
        <v>45469.5</v>
      </c>
      <c r="H36" s="122" t="s">
        <v>120</v>
      </c>
      <c r="I36" s="126"/>
      <c r="J36" s="118"/>
      <c r="K36" s="118"/>
      <c r="L36" s="119" t="str">
        <f>IF(tblActuals[[#This Row],[SCORE]]="","",IF(Q36=R36,"Draw",IF(Q36&gt;R36,M36,N36)))</f>
        <v/>
      </c>
      <c r="M36" s="120" t="str">
        <f>IF(tblActuals[[#This Row],[TEAMS]]="","",LEFT(H36,FIND(" -",H36,1)-1))</f>
        <v>Slovakia</v>
      </c>
      <c r="N36" s="120" t="str">
        <f>IF(tblActuals[[#This Row],[TEAMS]]="","",MID(H36,FIND("-",H36,1)+2,LEN(H36)-FIND("-",H36,1)+2))</f>
        <v>Romania</v>
      </c>
      <c r="O36" s="120" t="str">
        <f>IF(tblActuals[[#This Row],[Team 1 Goals]]&gt;tblActuals[[#This Row],[Team 2 Goals]],tblActuals[[#This Row],[Team 1]],IF(tblActuals[[#This Row],[Team 2 Goals]]&gt;tblActuals[[#This Row],[Team 1 Goals]],tblActuals[[#This Row],[Team 2]],""))</f>
        <v/>
      </c>
      <c r="P36" s="120" t="str">
        <f>IF(tblActuals[[#This Row],[Winner]]=tblActuals[[#This Row],[Team 1]],tblActuals[[#This Row],[Team 2]],IF(tblActuals[[#This Row],[Winner]]=tblActuals[[#This Row],[Team 2]],tblActuals[[#This Row],[Team 1]],""))</f>
        <v/>
      </c>
      <c r="Q36" s="120" t="str">
        <f>IF(tblActuals[[#This Row],[SCORE]]="","",LEFT(I36,FIND(":",I36,1)-1)*1)</f>
        <v/>
      </c>
      <c r="R36" s="120" t="str">
        <f>IF(tblActuals[[#This Row],[SCORE]]="","",MID(I36,FIND(":",I36,1)+1,LEN(I36)-FIND(":",I36,1)+1)*1)</f>
        <v/>
      </c>
      <c r="S36" s="120" t="str">
        <f>IF(OR(tblActuals[[#This Row],[Team 1 Goals]]="",tblActuals[[#This Row],[Team 2 Goals]]=""),"",tblActuals[[#This Row],[Team 1 Goals]]-tblActuals[[#This Row],[Team 2 Goals]])</f>
        <v/>
      </c>
      <c r="T36" s="120" t="str">
        <f>IF(OR(tblActuals[[#This Row],[Team 1 Goals]]="",tblActuals[[#This Row],[Team 2 Goals]]=""),"",tblActuals[[#This Row],[Team 2 Goals]]-tblActuals[[#This Row],[Team 1 Goals]])</f>
        <v/>
      </c>
      <c r="U36" s="120" t="str">
        <f>IF(tblActuals[[#This Row],[SCORE]]="","",IF(tblActuals[[#This Row],[WINNER / RESULT]]="Draw",1,IF(tblActuals[[#This Row],[WINNER / RESULT]]=tblActuals[[#This Row],[Team 1]],3,0)))</f>
        <v/>
      </c>
      <c r="V36" s="120" t="str">
        <f>IF(tblActuals[[#This Row],[SCORE]]="","",IF(tblActuals[[#This Row],[WINNER / RESULT]]="Draw",1,IF(tblActuals[[#This Row],[WINNER / RESULT]]=tblActuals[[#This Row],[Team 2]],3,0)))</f>
        <v/>
      </c>
      <c r="W36" s="121"/>
      <c r="X36" s="121"/>
      <c r="Y36" s="121"/>
      <c r="Z36" s="121"/>
      <c r="AA36" s="120" t="e">
        <f>tblActuals[[#This Row],[Team 1 Goals]]+tblActuals[[#This Row],[Team 1 ET Goals]]&amp;":"&amp;tblActuals[[#This Row],[Team 2 Goals]]+tblActuals[[#This Row],[Team 2 ET Goals]]</f>
        <v>#VALUE!</v>
      </c>
      <c r="AB36" s="120" t="e">
        <f>+tblActuals[[#This Row],[Team 1 Goals]]+tblActuals[[#This Row],[Team 2 Goals]]</f>
        <v>#VALUE!</v>
      </c>
      <c r="AC36" s="165">
        <f t="shared" si="0"/>
        <v>45469</v>
      </c>
      <c r="AD36" s="166">
        <f t="shared" si="9"/>
        <v>36.6</v>
      </c>
      <c r="AJ36" s="77" t="s">
        <v>45</v>
      </c>
      <c r="AK36" s="136">
        <v>1</v>
      </c>
      <c r="AL36" s="137" t="str">
        <f ca="1">IFERROR(INDEX(AT:AT,MATCH("1"&amp;AJ36,BD:BD,0),1),"")</f>
        <v>Czechia</v>
      </c>
      <c r="AM36" s="137" t="str">
        <f ca="1">IF(AL36="","",VLOOKUP(AL36,AT:AY,2,FALSE)&amp;"-"&amp;VLOOKUP(AL36,AT:AY,3,FALSE)&amp;"-"&amp;VLOOKUP(AL36,AT:AY,4,FALSE))</f>
        <v>0-0-0</v>
      </c>
      <c r="AN36" s="137">
        <f ca="1">IF(AL36="","",VLOOKUP(AL36,AT:BA,8,FALSE))</f>
        <v>0</v>
      </c>
      <c r="AO36" s="138">
        <f ca="1">IF(AL36="","",VLOOKUP(AL36,AT:BD,5,FALSE))</f>
        <v>0</v>
      </c>
      <c r="AP36" s="75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K36" s="58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4"/>
      <c r="DS36" s="58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4"/>
      <c r="FA36" s="58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13"/>
      <c r="GC36" s="13"/>
      <c r="GD36" s="13"/>
      <c r="GE36" s="13"/>
      <c r="GF36" s="13"/>
      <c r="GG36" s="13"/>
      <c r="GH36" s="75"/>
      <c r="GI36" s="157"/>
      <c r="GJ36" s="157"/>
      <c r="GK36" s="79"/>
      <c r="GL36" s="79"/>
      <c r="GM36" s="79"/>
      <c r="GN36" s="79"/>
      <c r="GO36" s="79"/>
      <c r="GP36" s="79"/>
    </row>
    <row r="37" spans="1:198" s="11" customFormat="1" ht="30" customHeight="1" x14ac:dyDescent="0.25">
      <c r="A37" s="20"/>
      <c r="B37" s="122">
        <v>34</v>
      </c>
      <c r="C37" s="122" t="s">
        <v>12</v>
      </c>
      <c r="D37" s="123">
        <v>45469</v>
      </c>
      <c r="E37" s="122" t="s">
        <v>83</v>
      </c>
      <c r="F37" s="124">
        <v>0.75</v>
      </c>
      <c r="G37" s="125">
        <f t="shared" si="8"/>
        <v>45469.5</v>
      </c>
      <c r="H37" s="122" t="s">
        <v>121</v>
      </c>
      <c r="I37" s="126"/>
      <c r="J37" s="118"/>
      <c r="K37" s="118"/>
      <c r="L37" s="119" t="str">
        <f>IF(tblActuals[[#This Row],[SCORE]]="","",IF(Q37=R37,"Draw",IF(Q37&gt;R37,M37,N37)))</f>
        <v/>
      </c>
      <c r="M37" s="120" t="str">
        <f>IF(tblActuals[[#This Row],[TEAMS]]="","",LEFT(H37,FIND(" -",H37,1)-1))</f>
        <v>Ukraine</v>
      </c>
      <c r="N37" s="120" t="str">
        <f>IF(tblActuals[[#This Row],[TEAMS]]="","",MID(H37,FIND("-",H37,1)+2,LEN(H37)-FIND("-",H37,1)+2))</f>
        <v>Belgium</v>
      </c>
      <c r="O37" s="120" t="str">
        <f>IF(tblActuals[[#This Row],[Team 1 Goals]]&gt;tblActuals[[#This Row],[Team 2 Goals]],tblActuals[[#This Row],[Team 1]],IF(tblActuals[[#This Row],[Team 2 Goals]]&gt;tblActuals[[#This Row],[Team 1 Goals]],tblActuals[[#This Row],[Team 2]],""))</f>
        <v/>
      </c>
      <c r="P37" s="120" t="str">
        <f>IF(tblActuals[[#This Row],[Winner]]=tblActuals[[#This Row],[Team 1]],tblActuals[[#This Row],[Team 2]],IF(tblActuals[[#This Row],[Winner]]=tblActuals[[#This Row],[Team 2]],tblActuals[[#This Row],[Team 1]],""))</f>
        <v/>
      </c>
      <c r="Q37" s="120" t="str">
        <f>IF(tblActuals[[#This Row],[SCORE]]="","",LEFT(I37,FIND(":",I37,1)-1)*1)</f>
        <v/>
      </c>
      <c r="R37" s="120" t="str">
        <f>IF(tblActuals[[#This Row],[SCORE]]="","",MID(I37,FIND(":",I37,1)+1,LEN(I37)-FIND(":",I37,1)+1)*1)</f>
        <v/>
      </c>
      <c r="S37" s="120" t="str">
        <f>IF(OR(tblActuals[[#This Row],[Team 1 Goals]]="",tblActuals[[#This Row],[Team 2 Goals]]=""),"",tblActuals[[#This Row],[Team 1 Goals]]-tblActuals[[#This Row],[Team 2 Goals]])</f>
        <v/>
      </c>
      <c r="T37" s="120" t="str">
        <f>IF(OR(tblActuals[[#This Row],[Team 1 Goals]]="",tblActuals[[#This Row],[Team 2 Goals]]=""),"",tblActuals[[#This Row],[Team 2 Goals]]-tblActuals[[#This Row],[Team 1 Goals]])</f>
        <v/>
      </c>
      <c r="U37" s="120" t="str">
        <f>IF(tblActuals[[#This Row],[SCORE]]="","",IF(tblActuals[[#This Row],[WINNER / RESULT]]="Draw",1,IF(tblActuals[[#This Row],[WINNER / RESULT]]=tblActuals[[#This Row],[Team 1]],3,0)))</f>
        <v/>
      </c>
      <c r="V37" s="120" t="str">
        <f>IF(tblActuals[[#This Row],[SCORE]]="","",IF(tblActuals[[#This Row],[WINNER / RESULT]]="Draw",1,IF(tblActuals[[#This Row],[WINNER / RESULT]]=tblActuals[[#This Row],[Team 2]],3,0)))</f>
        <v/>
      </c>
      <c r="W37" s="121"/>
      <c r="X37" s="121"/>
      <c r="Y37" s="121"/>
      <c r="Z37" s="121"/>
      <c r="AA37" s="120" t="e">
        <f>tblActuals[[#This Row],[Team 1 Goals]]+tblActuals[[#This Row],[Team 1 ET Goals]]&amp;":"&amp;tblActuals[[#This Row],[Team 2 Goals]]+tblActuals[[#This Row],[Team 2 ET Goals]]</f>
        <v>#VALUE!</v>
      </c>
      <c r="AB37" s="120" t="e">
        <f>+tblActuals[[#This Row],[Team 1 Goals]]+tblActuals[[#This Row],[Team 2 Goals]]</f>
        <v>#VALUE!</v>
      </c>
      <c r="AC37" s="165">
        <f t="shared" si="0"/>
        <v>45469</v>
      </c>
      <c r="AD37" s="166">
        <f t="shared" si="9"/>
        <v>36.700000000000003</v>
      </c>
      <c r="AJ37" s="77" t="s">
        <v>45</v>
      </c>
      <c r="AK37" s="139">
        <v>2</v>
      </c>
      <c r="AL37" s="140" t="str">
        <f ca="1">IFERROR(INDEX(AT:AT,MATCH("2"&amp;AJ37,BD:BD,0),1),"")</f>
        <v>Georgia</v>
      </c>
      <c r="AM37" s="140" t="str">
        <f ca="1">IF(AL37="","",VLOOKUP(AL37,AT:AY,2,FALSE)&amp;"-"&amp;VLOOKUP(AL37,AT:AY,3,FALSE)&amp;"-"&amp;VLOOKUP(AL37,AT:AY,4,FALSE))</f>
        <v>0-0-0</v>
      </c>
      <c r="AN37" s="140">
        <f ca="1">IF(AL37="","",VLOOKUP(AL37,AT:BA,8,FALSE))</f>
        <v>0</v>
      </c>
      <c r="AO37" s="141">
        <f ca="1">IF(AL37="","",VLOOKUP(AL37,AT:BD,5,FALSE))</f>
        <v>0</v>
      </c>
      <c r="AP37" s="75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K37" s="58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4"/>
      <c r="DS37" s="58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4"/>
      <c r="FA37" s="58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13"/>
      <c r="GC37" s="13"/>
      <c r="GD37" s="13"/>
      <c r="GE37" s="13"/>
      <c r="GF37" s="13"/>
      <c r="GG37" s="13"/>
      <c r="GH37" s="75"/>
      <c r="GI37" s="157"/>
      <c r="GJ37" s="157"/>
      <c r="GK37" s="79"/>
      <c r="GL37" s="79"/>
      <c r="GM37" s="79"/>
      <c r="GN37" s="79"/>
      <c r="GO37" s="79"/>
      <c r="GP37" s="79"/>
    </row>
    <row r="38" spans="1:198" s="11" customFormat="1" ht="30" customHeight="1" x14ac:dyDescent="0.25">
      <c r="A38" s="20"/>
      <c r="B38" s="122">
        <v>35</v>
      </c>
      <c r="C38" s="122" t="s">
        <v>45</v>
      </c>
      <c r="D38" s="123">
        <v>45469</v>
      </c>
      <c r="E38" s="122" t="s">
        <v>82</v>
      </c>
      <c r="F38" s="124">
        <v>0.875</v>
      </c>
      <c r="G38" s="125">
        <f t="shared" si="8"/>
        <v>45469.625</v>
      </c>
      <c r="H38" s="122" t="s">
        <v>122</v>
      </c>
      <c r="I38" s="126"/>
      <c r="J38" s="118"/>
      <c r="K38" s="118"/>
      <c r="L38" s="119" t="str">
        <f>IF(tblActuals[[#This Row],[SCORE]]="","",IF(Q38=R38,"Draw",IF(Q38&gt;R38,M38,N38)))</f>
        <v/>
      </c>
      <c r="M38" s="120" t="str">
        <f>IF(tblActuals[[#This Row],[TEAMS]]="","",LEFT(H38,FIND(" -",H38,1)-1))</f>
        <v>Georgia</v>
      </c>
      <c r="N38" s="120" t="str">
        <f>IF(tblActuals[[#This Row],[TEAMS]]="","",MID(H38,FIND("-",H38,1)+2,LEN(H38)-FIND("-",H38,1)+2))</f>
        <v>Portugal</v>
      </c>
      <c r="O38" s="120" t="str">
        <f>IF(tblActuals[[#This Row],[Team 1 Goals]]&gt;tblActuals[[#This Row],[Team 2 Goals]],tblActuals[[#This Row],[Team 1]],IF(tblActuals[[#This Row],[Team 2 Goals]]&gt;tblActuals[[#This Row],[Team 1 Goals]],tblActuals[[#This Row],[Team 2]],""))</f>
        <v/>
      </c>
      <c r="P38" s="120" t="str">
        <f>IF(tblActuals[[#This Row],[Winner]]=tblActuals[[#This Row],[Team 1]],tblActuals[[#This Row],[Team 2]],IF(tblActuals[[#This Row],[Winner]]=tblActuals[[#This Row],[Team 2]],tblActuals[[#This Row],[Team 1]],""))</f>
        <v/>
      </c>
      <c r="Q38" s="120" t="str">
        <f>IF(tblActuals[[#This Row],[SCORE]]="","",LEFT(I38,FIND(":",I38,1)-1)*1)</f>
        <v/>
      </c>
      <c r="R38" s="120" t="str">
        <f>IF(tblActuals[[#This Row],[SCORE]]="","",MID(I38,FIND(":",I38,1)+1,LEN(I38)-FIND(":",I38,1)+1)*1)</f>
        <v/>
      </c>
      <c r="S38" s="120" t="str">
        <f>IF(OR(tblActuals[[#This Row],[Team 1 Goals]]="",tblActuals[[#This Row],[Team 2 Goals]]=""),"",tblActuals[[#This Row],[Team 1 Goals]]-tblActuals[[#This Row],[Team 2 Goals]])</f>
        <v/>
      </c>
      <c r="T38" s="120" t="str">
        <f>IF(OR(tblActuals[[#This Row],[Team 1 Goals]]="",tblActuals[[#This Row],[Team 2 Goals]]=""),"",tblActuals[[#This Row],[Team 2 Goals]]-tblActuals[[#This Row],[Team 1 Goals]])</f>
        <v/>
      </c>
      <c r="U38" s="120" t="str">
        <f>IF(tblActuals[[#This Row],[SCORE]]="","",IF(tblActuals[[#This Row],[WINNER / RESULT]]="Draw",1,IF(tblActuals[[#This Row],[WINNER / RESULT]]=tblActuals[[#This Row],[Team 1]],3,0)))</f>
        <v/>
      </c>
      <c r="V38" s="120" t="str">
        <f>IF(tblActuals[[#This Row],[SCORE]]="","",IF(tblActuals[[#This Row],[WINNER / RESULT]]="Draw",1,IF(tblActuals[[#This Row],[WINNER / RESULT]]=tblActuals[[#This Row],[Team 2]],3,0)))</f>
        <v/>
      </c>
      <c r="W38" s="121"/>
      <c r="X38" s="121"/>
      <c r="Y38" s="121"/>
      <c r="Z38" s="121"/>
      <c r="AA38" s="120" t="e">
        <f>tblActuals[[#This Row],[Team 1 Goals]]+tblActuals[[#This Row],[Team 1 ET Goals]]&amp;":"&amp;tblActuals[[#This Row],[Team 2 Goals]]+tblActuals[[#This Row],[Team 2 ET Goals]]</f>
        <v>#VALUE!</v>
      </c>
      <c r="AB38" s="120" t="e">
        <f>+tblActuals[[#This Row],[Team 1 Goals]]+tblActuals[[#This Row],[Team 2 Goals]]</f>
        <v>#VALUE!</v>
      </c>
      <c r="AC38" s="165">
        <f t="shared" si="0"/>
        <v>45469</v>
      </c>
      <c r="AD38" s="166">
        <f t="shared" si="9"/>
        <v>38.799999999999997</v>
      </c>
      <c r="AJ38" s="77" t="s">
        <v>45</v>
      </c>
      <c r="AK38" s="142">
        <v>3</v>
      </c>
      <c r="AL38" s="143" t="str">
        <f ca="1">IFERROR(INDEX(AT:AT,MATCH("3"&amp;AJ38,BD:BD,0),1),"")</f>
        <v>Portugal</v>
      </c>
      <c r="AM38" s="143" t="str">
        <f ca="1">IF(AL38="","",VLOOKUP(AL38,AT:AY,2,FALSE)&amp;"-"&amp;VLOOKUP(AL38,AT:AY,3,FALSE)&amp;"-"&amp;VLOOKUP(AL38,AT:AY,4,FALSE))</f>
        <v>0-0-0</v>
      </c>
      <c r="AN38" s="143">
        <f ca="1">IF(AL38="","",VLOOKUP(AL38,AT:BA,8,FALSE))</f>
        <v>0</v>
      </c>
      <c r="AO38" s="144">
        <f ca="1">IF(AL38="","",VLOOKUP(AL38,AT:BD,5,FALSE))</f>
        <v>0</v>
      </c>
      <c r="AP38" s="75" t="str">
        <f ca="1">IF(INDEX($AK$43:$AK$48,MATCH(AL38,$AL$43:$AL$48,0),1)&lt;=4,"X","")</f>
        <v>X</v>
      </c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K38" s="58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4"/>
      <c r="DS38" s="58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4"/>
      <c r="FA38" s="58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13"/>
      <c r="GC38" s="13"/>
      <c r="GD38" s="13"/>
      <c r="GE38" s="13"/>
      <c r="GF38" s="13"/>
      <c r="GG38" s="13"/>
      <c r="GH38" s="75"/>
      <c r="GI38" s="157"/>
      <c r="GJ38" s="157"/>
      <c r="GK38" s="75"/>
      <c r="GL38" s="75"/>
      <c r="GM38" s="75"/>
      <c r="GN38" s="75"/>
      <c r="GO38" s="75"/>
      <c r="GP38" s="75"/>
    </row>
    <row r="39" spans="1:198" s="11" customFormat="1" ht="30" customHeight="1" thickBot="1" x14ac:dyDescent="0.3">
      <c r="A39" s="20"/>
      <c r="B39" s="127">
        <v>36</v>
      </c>
      <c r="C39" s="127" t="s">
        <v>45</v>
      </c>
      <c r="D39" s="128">
        <v>45469</v>
      </c>
      <c r="E39" s="127" t="s">
        <v>84</v>
      </c>
      <c r="F39" s="129">
        <v>0.875</v>
      </c>
      <c r="G39" s="130">
        <f t="shared" si="8"/>
        <v>45469.625</v>
      </c>
      <c r="H39" s="127" t="s">
        <v>123</v>
      </c>
      <c r="I39" s="131"/>
      <c r="J39" s="118"/>
      <c r="K39" s="118"/>
      <c r="L39" s="132" t="str">
        <f>IF(tblActuals[[#This Row],[SCORE]]="","",IF(Q39=R39,"Draw",IF(Q39&gt;R39,M39,N39)))</f>
        <v/>
      </c>
      <c r="M39" s="120" t="str">
        <f>IF(tblActuals[[#This Row],[TEAMS]]="","",LEFT(H39,FIND(" -",H39,1)-1))</f>
        <v>Czechia</v>
      </c>
      <c r="N39" s="120" t="str">
        <f>IF(tblActuals[[#This Row],[TEAMS]]="","",MID(H39,FIND("-",H39,1)+2,LEN(H39)-FIND("-",H39,1)+2))</f>
        <v>Turkey</v>
      </c>
      <c r="O39" s="120" t="str">
        <f>IF(tblActuals[[#This Row],[Team 1 Goals]]&gt;tblActuals[[#This Row],[Team 2 Goals]],tblActuals[[#This Row],[Team 1]],IF(tblActuals[[#This Row],[Team 2 Goals]]&gt;tblActuals[[#This Row],[Team 1 Goals]],tblActuals[[#This Row],[Team 2]],""))</f>
        <v/>
      </c>
      <c r="P39" s="120" t="str">
        <f>IF(tblActuals[[#This Row],[Winner]]=tblActuals[[#This Row],[Team 1]],tblActuals[[#This Row],[Team 2]],IF(tblActuals[[#This Row],[Winner]]=tblActuals[[#This Row],[Team 2]],tblActuals[[#This Row],[Team 1]],""))</f>
        <v/>
      </c>
      <c r="Q39" s="120" t="str">
        <f>IF(tblActuals[[#This Row],[SCORE]]="","",LEFT(I39,FIND(":",I39,1)-1)*1)</f>
        <v/>
      </c>
      <c r="R39" s="120" t="str">
        <f>IF(tblActuals[[#This Row],[SCORE]]="","",MID(I39,FIND(":",I39,1)+1,LEN(I39)-FIND(":",I39,1)+1)*1)</f>
        <v/>
      </c>
      <c r="S39" s="120" t="str">
        <f>IF(OR(tblActuals[[#This Row],[Team 1 Goals]]="",tblActuals[[#This Row],[Team 2 Goals]]=""),"",tblActuals[[#This Row],[Team 1 Goals]]-tblActuals[[#This Row],[Team 2 Goals]])</f>
        <v/>
      </c>
      <c r="T39" s="120" t="str">
        <f>IF(OR(tblActuals[[#This Row],[Team 1 Goals]]="",tblActuals[[#This Row],[Team 2 Goals]]=""),"",tblActuals[[#This Row],[Team 2 Goals]]-tblActuals[[#This Row],[Team 1 Goals]])</f>
        <v/>
      </c>
      <c r="U39" s="120" t="str">
        <f>IF(tblActuals[[#This Row],[SCORE]]="","",IF(tblActuals[[#This Row],[WINNER / RESULT]]="Draw",1,IF(tblActuals[[#This Row],[WINNER / RESULT]]=tblActuals[[#This Row],[Team 1]],3,0)))</f>
        <v/>
      </c>
      <c r="V39" s="120" t="str">
        <f>IF(tblActuals[[#This Row],[SCORE]]="","",IF(tblActuals[[#This Row],[WINNER / RESULT]]="Draw",1,IF(tblActuals[[#This Row],[WINNER / RESULT]]=tblActuals[[#This Row],[Team 2]],3,0)))</f>
        <v/>
      </c>
      <c r="W39" s="121"/>
      <c r="X39" s="121"/>
      <c r="Y39" s="121"/>
      <c r="Z39" s="121"/>
      <c r="AA39" s="120" t="e">
        <f>tblActuals[[#This Row],[Team 1 Goals]]+tblActuals[[#This Row],[Team 1 ET Goals]]&amp;":"&amp;tblActuals[[#This Row],[Team 2 Goals]]+tblActuals[[#This Row],[Team 2 ET Goals]]</f>
        <v>#VALUE!</v>
      </c>
      <c r="AB39" s="120" t="e">
        <f>+tblActuals[[#This Row],[Team 1 Goals]]+tblActuals[[#This Row],[Team 2 Goals]]</f>
        <v>#VALUE!</v>
      </c>
      <c r="AC39" s="165">
        <f t="shared" si="0"/>
        <v>45469</v>
      </c>
      <c r="AD39" s="166">
        <f t="shared" si="9"/>
        <v>38.9</v>
      </c>
      <c r="AJ39" s="77" t="s">
        <v>45</v>
      </c>
      <c r="AK39" s="145">
        <v>4</v>
      </c>
      <c r="AL39" s="146" t="str">
        <f ca="1">IFERROR(INDEX(AT:AT,MATCH("4"&amp;AJ39,BD:BD,0),1),"")</f>
        <v>Turkey</v>
      </c>
      <c r="AM39" s="146" t="str">
        <f ca="1">IF(AL39="","",VLOOKUP(AL39,AT:AY,2,FALSE)&amp;"-"&amp;VLOOKUP(AL39,AT:AY,3,FALSE)&amp;"-"&amp;VLOOKUP(AL39,AT:AY,4,FALSE))</f>
        <v>0-0-0</v>
      </c>
      <c r="AN39" s="146">
        <f ca="1">IF(AL39="","",VLOOKUP(AL39,AT:BA,8,FALSE))</f>
        <v>0</v>
      </c>
      <c r="AO39" s="147">
        <f ca="1">IF(AL39="","",VLOOKUP(AL39,AT:BD,5,FALSE))</f>
        <v>0</v>
      </c>
      <c r="AP39" s="75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K39" s="58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4"/>
      <c r="DS39" s="58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4"/>
      <c r="FA39" s="58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13"/>
      <c r="GC39" s="13"/>
      <c r="GD39" s="13"/>
      <c r="GE39" s="13"/>
      <c r="GF39" s="13"/>
      <c r="GG39" s="13"/>
      <c r="GH39" s="75"/>
      <c r="GI39" s="157"/>
      <c r="GJ39" s="157"/>
      <c r="GK39" s="75"/>
      <c r="GL39" s="75"/>
      <c r="GM39" s="75"/>
      <c r="GN39" s="75"/>
      <c r="GO39" s="75"/>
      <c r="GP39" s="75"/>
    </row>
    <row r="40" spans="1:198" s="11" customFormat="1" ht="30" customHeight="1" thickBot="1" x14ac:dyDescent="0.3">
      <c r="A40" s="20"/>
      <c r="B40" s="113">
        <v>37</v>
      </c>
      <c r="C40" s="113" t="s">
        <v>48</v>
      </c>
      <c r="D40" s="114">
        <v>45472</v>
      </c>
      <c r="E40" s="113" t="s">
        <v>81</v>
      </c>
      <c r="F40" s="115">
        <v>0.875</v>
      </c>
      <c r="G40" s="116">
        <f t="shared" si="8"/>
        <v>45472.625</v>
      </c>
      <c r="H40" s="113" t="str">
        <f>IF(I39="","Round of 16",INDEX(AT:AT,MATCH("1A",BD:BD,0),1)&amp;" - "&amp;INDEX(AT:AT,MATCH("2C",BD:BD,0),1))</f>
        <v>Round of 16</v>
      </c>
      <c r="I40" s="50"/>
      <c r="J40" s="62"/>
      <c r="K40" s="66"/>
      <c r="L40" s="63" t="str">
        <f>IF(I40="","",IF(Q40=R40,IF(Y40&gt;Z40,M40,IF(Z40&gt;Y40,N40,IF(W40&gt;X40,M40,IF(X40&gt;W40,N40,"")))),IF(Q40&gt;R40,M40,N40)))</f>
        <v/>
      </c>
      <c r="M40" s="65" t="e">
        <f t="shared" ref="M40:M52" si="13">IF(OR(LEFT(H40,1)=" ",H40=""),"N/A",LEFT(H40,FIND(" -",H40,1)-1))</f>
        <v>#VALUE!</v>
      </c>
      <c r="N40" s="65" t="e">
        <f t="shared" ref="N40:N52" si="14">IF(OR(RIGHT(H40)=" ",H40=""),"N/A",MID(H40,FIND("-",H40,1)+2,LEN(H40)-FIND("-",H40,1)+2))</f>
        <v>#VALUE!</v>
      </c>
      <c r="O40" s="65" t="str">
        <f t="shared" ref="O40:O51" si="15">IF(L40="","",IF(L40=M40,M40,N40))</f>
        <v/>
      </c>
      <c r="P40" s="65" t="str">
        <f t="shared" ref="P40:P51" si="16">IF(L40="","",IF(O40=M40,N40,M40))</f>
        <v/>
      </c>
      <c r="Q40" s="65" t="str">
        <f t="shared" ref="Q40:Q51" si="17">IF(I40="","",LEFT(I40,FIND(":",I40,1)-1)*1)</f>
        <v/>
      </c>
      <c r="R40" s="65" t="str">
        <f t="shared" ref="R40:R51" si="18">IF(I40="","",MID(I40,FIND(":",I40,1)+1,LEN(I40)-FIND(":",I40,1)+1)*1)</f>
        <v/>
      </c>
      <c r="S40" s="65"/>
      <c r="T40" s="65"/>
      <c r="U40" s="65"/>
      <c r="V40" s="65"/>
      <c r="W40" s="65" t="str">
        <f>IF(J40="","",LEFT(J40,FIND(":",J40,1)-1)*1)</f>
        <v/>
      </c>
      <c r="X40" s="65" t="str">
        <f>IF(J40="","",MID(J40,FIND(":",J40,1)+1,LEN(J40)-FIND(":",J40,1)+1)*1)</f>
        <v/>
      </c>
      <c r="Y40" s="65" t="str">
        <f>IF(K40="","",LEFT(K40,FIND(":",K40,1)-1)*1)</f>
        <v/>
      </c>
      <c r="Z40" s="65" t="str">
        <f>IF(K40="","",MID(K40,FIND(":",K40,1)+1,LEN(K40)-FIND(":",K40,1)+1)*1)</f>
        <v/>
      </c>
      <c r="AA40" s="65" t="e">
        <f>Q40+N(W40)&amp;":"&amp;R40+N(X40)</f>
        <v>#VALUE!</v>
      </c>
      <c r="AB40" s="65" t="e">
        <f t="shared" ref="AB40:AB54" si="19">+Q40+R40+N(W40)+N(X40)</f>
        <v>#VALUE!</v>
      </c>
      <c r="AC40" s="161">
        <f t="shared" si="0"/>
        <v>45472</v>
      </c>
      <c r="AD40" s="166">
        <f t="shared" si="9"/>
        <v>42</v>
      </c>
      <c r="AJ40" s="79"/>
      <c r="AK40" s="148"/>
      <c r="AL40" s="148"/>
      <c r="AM40" s="148"/>
      <c r="AN40" s="148"/>
      <c r="AO40" s="148"/>
      <c r="AP40" s="75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K40" s="58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4"/>
      <c r="DS40" s="58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4"/>
      <c r="FA40" s="58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13"/>
      <c r="GC40" s="13"/>
      <c r="GD40" s="13"/>
      <c r="GE40" s="13"/>
      <c r="GF40" s="13"/>
      <c r="GG40" s="13"/>
      <c r="GH40" s="75"/>
      <c r="GI40" s="157"/>
      <c r="GJ40" s="157"/>
      <c r="GK40" s="75"/>
      <c r="GL40" s="75"/>
      <c r="GM40" s="75"/>
      <c r="GN40" s="75"/>
      <c r="GO40" s="75"/>
      <c r="GP40" s="75"/>
    </row>
    <row r="41" spans="1:198" s="11" customFormat="1" ht="30" customHeight="1" x14ac:dyDescent="0.25">
      <c r="A41" s="20"/>
      <c r="B41" s="122">
        <v>38</v>
      </c>
      <c r="C41" s="122" t="s">
        <v>48</v>
      </c>
      <c r="D41" s="123">
        <v>45472</v>
      </c>
      <c r="E41" s="122" t="s">
        <v>80</v>
      </c>
      <c r="F41" s="124">
        <v>0.75</v>
      </c>
      <c r="G41" s="125">
        <f t="shared" si="8"/>
        <v>45472.5</v>
      </c>
      <c r="H41" s="122" t="str">
        <f>IF(I39="","Round of 16",INDEX(AT:AT,MATCH("2A",BD:BD,0),1)&amp;" - "&amp;INDEX(AT:AT,MATCH("2b",BD:BD,0),1))</f>
        <v>Round of 16</v>
      </c>
      <c r="I41" s="49"/>
      <c r="J41" s="62"/>
      <c r="K41" s="66"/>
      <c r="L41" s="63" t="str">
        <f t="shared" ref="L41:L54" si="20">IF(I41="","",IF(Q41=R41,IF(Y41&gt;Z41,M41,IF(Z41&gt;Y41,N41,IF(W41&gt;X41,M41,IF(X41&gt;W41,N41,"")))),IF(Q41&gt;R41,M41,N41)))</f>
        <v/>
      </c>
      <c r="M41" s="65" t="e">
        <f t="shared" si="13"/>
        <v>#VALUE!</v>
      </c>
      <c r="N41" s="65" t="e">
        <f t="shared" si="14"/>
        <v>#VALUE!</v>
      </c>
      <c r="O41" s="65" t="str">
        <f>IF(L41="","",IF(L41=M41,M41,N41))</f>
        <v/>
      </c>
      <c r="P41" s="65" t="str">
        <f t="shared" si="16"/>
        <v/>
      </c>
      <c r="Q41" s="65" t="str">
        <f t="shared" si="17"/>
        <v/>
      </c>
      <c r="R41" s="65" t="str">
        <f t="shared" si="18"/>
        <v/>
      </c>
      <c r="S41" s="65"/>
      <c r="T41" s="65"/>
      <c r="U41" s="65"/>
      <c r="V41" s="65"/>
      <c r="W41" s="65" t="str">
        <f t="shared" ref="W41:W53" si="21">IF(J41="","",LEFT(J41,FIND(":",J41,1)-1)*1)</f>
        <v/>
      </c>
      <c r="X41" s="65" t="str">
        <f t="shared" ref="X41:X53" si="22">IF(J41="","",MID(J41,FIND(":",J41,1)+1,LEN(J41)-FIND(":",J41,1)+1)*1)</f>
        <v/>
      </c>
      <c r="Y41" s="65" t="str">
        <f t="shared" ref="Y41:Y53" si="23">IF(K41="","",LEFT(K41,FIND(":",K41,1)-1)*1)</f>
        <v/>
      </c>
      <c r="Z41" s="65" t="str">
        <f t="shared" ref="Z41:Z53" si="24">IF(K41="","",MID(K41,FIND(":",K41,1)+1,LEN(K41)-FIND(":",K41,1)+1)*1)</f>
        <v/>
      </c>
      <c r="AA41" s="65" t="e">
        <f t="shared" ref="AA41:AA54" si="25">Q41+N(W41)&amp;":"&amp;R41+N(X41)</f>
        <v>#VALUE!</v>
      </c>
      <c r="AB41" s="65" t="e">
        <f t="shared" si="19"/>
        <v>#VALUE!</v>
      </c>
      <c r="AC41" s="161">
        <f t="shared" si="0"/>
        <v>45472</v>
      </c>
      <c r="AD41" s="166">
        <f t="shared" si="9"/>
        <v>41.1</v>
      </c>
      <c r="AJ41" s="80"/>
      <c r="AK41" s="187" t="s">
        <v>138</v>
      </c>
      <c r="AL41" s="188"/>
      <c r="AM41" s="188"/>
      <c r="AN41" s="188"/>
      <c r="AO41" s="189"/>
      <c r="AP41" s="75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K41" s="58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4"/>
      <c r="DS41" s="58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4"/>
      <c r="FA41" s="58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13"/>
      <c r="GC41" s="13"/>
      <c r="GD41" s="13"/>
      <c r="GE41" s="13"/>
      <c r="GF41" s="13"/>
      <c r="GG41" s="13"/>
      <c r="GH41" s="75"/>
      <c r="GI41" s="157"/>
      <c r="GJ41" s="157"/>
      <c r="GK41" s="75"/>
      <c r="GL41" s="75"/>
      <c r="GM41" s="75"/>
      <c r="GN41" s="75"/>
      <c r="GO41" s="75"/>
      <c r="GP41" s="75"/>
    </row>
    <row r="42" spans="1:198" s="11" customFormat="1" ht="30" customHeight="1" thickBot="1" x14ac:dyDescent="0.3">
      <c r="A42" s="20"/>
      <c r="B42" s="122">
        <v>39</v>
      </c>
      <c r="C42" s="122" t="s">
        <v>48</v>
      </c>
      <c r="D42" s="123">
        <v>45473</v>
      </c>
      <c r="E42" s="122" t="s">
        <v>79</v>
      </c>
      <c r="F42" s="124">
        <v>0.875</v>
      </c>
      <c r="G42" s="125">
        <f t="shared" si="8"/>
        <v>45473.625</v>
      </c>
      <c r="H42" s="122" t="str">
        <f>IF(I39="","Round of 16",INDEX(AT:AT,MATCH("1B",BD:BD,0),1)&amp;" - "&amp;INDEX(AT:AT,MATCH(INDEX(GZ:GZ,MATCH(AP42,GR:GR,0),1),BD:BD,0),1))</f>
        <v>Round of 16</v>
      </c>
      <c r="I42" s="49"/>
      <c r="J42" s="62"/>
      <c r="K42" s="66"/>
      <c r="L42" s="63" t="str">
        <f t="shared" si="20"/>
        <v/>
      </c>
      <c r="M42" s="65" t="e">
        <f t="shared" si="13"/>
        <v>#VALUE!</v>
      </c>
      <c r="N42" s="65" t="e">
        <f t="shared" si="14"/>
        <v>#VALUE!</v>
      </c>
      <c r="O42" s="65" t="str">
        <f t="shared" si="15"/>
        <v/>
      </c>
      <c r="P42" s="65" t="str">
        <f t="shared" si="16"/>
        <v/>
      </c>
      <c r="Q42" s="65" t="str">
        <f t="shared" si="17"/>
        <v/>
      </c>
      <c r="R42" s="65" t="str">
        <f t="shared" si="18"/>
        <v/>
      </c>
      <c r="S42" s="65"/>
      <c r="T42" s="65"/>
      <c r="U42" s="65"/>
      <c r="V42" s="65"/>
      <c r="W42" s="65" t="str">
        <f t="shared" si="21"/>
        <v/>
      </c>
      <c r="X42" s="65" t="str">
        <f t="shared" si="22"/>
        <v/>
      </c>
      <c r="Y42" s="65" t="str">
        <f t="shared" si="23"/>
        <v/>
      </c>
      <c r="Z42" s="65" t="str">
        <f t="shared" si="24"/>
        <v/>
      </c>
      <c r="AA42" s="65" t="e">
        <f t="shared" si="25"/>
        <v>#VALUE!</v>
      </c>
      <c r="AB42" s="65" t="e">
        <f t="shared" si="19"/>
        <v>#VALUE!</v>
      </c>
      <c r="AC42" s="161">
        <f t="shared" si="0"/>
        <v>45473</v>
      </c>
      <c r="AD42" s="166">
        <f t="shared" si="9"/>
        <v>44.2</v>
      </c>
      <c r="AJ42" s="79"/>
      <c r="AK42" s="149" t="s">
        <v>140</v>
      </c>
      <c r="AL42" s="150" t="s">
        <v>13</v>
      </c>
      <c r="AM42" s="150" t="s">
        <v>46</v>
      </c>
      <c r="AN42" s="150" t="s">
        <v>57</v>
      </c>
      <c r="AO42" s="151" t="s">
        <v>11</v>
      </c>
      <c r="AP42" s="75" t="str">
        <f ca="1">IF(AP8="X","A","")&amp;IF(AP14="X","B","")&amp;IF(AP20="X","C","")&amp;IF(AP26="X","D","")&amp;IF(AP32="X","E","")&amp;IF(AP38="X","F","")</f>
        <v>CDEF</v>
      </c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K42" s="58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H42" s="75"/>
      <c r="GI42" s="157"/>
      <c r="GJ42" s="157"/>
      <c r="GK42" s="75"/>
      <c r="GL42" s="75"/>
      <c r="GM42" s="75"/>
      <c r="GN42" s="75"/>
      <c r="GO42" s="75"/>
      <c r="GP42" s="75"/>
    </row>
    <row r="43" spans="1:198" s="11" customFormat="1" ht="30" customHeight="1" x14ac:dyDescent="0.25">
      <c r="A43" s="20"/>
      <c r="B43" s="122">
        <v>40</v>
      </c>
      <c r="C43" s="122" t="s">
        <v>48</v>
      </c>
      <c r="D43" s="123">
        <v>45473</v>
      </c>
      <c r="E43" s="122" t="s">
        <v>82</v>
      </c>
      <c r="F43" s="124">
        <v>0.75</v>
      </c>
      <c r="G43" s="125">
        <f t="shared" si="8"/>
        <v>45473.5</v>
      </c>
      <c r="H43" s="122" t="str">
        <f>IF(I39="","Round of 16",INDEX(AT:AT,MATCH("1c",BD:BD,0),1)&amp;" - "&amp;INDEX(AT:AT,MATCH(INDEX(HA:HA,MATCH(AP42,GR:GR,0),1),BD:BD,0),1))</f>
        <v>Round of 16</v>
      </c>
      <c r="I43" s="49"/>
      <c r="J43" s="62"/>
      <c r="K43" s="66"/>
      <c r="L43" s="63" t="str">
        <f t="shared" si="20"/>
        <v/>
      </c>
      <c r="M43" s="65" t="e">
        <f t="shared" si="13"/>
        <v>#VALUE!</v>
      </c>
      <c r="N43" s="65" t="e">
        <f t="shared" si="14"/>
        <v>#VALUE!</v>
      </c>
      <c r="O43" s="65" t="str">
        <f t="shared" si="15"/>
        <v/>
      </c>
      <c r="P43" s="65" t="str">
        <f t="shared" si="16"/>
        <v/>
      </c>
      <c r="Q43" s="65" t="str">
        <f t="shared" si="17"/>
        <v/>
      </c>
      <c r="R43" s="65" t="str">
        <f t="shared" si="18"/>
        <v/>
      </c>
      <c r="S43" s="65"/>
      <c r="T43" s="65"/>
      <c r="U43" s="65"/>
      <c r="V43" s="65"/>
      <c r="W43" s="65" t="str">
        <f t="shared" si="21"/>
        <v/>
      </c>
      <c r="X43" s="65" t="str">
        <f t="shared" si="22"/>
        <v/>
      </c>
      <c r="Y43" s="65" t="str">
        <f t="shared" si="23"/>
        <v/>
      </c>
      <c r="Z43" s="65" t="str">
        <f t="shared" si="24"/>
        <v/>
      </c>
      <c r="AA43" s="65" t="e">
        <f t="shared" si="25"/>
        <v>#VALUE!</v>
      </c>
      <c r="AB43" s="65" t="e">
        <f t="shared" si="19"/>
        <v>#VALUE!</v>
      </c>
      <c r="AC43" s="161">
        <f t="shared" si="0"/>
        <v>45473</v>
      </c>
      <c r="AD43" s="166">
        <f t="shared" si="9"/>
        <v>43.3</v>
      </c>
      <c r="AJ43" s="79"/>
      <c r="AK43" s="136">
        <v>1</v>
      </c>
      <c r="AL43" s="137" t="str">
        <f t="shared" ref="AL43:AL48" ca="1" si="26">IF(GL4&lt;&gt;"",GL4,INDEX($BR$4:$BR$9,MATCH(ROW(A1),$BX$4:$BX$9,0),1))</f>
        <v>Portugal</v>
      </c>
      <c r="AM43" s="137" t="str">
        <f t="shared" ref="AM43:AM48" ca="1" si="27">INDEX($AM$5:$AM$39,MATCH($AL43,$AL$5:$AL$39,0),1)</f>
        <v>0-0-0</v>
      </c>
      <c r="AN43" s="137">
        <f t="shared" ref="AN43:AN48" ca="1" si="28">INDEX($AN$5:$AN$39,MATCH($AL43,$AL$5:$AL$39,0),1)</f>
        <v>0</v>
      </c>
      <c r="AO43" s="138">
        <f t="shared" ref="AO43:AO48" ca="1" si="29">INDEX($AO$5:$AO$39,MATCH($AL43,$AL$5:$AL$39,0),1)</f>
        <v>0</v>
      </c>
      <c r="AP43" s="75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K43" s="58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H43" s="75"/>
      <c r="GI43" s="157"/>
      <c r="GJ43" s="157"/>
      <c r="GK43" s="75"/>
      <c r="GL43" s="75"/>
      <c r="GM43" s="75"/>
      <c r="GN43" s="75"/>
      <c r="GO43" s="75"/>
      <c r="GP43" s="75"/>
    </row>
    <row r="44" spans="1:198" s="11" customFormat="1" ht="30" customHeight="1" x14ac:dyDescent="0.25">
      <c r="A44" s="20"/>
      <c r="B44" s="122">
        <v>41</v>
      </c>
      <c r="C44" s="122" t="s">
        <v>48</v>
      </c>
      <c r="D44" s="123">
        <v>45474</v>
      </c>
      <c r="E44" s="122" t="s">
        <v>86</v>
      </c>
      <c r="F44" s="124">
        <v>0.875</v>
      </c>
      <c r="G44" s="125">
        <f t="shared" si="8"/>
        <v>45474.625</v>
      </c>
      <c r="H44" s="122" t="str">
        <f>IF(I39="","Round of 16",INDEX(AT:AT,MATCH("1f",BD:BD,0),1)&amp;" - "&amp;INDEX(AT:AT,MATCH(INDEX(HC:HC,MATCH(AP42,GR:GR,0),1),BD:BD,0),1))</f>
        <v>Round of 16</v>
      </c>
      <c r="I44" s="49"/>
      <c r="J44" s="62"/>
      <c r="K44" s="66"/>
      <c r="L44" s="63" t="str">
        <f t="shared" si="20"/>
        <v/>
      </c>
      <c r="M44" s="65" t="e">
        <f t="shared" si="13"/>
        <v>#VALUE!</v>
      </c>
      <c r="N44" s="65" t="e">
        <f t="shared" si="14"/>
        <v>#VALUE!</v>
      </c>
      <c r="O44" s="65" t="str">
        <f t="shared" si="15"/>
        <v/>
      </c>
      <c r="P44" s="65" t="str">
        <f t="shared" si="16"/>
        <v/>
      </c>
      <c r="Q44" s="65" t="str">
        <f t="shared" si="17"/>
        <v/>
      </c>
      <c r="R44" s="65" t="str">
        <f t="shared" si="18"/>
        <v/>
      </c>
      <c r="S44" s="65"/>
      <c r="T44" s="65"/>
      <c r="U44" s="65"/>
      <c r="V44" s="65"/>
      <c r="W44" s="65" t="str">
        <f t="shared" si="21"/>
        <v/>
      </c>
      <c r="X44" s="65" t="str">
        <f t="shared" si="22"/>
        <v/>
      </c>
      <c r="Y44" s="65" t="str">
        <f t="shared" si="23"/>
        <v/>
      </c>
      <c r="Z44" s="65" t="str">
        <f t="shared" si="24"/>
        <v/>
      </c>
      <c r="AA44" s="65" t="e">
        <f t="shared" si="25"/>
        <v>#VALUE!</v>
      </c>
      <c r="AB44" s="65" t="e">
        <f t="shared" si="19"/>
        <v>#VALUE!</v>
      </c>
      <c r="AC44" s="161">
        <f t="shared" si="0"/>
        <v>45474</v>
      </c>
      <c r="AD44" s="166">
        <f t="shared" si="9"/>
        <v>46.4</v>
      </c>
      <c r="AJ44" s="79"/>
      <c r="AK44" s="136">
        <v>2</v>
      </c>
      <c r="AL44" s="137" t="str">
        <f t="shared" ca="1" si="26"/>
        <v>Slovakia</v>
      </c>
      <c r="AM44" s="137" t="str">
        <f t="shared" ca="1" si="27"/>
        <v>0-0-0</v>
      </c>
      <c r="AN44" s="137">
        <f t="shared" ca="1" si="28"/>
        <v>0</v>
      </c>
      <c r="AO44" s="138">
        <f t="shared" ca="1" si="29"/>
        <v>0</v>
      </c>
      <c r="AP44" s="75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K44" s="58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H44" s="75"/>
      <c r="GI44" s="157"/>
      <c r="GJ44" s="157"/>
      <c r="GK44" s="75"/>
      <c r="GL44" s="75"/>
      <c r="GM44" s="75"/>
      <c r="GN44" s="75"/>
      <c r="GO44" s="75"/>
      <c r="GP44" s="75"/>
    </row>
    <row r="45" spans="1:198" s="11" customFormat="1" ht="30" customHeight="1" x14ac:dyDescent="0.25">
      <c r="A45" s="20"/>
      <c r="B45" s="122">
        <v>42</v>
      </c>
      <c r="C45" s="122" t="s">
        <v>48</v>
      </c>
      <c r="D45" s="123">
        <v>45474</v>
      </c>
      <c r="E45" s="122" t="s">
        <v>85</v>
      </c>
      <c r="F45" s="124">
        <v>0.75</v>
      </c>
      <c r="G45" s="125">
        <f t="shared" si="8"/>
        <v>45474.5</v>
      </c>
      <c r="H45" s="122" t="str">
        <f>IF(I39="","Round of 16",INDEX(AT:AT,MATCH("2d",BD:BD,0),1)&amp;" - "&amp;INDEX(AT:AT,MATCH("2e",BD:BD,0),1))</f>
        <v>Round of 16</v>
      </c>
      <c r="I45" s="49"/>
      <c r="J45" s="62"/>
      <c r="K45" s="66"/>
      <c r="L45" s="63" t="str">
        <f t="shared" si="20"/>
        <v/>
      </c>
      <c r="M45" s="65" t="e">
        <f t="shared" si="13"/>
        <v>#VALUE!</v>
      </c>
      <c r="N45" s="65" t="e">
        <f t="shared" si="14"/>
        <v>#VALUE!</v>
      </c>
      <c r="O45" s="65" t="str">
        <f t="shared" si="15"/>
        <v/>
      </c>
      <c r="P45" s="65" t="str">
        <f t="shared" si="16"/>
        <v/>
      </c>
      <c r="Q45" s="65" t="str">
        <f t="shared" si="17"/>
        <v/>
      </c>
      <c r="R45" s="65" t="str">
        <f t="shared" si="18"/>
        <v/>
      </c>
      <c r="S45" s="65"/>
      <c r="T45" s="65"/>
      <c r="U45" s="65"/>
      <c r="V45" s="65"/>
      <c r="W45" s="65" t="str">
        <f t="shared" si="21"/>
        <v/>
      </c>
      <c r="X45" s="65" t="str">
        <f t="shared" si="22"/>
        <v/>
      </c>
      <c r="Y45" s="65" t="str">
        <f t="shared" si="23"/>
        <v/>
      </c>
      <c r="Z45" s="65" t="str">
        <f t="shared" si="24"/>
        <v/>
      </c>
      <c r="AA45" s="65" t="e">
        <f t="shared" si="25"/>
        <v>#VALUE!</v>
      </c>
      <c r="AB45" s="65" t="e">
        <f t="shared" si="19"/>
        <v>#VALUE!</v>
      </c>
      <c r="AC45" s="161">
        <f t="shared" si="0"/>
        <v>45474</v>
      </c>
      <c r="AD45" s="166">
        <f t="shared" si="9"/>
        <v>45.5</v>
      </c>
      <c r="AJ45" s="79"/>
      <c r="AK45" s="136">
        <v>3</v>
      </c>
      <c r="AL45" s="137" t="str">
        <f t="shared" ca="1" si="26"/>
        <v>Netherlands</v>
      </c>
      <c r="AM45" s="137" t="str">
        <f t="shared" ca="1" si="27"/>
        <v>0-0-0</v>
      </c>
      <c r="AN45" s="137">
        <f t="shared" ca="1" si="28"/>
        <v>0</v>
      </c>
      <c r="AO45" s="138">
        <f t="shared" ca="1" si="29"/>
        <v>0</v>
      </c>
      <c r="AP45" s="75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K45" s="58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H45" s="75"/>
      <c r="GI45" s="157"/>
      <c r="GJ45" s="157"/>
      <c r="GK45" s="75"/>
      <c r="GL45" s="75"/>
      <c r="GM45" s="75"/>
      <c r="GN45" s="75"/>
      <c r="GO45" s="75"/>
      <c r="GP45" s="75"/>
    </row>
    <row r="46" spans="1:198" s="11" customFormat="1" ht="30" customHeight="1" x14ac:dyDescent="0.25">
      <c r="A46" s="20"/>
      <c r="B46" s="122">
        <v>43</v>
      </c>
      <c r="C46" s="122" t="s">
        <v>48</v>
      </c>
      <c r="D46" s="123">
        <v>45475</v>
      </c>
      <c r="E46" s="122" t="s">
        <v>78</v>
      </c>
      <c r="F46" s="124">
        <v>0.75</v>
      </c>
      <c r="G46" s="125">
        <f t="shared" si="8"/>
        <v>45475.5</v>
      </c>
      <c r="H46" s="122" t="str">
        <f>IF(I39="","Round of 16",INDEX(AT:AT,MATCH("1e",BD:BD,0),1)&amp;" - "&amp;INDEX(AT:AT,MATCH(INDEX(HB:HB,MATCH(AP42,GR:GR,0),1),BD:BD,0),1))</f>
        <v>Round of 16</v>
      </c>
      <c r="I46" s="49"/>
      <c r="J46" s="62"/>
      <c r="K46" s="66"/>
      <c r="L46" s="63" t="str">
        <f t="shared" si="20"/>
        <v/>
      </c>
      <c r="M46" s="65" t="e">
        <f t="shared" si="13"/>
        <v>#VALUE!</v>
      </c>
      <c r="N46" s="65" t="e">
        <f t="shared" si="14"/>
        <v>#VALUE!</v>
      </c>
      <c r="O46" s="65" t="str">
        <f t="shared" si="15"/>
        <v/>
      </c>
      <c r="P46" s="65" t="str">
        <f t="shared" si="16"/>
        <v/>
      </c>
      <c r="Q46" s="65" t="str">
        <f t="shared" si="17"/>
        <v/>
      </c>
      <c r="R46" s="65" t="str">
        <f t="shared" si="18"/>
        <v/>
      </c>
      <c r="S46" s="65"/>
      <c r="T46" s="65"/>
      <c r="U46" s="65"/>
      <c r="V46" s="65"/>
      <c r="W46" s="65" t="str">
        <f t="shared" si="21"/>
        <v/>
      </c>
      <c r="X46" s="65" t="str">
        <f t="shared" si="22"/>
        <v/>
      </c>
      <c r="Y46" s="65" t="str">
        <f t="shared" si="23"/>
        <v/>
      </c>
      <c r="Z46" s="65" t="str">
        <f t="shared" si="24"/>
        <v/>
      </c>
      <c r="AA46" s="65" t="e">
        <f t="shared" si="25"/>
        <v>#VALUE!</v>
      </c>
      <c r="AB46" s="65" t="e">
        <f t="shared" si="19"/>
        <v>#VALUE!</v>
      </c>
      <c r="AC46" s="161">
        <f t="shared" si="0"/>
        <v>45475</v>
      </c>
      <c r="AD46" s="166">
        <f t="shared" si="9"/>
        <v>47.6</v>
      </c>
      <c r="AJ46" s="79"/>
      <c r="AK46" s="139">
        <v>4</v>
      </c>
      <c r="AL46" s="140" t="str">
        <f t="shared" ca="1" si="26"/>
        <v>Serbia</v>
      </c>
      <c r="AM46" s="140" t="str">
        <f t="shared" ca="1" si="27"/>
        <v>0-0-0</v>
      </c>
      <c r="AN46" s="140">
        <f t="shared" ca="1" si="28"/>
        <v>0</v>
      </c>
      <c r="AO46" s="141">
        <f t="shared" ca="1" si="29"/>
        <v>0</v>
      </c>
      <c r="AP46" s="75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K46" s="58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H46" s="75"/>
      <c r="GI46" s="157"/>
      <c r="GJ46" s="157"/>
      <c r="GK46" s="75"/>
      <c r="GL46" s="75"/>
      <c r="GM46" s="75"/>
      <c r="GN46" s="75"/>
      <c r="GO46" s="75"/>
      <c r="GP46" s="75"/>
    </row>
    <row r="47" spans="1:198" s="11" customFormat="1" ht="30" customHeight="1" thickBot="1" x14ac:dyDescent="0.3">
      <c r="A47" s="20"/>
      <c r="B47" s="127">
        <v>44</v>
      </c>
      <c r="C47" s="127" t="s">
        <v>48</v>
      </c>
      <c r="D47" s="128">
        <v>45475</v>
      </c>
      <c r="E47" s="127" t="s">
        <v>87</v>
      </c>
      <c r="F47" s="129">
        <v>0.875</v>
      </c>
      <c r="G47" s="130">
        <f t="shared" si="8"/>
        <v>45475.625</v>
      </c>
      <c r="H47" s="127" t="str">
        <f>IF(I39="","Round of 16",INDEX(AT:AT,MATCH("1d",BD:BD,0),1)&amp;" - "&amp;INDEX(AT:AT,MATCH("2f",BD:BD,0),1))</f>
        <v>Round of 16</v>
      </c>
      <c r="I47" s="51"/>
      <c r="J47" s="62"/>
      <c r="K47" s="66"/>
      <c r="L47" s="63" t="str">
        <f t="shared" si="20"/>
        <v/>
      </c>
      <c r="M47" s="65" t="e">
        <f t="shared" si="13"/>
        <v>#VALUE!</v>
      </c>
      <c r="N47" s="65" t="e">
        <f t="shared" si="14"/>
        <v>#VALUE!</v>
      </c>
      <c r="O47" s="65" t="str">
        <f t="shared" si="15"/>
        <v/>
      </c>
      <c r="P47" s="65" t="str">
        <f t="shared" si="16"/>
        <v/>
      </c>
      <c r="Q47" s="65" t="str">
        <f t="shared" si="17"/>
        <v/>
      </c>
      <c r="R47" s="65" t="str">
        <f t="shared" si="18"/>
        <v/>
      </c>
      <c r="S47" s="65"/>
      <c r="T47" s="65"/>
      <c r="U47" s="65"/>
      <c r="V47" s="65"/>
      <c r="W47" s="65" t="str">
        <f t="shared" si="21"/>
        <v/>
      </c>
      <c r="X47" s="65" t="str">
        <f t="shared" si="22"/>
        <v/>
      </c>
      <c r="Y47" s="65" t="str">
        <f t="shared" si="23"/>
        <v/>
      </c>
      <c r="Z47" s="65" t="str">
        <f t="shared" si="24"/>
        <v/>
      </c>
      <c r="AA47" s="65" t="e">
        <f t="shared" si="25"/>
        <v>#VALUE!</v>
      </c>
      <c r="AB47" s="65" t="e">
        <f t="shared" si="19"/>
        <v>#VALUE!</v>
      </c>
      <c r="AC47" s="161">
        <f t="shared" si="0"/>
        <v>45475</v>
      </c>
      <c r="AD47" s="166">
        <f t="shared" si="9"/>
        <v>48.7</v>
      </c>
      <c r="AJ47" s="80"/>
      <c r="AK47" s="142">
        <v>5</v>
      </c>
      <c r="AL47" s="143" t="str">
        <f t="shared" ca="1" si="26"/>
        <v>Italy</v>
      </c>
      <c r="AM47" s="143" t="str">
        <f t="shared" ca="1" si="27"/>
        <v>0-0-0</v>
      </c>
      <c r="AN47" s="143">
        <f t="shared" ca="1" si="28"/>
        <v>0</v>
      </c>
      <c r="AO47" s="144">
        <f t="shared" ca="1" si="29"/>
        <v>0</v>
      </c>
      <c r="AP47" s="75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K47" s="58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H47" s="75"/>
      <c r="GI47" s="157"/>
      <c r="GJ47" s="157"/>
      <c r="GK47" s="75"/>
      <c r="GL47" s="75"/>
      <c r="GM47" s="75"/>
      <c r="GN47" s="75"/>
      <c r="GO47" s="75"/>
      <c r="GP47" s="75"/>
    </row>
    <row r="48" spans="1:198" s="11" customFormat="1" ht="30" customHeight="1" thickBot="1" x14ac:dyDescent="0.3">
      <c r="A48" s="20"/>
      <c r="B48" s="113">
        <v>45</v>
      </c>
      <c r="C48" s="113" t="s">
        <v>74</v>
      </c>
      <c r="D48" s="114">
        <v>45478</v>
      </c>
      <c r="E48" s="113" t="s">
        <v>83</v>
      </c>
      <c r="F48" s="115">
        <v>0.75</v>
      </c>
      <c r="G48" s="116">
        <f t="shared" si="8"/>
        <v>45478.5</v>
      </c>
      <c r="H48" s="113" t="str">
        <f>IF(I47="","Quarterfinal 1",O42&amp;" - "&amp;O40)</f>
        <v>Quarterfinal 1</v>
      </c>
      <c r="I48" s="50"/>
      <c r="J48" s="62"/>
      <c r="K48" s="66"/>
      <c r="L48" s="63" t="str">
        <f t="shared" si="20"/>
        <v/>
      </c>
      <c r="M48" s="65" t="e">
        <f t="shared" si="13"/>
        <v>#VALUE!</v>
      </c>
      <c r="N48" s="65" t="e">
        <f t="shared" si="14"/>
        <v>#VALUE!</v>
      </c>
      <c r="O48" s="65" t="str">
        <f>IF(L48="","",IF(L48=M48,M48,N48))</f>
        <v/>
      </c>
      <c r="P48" s="65" t="str">
        <f t="shared" si="16"/>
        <v/>
      </c>
      <c r="Q48" s="65" t="str">
        <f t="shared" si="17"/>
        <v/>
      </c>
      <c r="R48" s="65" t="str">
        <f t="shared" si="18"/>
        <v/>
      </c>
      <c r="S48" s="65"/>
      <c r="T48" s="65"/>
      <c r="U48" s="65"/>
      <c r="V48" s="65"/>
      <c r="W48" s="65" t="str">
        <f t="shared" si="21"/>
        <v/>
      </c>
      <c r="X48" s="65" t="str">
        <f t="shared" si="22"/>
        <v/>
      </c>
      <c r="Y48" s="65" t="str">
        <f t="shared" si="23"/>
        <v/>
      </c>
      <c r="Z48" s="65" t="str">
        <f t="shared" si="24"/>
        <v/>
      </c>
      <c r="AA48" s="65" t="e">
        <f t="shared" si="25"/>
        <v>#VALUE!</v>
      </c>
      <c r="AB48" s="65" t="e">
        <f t="shared" si="19"/>
        <v>#VALUE!</v>
      </c>
      <c r="AC48" s="161">
        <f t="shared" si="0"/>
        <v>45478</v>
      </c>
      <c r="AD48" s="166">
        <f t="shared" si="9"/>
        <v>49.8</v>
      </c>
      <c r="AJ48" s="79"/>
      <c r="AK48" s="145">
        <v>6</v>
      </c>
      <c r="AL48" s="146" t="str">
        <f t="shared" ca="1" si="26"/>
        <v>Scotland</v>
      </c>
      <c r="AM48" s="146" t="str">
        <f t="shared" ca="1" si="27"/>
        <v>0-0-0</v>
      </c>
      <c r="AN48" s="146">
        <f t="shared" ca="1" si="28"/>
        <v>0</v>
      </c>
      <c r="AO48" s="147">
        <f t="shared" ca="1" si="29"/>
        <v>0</v>
      </c>
      <c r="AP48" s="75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K48" s="58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H48" s="75"/>
      <c r="GI48" s="157"/>
      <c r="GJ48" s="157"/>
      <c r="GK48" s="75"/>
      <c r="GL48" s="75"/>
      <c r="GM48" s="75"/>
      <c r="GN48" s="75"/>
      <c r="GO48" s="75"/>
      <c r="GP48" s="75"/>
    </row>
    <row r="49" spans="1:198" s="11" customFormat="1" ht="30" customHeight="1" x14ac:dyDescent="0.25">
      <c r="A49" s="20"/>
      <c r="B49" s="122">
        <v>46</v>
      </c>
      <c r="C49" s="122" t="s">
        <v>74</v>
      </c>
      <c r="D49" s="123">
        <v>45478</v>
      </c>
      <c r="E49" s="122" t="s">
        <v>84</v>
      </c>
      <c r="F49" s="124">
        <v>0.875</v>
      </c>
      <c r="G49" s="125">
        <f t="shared" si="8"/>
        <v>45478.625</v>
      </c>
      <c r="H49" s="122" t="str">
        <f>IF(I47="","Quarterfinal 2",O44&amp;" - "&amp;O45)</f>
        <v>Quarterfinal 2</v>
      </c>
      <c r="I49" s="49"/>
      <c r="J49" s="62"/>
      <c r="K49" s="66"/>
      <c r="L49" s="63" t="str">
        <f t="shared" si="20"/>
        <v/>
      </c>
      <c r="M49" s="65" t="e">
        <f t="shared" si="13"/>
        <v>#VALUE!</v>
      </c>
      <c r="N49" s="65" t="e">
        <f t="shared" si="14"/>
        <v>#VALUE!</v>
      </c>
      <c r="O49" s="65" t="str">
        <f t="shared" si="15"/>
        <v/>
      </c>
      <c r="P49" s="65" t="str">
        <f t="shared" si="16"/>
        <v/>
      </c>
      <c r="Q49" s="65" t="str">
        <f t="shared" si="17"/>
        <v/>
      </c>
      <c r="R49" s="65" t="str">
        <f t="shared" si="18"/>
        <v/>
      </c>
      <c r="S49" s="65"/>
      <c r="T49" s="65"/>
      <c r="U49" s="65"/>
      <c r="V49" s="65"/>
      <c r="W49" s="65" t="str">
        <f t="shared" si="21"/>
        <v/>
      </c>
      <c r="X49" s="65" t="str">
        <f t="shared" si="22"/>
        <v/>
      </c>
      <c r="Y49" s="65" t="str">
        <f t="shared" si="23"/>
        <v/>
      </c>
      <c r="Z49" s="65" t="str">
        <f t="shared" si="24"/>
        <v/>
      </c>
      <c r="AA49" s="65" t="e">
        <f t="shared" si="25"/>
        <v>#VALUE!</v>
      </c>
      <c r="AB49" s="65" t="e">
        <f t="shared" si="19"/>
        <v>#VALUE!</v>
      </c>
      <c r="AC49" s="161">
        <f t="shared" si="0"/>
        <v>45478</v>
      </c>
      <c r="AD49" s="166">
        <f t="shared" si="9"/>
        <v>50.9</v>
      </c>
      <c r="AJ49" s="79"/>
      <c r="AK49" s="79"/>
      <c r="AL49" s="79"/>
      <c r="AM49" s="79"/>
      <c r="AN49" s="79"/>
      <c r="AO49" s="79"/>
      <c r="AP49" s="75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K49" s="58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H49" s="75"/>
      <c r="GI49" s="157"/>
      <c r="GJ49" s="157"/>
      <c r="GK49" s="75"/>
      <c r="GL49" s="75"/>
      <c r="GM49" s="75"/>
      <c r="GN49" s="75"/>
      <c r="GO49" s="75"/>
      <c r="GP49" s="75"/>
    </row>
    <row r="50" spans="1:198" s="11" customFormat="1" ht="30" customHeight="1" x14ac:dyDescent="0.25">
      <c r="A50" s="20"/>
      <c r="B50" s="122">
        <v>47</v>
      </c>
      <c r="C50" s="122" t="s">
        <v>74</v>
      </c>
      <c r="D50" s="123">
        <v>45479</v>
      </c>
      <c r="E50" s="122" t="s">
        <v>80</v>
      </c>
      <c r="F50" s="124">
        <v>0.875</v>
      </c>
      <c r="G50" s="125">
        <f t="shared" si="8"/>
        <v>45479.625</v>
      </c>
      <c r="H50" s="122" t="str">
        <f>IF(I47="","Quarterfinal 3",O46&amp;" - "&amp;O47)</f>
        <v>Quarterfinal 3</v>
      </c>
      <c r="I50" s="49"/>
      <c r="J50" s="62"/>
      <c r="K50" s="66"/>
      <c r="L50" s="63" t="str">
        <f t="shared" si="20"/>
        <v/>
      </c>
      <c r="M50" s="65" t="e">
        <f t="shared" si="13"/>
        <v>#VALUE!</v>
      </c>
      <c r="N50" s="65" t="e">
        <f t="shared" si="14"/>
        <v>#VALUE!</v>
      </c>
      <c r="O50" s="65" t="str">
        <f t="shared" si="15"/>
        <v/>
      </c>
      <c r="P50" s="65" t="str">
        <f t="shared" si="16"/>
        <v/>
      </c>
      <c r="Q50" s="65" t="str">
        <f t="shared" si="17"/>
        <v/>
      </c>
      <c r="R50" s="65" t="str">
        <f t="shared" si="18"/>
        <v/>
      </c>
      <c r="S50" s="65"/>
      <c r="T50" s="65"/>
      <c r="U50" s="65"/>
      <c r="V50" s="65"/>
      <c r="W50" s="65" t="str">
        <f t="shared" si="21"/>
        <v/>
      </c>
      <c r="X50" s="65" t="str">
        <f t="shared" si="22"/>
        <v/>
      </c>
      <c r="Y50" s="65" t="str">
        <f t="shared" si="23"/>
        <v/>
      </c>
      <c r="Z50" s="65" t="str">
        <f t="shared" si="24"/>
        <v/>
      </c>
      <c r="AA50" s="65" t="e">
        <f t="shared" si="25"/>
        <v>#VALUE!</v>
      </c>
      <c r="AB50" s="65" t="e">
        <f t="shared" si="19"/>
        <v>#VALUE!</v>
      </c>
      <c r="AC50" s="161">
        <f t="shared" si="0"/>
        <v>45479</v>
      </c>
      <c r="AD50" s="166">
        <f t="shared" si="9"/>
        <v>53</v>
      </c>
      <c r="AJ50" s="79"/>
      <c r="AK50" s="181"/>
      <c r="AL50" s="181"/>
      <c r="AM50" s="80"/>
      <c r="AN50" s="81"/>
      <c r="AO50" s="80"/>
      <c r="AP50" s="75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K50" s="58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H50" s="75"/>
      <c r="GI50" s="157"/>
      <c r="GJ50" s="157"/>
      <c r="GK50" s="75"/>
      <c r="GL50" s="75"/>
      <c r="GM50" s="75"/>
      <c r="GN50" s="75"/>
      <c r="GO50" s="75"/>
      <c r="GP50" s="75"/>
    </row>
    <row r="51" spans="1:198" s="11" customFormat="1" ht="30" customHeight="1" thickBot="1" x14ac:dyDescent="0.3">
      <c r="A51" s="20"/>
      <c r="B51" s="127">
        <v>48</v>
      </c>
      <c r="C51" s="127" t="s">
        <v>74</v>
      </c>
      <c r="D51" s="128">
        <v>45479</v>
      </c>
      <c r="E51" s="127" t="s">
        <v>85</v>
      </c>
      <c r="F51" s="129">
        <v>0.75</v>
      </c>
      <c r="G51" s="130">
        <f t="shared" si="8"/>
        <v>45479.5</v>
      </c>
      <c r="H51" s="127" t="str">
        <f>IF(I47="","Quarterfinal 4",O43&amp;" - "&amp;O41)</f>
        <v>Quarterfinal 4</v>
      </c>
      <c r="I51" s="51"/>
      <c r="J51" s="62"/>
      <c r="K51" s="66"/>
      <c r="L51" s="63" t="str">
        <f t="shared" si="20"/>
        <v/>
      </c>
      <c r="M51" s="65" t="e">
        <f t="shared" si="13"/>
        <v>#VALUE!</v>
      </c>
      <c r="N51" s="65" t="e">
        <f t="shared" si="14"/>
        <v>#VALUE!</v>
      </c>
      <c r="O51" s="65" t="str">
        <f t="shared" si="15"/>
        <v/>
      </c>
      <c r="P51" s="65" t="str">
        <f t="shared" si="16"/>
        <v/>
      </c>
      <c r="Q51" s="65" t="str">
        <f t="shared" si="17"/>
        <v/>
      </c>
      <c r="R51" s="65" t="str">
        <f t="shared" si="18"/>
        <v/>
      </c>
      <c r="S51" s="65"/>
      <c r="T51" s="65"/>
      <c r="U51" s="65"/>
      <c r="V51" s="65"/>
      <c r="W51" s="65" t="str">
        <f t="shared" si="21"/>
        <v/>
      </c>
      <c r="X51" s="65" t="str">
        <f t="shared" si="22"/>
        <v/>
      </c>
      <c r="Y51" s="65" t="str">
        <f t="shared" si="23"/>
        <v/>
      </c>
      <c r="Z51" s="65" t="str">
        <f t="shared" si="24"/>
        <v/>
      </c>
      <c r="AA51" s="65" t="e">
        <f t="shared" si="25"/>
        <v>#VALUE!</v>
      </c>
      <c r="AB51" s="65" t="e">
        <f t="shared" si="19"/>
        <v>#VALUE!</v>
      </c>
      <c r="AC51" s="161">
        <f t="shared" si="0"/>
        <v>45479</v>
      </c>
      <c r="AD51" s="166">
        <f t="shared" si="9"/>
        <v>52.1</v>
      </c>
      <c r="AJ51" s="79"/>
      <c r="AK51" s="79"/>
      <c r="AL51" s="79"/>
      <c r="AM51" s="79"/>
      <c r="AN51" s="79"/>
      <c r="AO51" s="79"/>
      <c r="AP51" s="75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K51" s="58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H51" s="75"/>
      <c r="GI51" s="157"/>
      <c r="GJ51" s="157"/>
      <c r="GK51" s="75"/>
      <c r="GL51" s="75"/>
      <c r="GM51" s="75"/>
      <c r="GN51" s="75"/>
      <c r="GO51" s="75"/>
      <c r="GP51" s="75"/>
    </row>
    <row r="52" spans="1:198" s="11" customFormat="1" ht="30" customHeight="1" x14ac:dyDescent="0.25">
      <c r="A52" s="20"/>
      <c r="B52" s="113">
        <v>49</v>
      </c>
      <c r="C52" s="113" t="s">
        <v>75</v>
      </c>
      <c r="D52" s="114">
        <v>45482</v>
      </c>
      <c r="E52" s="113" t="s">
        <v>78</v>
      </c>
      <c r="F52" s="115">
        <v>0.875</v>
      </c>
      <c r="G52" s="116">
        <f>D52+TIME(HOUR(F52)+$A$7,0,0)</f>
        <v>45482.625</v>
      </c>
      <c r="H52" s="113" t="str">
        <f>IF(I51="","Semifinal 1",O48&amp;" - "&amp;O49)</f>
        <v>Semifinal 1</v>
      </c>
      <c r="I52" s="50"/>
      <c r="J52" s="62"/>
      <c r="K52" s="66"/>
      <c r="L52" s="63" t="str">
        <f t="shared" si="20"/>
        <v/>
      </c>
      <c r="M52" s="65" t="e">
        <f t="shared" si="13"/>
        <v>#VALUE!</v>
      </c>
      <c r="N52" s="65" t="e">
        <f t="shared" si="14"/>
        <v>#VALUE!</v>
      </c>
      <c r="O52" s="65" t="str">
        <f>IF(L52="","",IF(L52=M52,M52,N52))</f>
        <v/>
      </c>
      <c r="P52" s="65" t="str">
        <f>IF(L52="","",IF(O52=M52,N52,M52))</f>
        <v/>
      </c>
      <c r="Q52" s="65" t="str">
        <f>IF(I52="","",LEFT(I52,FIND(":",I52,1)-1)*1)</f>
        <v/>
      </c>
      <c r="R52" s="65" t="str">
        <f>IF(I52="","",MID(I52,FIND(":",I52,1)+1,LEN(I52)-FIND(":",I52,1)+1)*1)</f>
        <v/>
      </c>
      <c r="S52" s="65"/>
      <c r="T52" s="65"/>
      <c r="U52" s="65"/>
      <c r="V52" s="65"/>
      <c r="W52" s="65" t="str">
        <f t="shared" si="21"/>
        <v/>
      </c>
      <c r="X52" s="65" t="str">
        <f t="shared" si="22"/>
        <v/>
      </c>
      <c r="Y52" s="65" t="str">
        <f t="shared" si="23"/>
        <v/>
      </c>
      <c r="Z52" s="65" t="str">
        <f t="shared" si="24"/>
        <v/>
      </c>
      <c r="AA52" s="65" t="e">
        <f t="shared" si="25"/>
        <v>#VALUE!</v>
      </c>
      <c r="AB52" s="65" t="e">
        <f t="shared" si="19"/>
        <v>#VALUE!</v>
      </c>
      <c r="AC52" s="161">
        <f t="shared" si="0"/>
        <v>45482</v>
      </c>
      <c r="AD52" s="166">
        <f t="shared" si="9"/>
        <v>54.2</v>
      </c>
      <c r="AJ52" s="75"/>
      <c r="AK52" s="79"/>
      <c r="AL52" s="79"/>
      <c r="AM52" s="79"/>
      <c r="AN52" s="79"/>
      <c r="AO52" s="79"/>
      <c r="AP52" s="75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K52" s="58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H52" s="75"/>
      <c r="GI52" s="157"/>
      <c r="GJ52" s="157"/>
      <c r="GK52" s="75"/>
      <c r="GL52" s="75"/>
      <c r="GM52" s="75"/>
      <c r="GN52" s="75"/>
      <c r="GO52" s="75"/>
      <c r="GP52" s="75"/>
    </row>
    <row r="53" spans="1:198" s="11" customFormat="1" ht="30" customHeight="1" thickBot="1" x14ac:dyDescent="0.3">
      <c r="A53" s="20"/>
      <c r="B53" s="127">
        <v>50</v>
      </c>
      <c r="C53" s="127" t="s">
        <v>75</v>
      </c>
      <c r="D53" s="128">
        <v>45483</v>
      </c>
      <c r="E53" s="127" t="s">
        <v>81</v>
      </c>
      <c r="F53" s="129">
        <v>0.875</v>
      </c>
      <c r="G53" s="130">
        <f>D53+TIME(HOUR(F53)+$A$7,0,0)</f>
        <v>45483.625</v>
      </c>
      <c r="H53" s="127" t="str">
        <f>IF(I51="","Semifinal 2",O50&amp;" - "&amp;O51)</f>
        <v>Semifinal 2</v>
      </c>
      <c r="I53" s="51"/>
      <c r="J53" s="62"/>
      <c r="K53" s="66"/>
      <c r="L53" s="63" t="str">
        <f t="shared" si="20"/>
        <v/>
      </c>
      <c r="M53" s="65" t="e">
        <f>IF(OR(LEFT(H53,1)=" ",H53=""),"N/A",LEFT(H53,FIND(" -",H53,1)-1))</f>
        <v>#VALUE!</v>
      </c>
      <c r="N53" s="65" t="e">
        <f>IF(OR(RIGHT(H53)=" ",H53=""),"N/A",MID(H53,FIND("-",H53,1)+2,LEN(H53)-FIND("-",H53,1)+2))</f>
        <v>#VALUE!</v>
      </c>
      <c r="O53" s="65" t="str">
        <f>IF(L53="","",IF(L53=M53,M53,N53))</f>
        <v/>
      </c>
      <c r="P53" s="65" t="str">
        <f>IF(L53="","",IF(O53=M53,N53,M53))</f>
        <v/>
      </c>
      <c r="Q53" s="65" t="str">
        <f>IF(I53="","",LEFT(I53,FIND(":",I53,1)-1)*1)</f>
        <v/>
      </c>
      <c r="R53" s="65" t="str">
        <f>IF(I53="","",MID(I53,FIND(":",I53,1)+1,LEN(I53)-FIND(":",I53,1)+1)*1)</f>
        <v/>
      </c>
      <c r="S53" s="65"/>
      <c r="T53" s="65"/>
      <c r="U53" s="65"/>
      <c r="V53" s="65"/>
      <c r="W53" s="65" t="str">
        <f t="shared" si="21"/>
        <v/>
      </c>
      <c r="X53" s="65" t="str">
        <f t="shared" si="22"/>
        <v/>
      </c>
      <c r="Y53" s="65" t="str">
        <f t="shared" si="23"/>
        <v/>
      </c>
      <c r="Z53" s="65" t="str">
        <f t="shared" si="24"/>
        <v/>
      </c>
      <c r="AA53" s="65" t="e">
        <f t="shared" si="25"/>
        <v>#VALUE!</v>
      </c>
      <c r="AB53" s="65" t="e">
        <f t="shared" si="19"/>
        <v>#VALUE!</v>
      </c>
      <c r="AC53" s="161">
        <f t="shared" si="0"/>
        <v>45483</v>
      </c>
      <c r="AD53" s="166">
        <f t="shared" si="9"/>
        <v>55.3</v>
      </c>
      <c r="AJ53" s="75"/>
      <c r="AK53" s="79"/>
      <c r="AL53" s="79"/>
      <c r="AM53" s="79"/>
      <c r="AN53" s="79"/>
      <c r="AO53" s="79"/>
      <c r="AP53" s="75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K53" s="58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H53" s="75"/>
      <c r="GI53" s="157"/>
      <c r="GJ53" s="157"/>
      <c r="GK53" s="75"/>
      <c r="GL53" s="75"/>
      <c r="GM53" s="75"/>
      <c r="GN53" s="75"/>
      <c r="GO53" s="75"/>
      <c r="GP53" s="75"/>
    </row>
    <row r="54" spans="1:198" s="11" customFormat="1" ht="30" customHeight="1" x14ac:dyDescent="0.25">
      <c r="A54" s="20"/>
      <c r="B54" s="113">
        <v>51</v>
      </c>
      <c r="C54" s="113" t="s">
        <v>45</v>
      </c>
      <c r="D54" s="114">
        <v>45487</v>
      </c>
      <c r="E54" s="113" t="s">
        <v>80</v>
      </c>
      <c r="F54" s="115">
        <v>0.875</v>
      </c>
      <c r="G54" s="116">
        <f>D54+TIME(HOUR(F54)+$A$7,0,0)</f>
        <v>45487.625</v>
      </c>
      <c r="H54" s="113" t="str">
        <f>IF(I53="","Final",O52&amp;" - "&amp;O53)</f>
        <v>Final</v>
      </c>
      <c r="I54" s="50"/>
      <c r="J54" s="62"/>
      <c r="K54" s="66"/>
      <c r="L54" s="63" t="str">
        <f t="shared" si="20"/>
        <v/>
      </c>
      <c r="M54" s="65" t="e">
        <f>IF(OR(LEFT(H54,1)=" ",H54=""),"N/A",LEFT(H54,FIND(" -",H54,1)-1))</f>
        <v>#VALUE!</v>
      </c>
      <c r="N54" s="65" t="e">
        <f>IF(OR(RIGHT(H54)=" ",H54=""),"N/A",MID(H54,FIND("-",H54,1)+2,LEN(H54)-FIND("-",H54,1)+2))</f>
        <v>#VALUE!</v>
      </c>
      <c r="O54" s="65" t="str">
        <f>IF(L54="","",IF(L54=M54,M54,N54))</f>
        <v/>
      </c>
      <c r="P54" s="65" t="str">
        <f>IF(L54="","",IF(O54=M54,N54,M54))</f>
        <v/>
      </c>
      <c r="Q54" s="65" t="str">
        <f>IF(I54="","",LEFT(I54,FIND(":",I54,1)-1)*1)</f>
        <v/>
      </c>
      <c r="R54" s="65" t="str">
        <f>IF(I54="","",MID(I54,FIND(":",I54,1)+1,LEN(I54)-FIND(":",I54,1)+1)*1)</f>
        <v/>
      </c>
      <c r="S54" s="65"/>
      <c r="T54" s="65"/>
      <c r="U54" s="65"/>
      <c r="V54" s="65"/>
      <c r="W54" s="65" t="str">
        <f>IF(J54="","",LEFT(J54,FIND(":",J54,1)-1)*1)</f>
        <v/>
      </c>
      <c r="X54" s="65" t="str">
        <f>IF(J54="","",MID(J54,FIND(":",J54,1)+1,LEN(J54)-FIND(":",J54,1)+1)*1)</f>
        <v/>
      </c>
      <c r="Y54" s="65" t="str">
        <f>IF(K54="","",LEFT(K54,FIND(":",K54,1)-1)*1)</f>
        <v/>
      </c>
      <c r="Z54" s="65" t="str">
        <f>IF(K54="","",MID(K54,FIND(":",K54,1)+1,LEN(K54)-FIND(":",K54,1)+1)*1)</f>
        <v/>
      </c>
      <c r="AA54" s="65" t="e">
        <f t="shared" si="25"/>
        <v>#VALUE!</v>
      </c>
      <c r="AB54" s="65" t="e">
        <f t="shared" si="19"/>
        <v>#VALUE!</v>
      </c>
      <c r="AC54" s="161">
        <f t="shared" si="0"/>
        <v>45487</v>
      </c>
      <c r="AD54" s="166">
        <f t="shared" si="9"/>
        <v>56.4</v>
      </c>
      <c r="AJ54" s="75"/>
      <c r="AK54" s="79"/>
      <c r="AL54" s="79"/>
      <c r="AM54" s="79"/>
      <c r="AN54" s="79"/>
      <c r="AO54" s="79"/>
      <c r="AP54" s="75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K54" s="58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H54" s="75"/>
      <c r="GI54" s="157"/>
      <c r="GJ54" s="157"/>
      <c r="GK54" s="75"/>
      <c r="GL54" s="75"/>
      <c r="GM54" s="75"/>
      <c r="GN54" s="75"/>
      <c r="GO54" s="75"/>
      <c r="GP54" s="75"/>
    </row>
    <row r="55" spans="1:198" ht="17.25" thickBot="1" x14ac:dyDescent="0.35">
      <c r="A55" s="21"/>
      <c r="D55" s="14"/>
      <c r="F55" s="15"/>
      <c r="G55" s="16"/>
      <c r="L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K55" s="11"/>
      <c r="AL55" s="11"/>
      <c r="AM55" s="11"/>
      <c r="AN55" s="11"/>
      <c r="AO55" s="11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CK55" s="60"/>
      <c r="GI55" s="156"/>
      <c r="GJ55" s="159"/>
    </row>
    <row r="56" spans="1:198" ht="17.25" thickBot="1" x14ac:dyDescent="0.35">
      <c r="A56" s="21"/>
      <c r="B56" s="32" t="s">
        <v>76</v>
      </c>
      <c r="C56" s="31" t="s">
        <v>13</v>
      </c>
      <c r="D56" s="14"/>
      <c r="E56" s="89"/>
      <c r="F56" s="89"/>
      <c r="G56" s="90"/>
      <c r="H56" s="89"/>
      <c r="I56" s="91"/>
      <c r="J56" s="91"/>
      <c r="K56" s="91"/>
      <c r="L56" s="89"/>
      <c r="M56" s="89"/>
      <c r="N56" s="92"/>
      <c r="O56" s="92"/>
      <c r="P56" s="92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92"/>
      <c r="AF56" s="92"/>
      <c r="AG56" s="92"/>
      <c r="AH56" s="92"/>
      <c r="AI56" s="92"/>
      <c r="AJ56" s="92"/>
      <c r="AK56" s="11"/>
      <c r="AL56" s="11"/>
      <c r="AM56" s="11"/>
      <c r="AN56" s="11"/>
      <c r="AO56" s="11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CK56" s="60"/>
      <c r="GI56" s="156"/>
      <c r="GJ56" s="159"/>
    </row>
    <row r="57" spans="1:198" x14ac:dyDescent="0.3">
      <c r="A57" s="21"/>
      <c r="B57" s="87" t="s">
        <v>73</v>
      </c>
      <c r="C57" s="88" t="e">
        <f>M40</f>
        <v>#VALUE!</v>
      </c>
      <c r="D57" s="14"/>
      <c r="E57" s="6" t="s">
        <v>48</v>
      </c>
      <c r="F57" s="7" t="e">
        <f>CONCATENATE(C57,",",C58,",",C59,",",C60,",",C61,",",C62,",",C63,",",C64,",",C65,",",C66,",",C67,",",C68,",",C69,",",C70,",",C71,",",C72)</f>
        <v>#VALUE!</v>
      </c>
      <c r="L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K57" s="11"/>
      <c r="AL57" s="11"/>
      <c r="AM57" s="11"/>
      <c r="AN57" s="11"/>
      <c r="AO57" s="11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CK57" s="60"/>
      <c r="GI57" s="159"/>
      <c r="GJ57" s="159"/>
    </row>
    <row r="58" spans="1:198" x14ac:dyDescent="0.3">
      <c r="A58" s="21"/>
      <c r="B58" s="33" t="s">
        <v>73</v>
      </c>
      <c r="C58" s="34" t="e">
        <f t="shared" ref="C58:C63" si="30">M41</f>
        <v>#VALUE!</v>
      </c>
      <c r="D58" s="14"/>
      <c r="E58" s="6" t="s">
        <v>74</v>
      </c>
      <c r="F58" s="7" t="e">
        <f>CONCATENATE(C73,",",C74,",",C75,",",C76,",",C77,",",C78,",",C79,",",C80)</f>
        <v>#VALUE!</v>
      </c>
      <c r="L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CK58" s="60"/>
      <c r="GI58" s="159"/>
      <c r="GJ58" s="159"/>
    </row>
    <row r="59" spans="1:198" x14ac:dyDescent="0.3">
      <c r="A59" s="21"/>
      <c r="B59" s="33" t="s">
        <v>73</v>
      </c>
      <c r="C59" s="34" t="e">
        <f t="shared" si="30"/>
        <v>#VALUE!</v>
      </c>
      <c r="D59" s="14"/>
      <c r="E59" s="6" t="s">
        <v>75</v>
      </c>
      <c r="F59" s="7" t="e">
        <f>CONCATENATE(C81,",",C82,",",C83,",",C84)</f>
        <v>#VALUE!</v>
      </c>
      <c r="L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CK59" s="60"/>
      <c r="GI59" s="159"/>
      <c r="GJ59" s="159"/>
    </row>
    <row r="60" spans="1:198" x14ac:dyDescent="0.3">
      <c r="A60" s="21"/>
      <c r="B60" s="33" t="s">
        <v>73</v>
      </c>
      <c r="C60" s="34" t="e">
        <f t="shared" si="30"/>
        <v>#VALUE!</v>
      </c>
      <c r="D60" s="14"/>
      <c r="E60" s="6" t="s">
        <v>45</v>
      </c>
      <c r="F60" s="7" t="e">
        <f>CONCATENATE(C85,",",C86)</f>
        <v>#VALUE!</v>
      </c>
      <c r="L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CK60" s="60"/>
      <c r="GI60" s="159"/>
      <c r="GJ60" s="159"/>
    </row>
    <row r="61" spans="1:198" x14ac:dyDescent="0.3">
      <c r="A61" s="21"/>
      <c r="B61" s="33" t="s">
        <v>73</v>
      </c>
      <c r="C61" s="34" t="e">
        <f t="shared" si="30"/>
        <v>#VALUE!</v>
      </c>
      <c r="D61" s="14"/>
      <c r="E61" s="89"/>
      <c r="F61" s="89"/>
      <c r="G61" s="90"/>
      <c r="H61" s="89"/>
      <c r="I61" s="91"/>
      <c r="J61" s="91"/>
      <c r="K61" s="91"/>
      <c r="L61" s="89"/>
      <c r="M61" s="89"/>
      <c r="N61" s="92"/>
      <c r="O61" s="92"/>
      <c r="P61" s="92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92"/>
      <c r="AF61" s="92"/>
      <c r="AG61" s="92"/>
      <c r="AH61" s="92"/>
      <c r="AI61" s="92"/>
      <c r="AJ61" s="92"/>
      <c r="CK61" s="60"/>
      <c r="GI61" s="159"/>
      <c r="GJ61" s="159"/>
    </row>
    <row r="62" spans="1:198" x14ac:dyDescent="0.3">
      <c r="B62" s="33" t="s">
        <v>73</v>
      </c>
      <c r="C62" s="34" t="e">
        <f t="shared" si="30"/>
        <v>#VALUE!</v>
      </c>
      <c r="D62" s="14"/>
      <c r="E62" s="173" t="s">
        <v>184</v>
      </c>
      <c r="F62" s="173">
        <f>COUNTA(K4:K54)</f>
        <v>0</v>
      </c>
      <c r="G62" s="90"/>
      <c r="H62" s="89"/>
      <c r="I62" s="91"/>
      <c r="J62" s="91"/>
      <c r="K62" s="91"/>
      <c r="L62" s="89"/>
      <c r="M62" s="89"/>
      <c r="N62" s="92"/>
      <c r="O62" s="92"/>
      <c r="P62" s="92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92"/>
      <c r="AF62" s="92"/>
      <c r="AG62" s="92"/>
      <c r="AH62" s="92"/>
      <c r="AI62" s="92"/>
      <c r="AJ62" s="92"/>
      <c r="GI62" s="159"/>
      <c r="GJ62" s="159"/>
    </row>
    <row r="63" spans="1:198" x14ac:dyDescent="0.3">
      <c r="B63" s="33" t="s">
        <v>73</v>
      </c>
      <c r="C63" s="34" t="e">
        <f t="shared" si="30"/>
        <v>#VALUE!</v>
      </c>
      <c r="E63" s="89"/>
      <c r="F63" s="89"/>
      <c r="G63" s="90"/>
      <c r="H63" s="89"/>
      <c r="I63" s="91"/>
      <c r="J63" s="91"/>
      <c r="K63" s="91"/>
      <c r="L63" s="91"/>
      <c r="M63" s="89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GI63" s="159"/>
      <c r="GJ63" s="159"/>
    </row>
    <row r="64" spans="1:198" x14ac:dyDescent="0.3">
      <c r="B64" s="33" t="s">
        <v>73</v>
      </c>
      <c r="C64" s="34" t="e">
        <f>M47</f>
        <v>#VALUE!</v>
      </c>
      <c r="E64" s="89"/>
      <c r="F64" s="89"/>
      <c r="G64" s="90"/>
      <c r="H64" s="89"/>
      <c r="I64" s="91"/>
      <c r="J64" s="91"/>
      <c r="K64" s="91"/>
      <c r="L64" s="91"/>
      <c r="M64" s="89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GI64" s="159"/>
      <c r="GJ64" s="159"/>
    </row>
    <row r="65" spans="2:192" x14ac:dyDescent="0.3">
      <c r="B65" s="33" t="s">
        <v>73</v>
      </c>
      <c r="C65" s="34" t="e">
        <f>N40</f>
        <v>#VALUE!</v>
      </c>
      <c r="E65" s="89"/>
      <c r="F65" s="89"/>
      <c r="G65" s="90"/>
      <c r="H65" s="89"/>
      <c r="I65" s="91"/>
      <c r="J65" s="91"/>
      <c r="K65" s="91"/>
      <c r="L65" s="91"/>
      <c r="M65" s="89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GI65" s="159"/>
      <c r="GJ65" s="159"/>
    </row>
    <row r="66" spans="2:192" x14ac:dyDescent="0.3">
      <c r="B66" s="33" t="s">
        <v>73</v>
      </c>
      <c r="C66" s="34" t="e">
        <f t="shared" ref="C66:C72" si="31">N41</f>
        <v>#VALUE!</v>
      </c>
      <c r="E66" s="89"/>
      <c r="F66" s="89"/>
      <c r="G66" s="90"/>
      <c r="H66" s="89"/>
      <c r="I66" s="91"/>
      <c r="J66" s="91"/>
      <c r="K66" s="91"/>
      <c r="L66" s="91"/>
      <c r="M66" s="89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GI66" s="159"/>
      <c r="GJ66" s="159"/>
    </row>
    <row r="67" spans="2:192" x14ac:dyDescent="0.3">
      <c r="B67" s="33" t="s">
        <v>73</v>
      </c>
      <c r="C67" s="34" t="e">
        <f t="shared" si="31"/>
        <v>#VALUE!</v>
      </c>
      <c r="E67" s="89"/>
      <c r="F67" s="89"/>
      <c r="G67" s="90"/>
      <c r="H67" s="89"/>
      <c r="I67" s="91"/>
      <c r="J67" s="91"/>
      <c r="K67" s="91"/>
      <c r="L67" s="91"/>
      <c r="M67" s="89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GI67" s="159"/>
      <c r="GJ67" s="159"/>
    </row>
    <row r="68" spans="2:192" x14ac:dyDescent="0.3">
      <c r="B68" s="33" t="s">
        <v>73</v>
      </c>
      <c r="C68" s="34" t="e">
        <f t="shared" si="31"/>
        <v>#VALUE!</v>
      </c>
      <c r="E68" s="2"/>
      <c r="F68" s="2"/>
      <c r="G68" s="47"/>
      <c r="H68" s="2"/>
      <c r="I68" s="46"/>
      <c r="J68" s="46"/>
      <c r="K68" s="46"/>
      <c r="L68" s="46"/>
      <c r="M68" s="2"/>
      <c r="N68" s="1"/>
      <c r="GI68" s="159"/>
      <c r="GJ68" s="159"/>
    </row>
    <row r="69" spans="2:192" x14ac:dyDescent="0.3">
      <c r="B69" s="33" t="s">
        <v>73</v>
      </c>
      <c r="C69" s="34" t="e">
        <f t="shared" si="31"/>
        <v>#VALUE!</v>
      </c>
      <c r="E69" s="2"/>
      <c r="F69" s="2"/>
      <c r="G69" s="47"/>
      <c r="H69" s="2"/>
      <c r="I69" s="46"/>
      <c r="J69" s="46"/>
      <c r="K69" s="46"/>
      <c r="L69" s="46"/>
      <c r="M69" s="2"/>
      <c r="N69" s="1"/>
      <c r="GI69" s="159"/>
      <c r="GJ69" s="159"/>
    </row>
    <row r="70" spans="2:192" x14ac:dyDescent="0.3">
      <c r="B70" s="33" t="s">
        <v>73</v>
      </c>
      <c r="C70" s="34" t="e">
        <f t="shared" si="31"/>
        <v>#VALUE!</v>
      </c>
      <c r="G70" s="47"/>
      <c r="H70" s="2"/>
      <c r="I70" s="46"/>
      <c r="J70" s="46"/>
      <c r="K70" s="46"/>
      <c r="L70" s="46"/>
      <c r="M70" s="2"/>
      <c r="N70" s="1"/>
      <c r="GI70" s="159"/>
      <c r="GJ70" s="159"/>
    </row>
    <row r="71" spans="2:192" x14ac:dyDescent="0.3">
      <c r="B71" s="33" t="s">
        <v>73</v>
      </c>
      <c r="C71" s="34" t="e">
        <f t="shared" si="31"/>
        <v>#VALUE!</v>
      </c>
      <c r="GI71" s="159"/>
      <c r="GJ71" s="159"/>
    </row>
    <row r="72" spans="2:192" x14ac:dyDescent="0.3">
      <c r="B72" s="33" t="s">
        <v>73</v>
      </c>
      <c r="C72" s="34" t="e">
        <f t="shared" si="31"/>
        <v>#VALUE!</v>
      </c>
      <c r="GI72" s="159"/>
    </row>
    <row r="73" spans="2:192" x14ac:dyDescent="0.3">
      <c r="B73" s="33" t="s">
        <v>74</v>
      </c>
      <c r="C73" s="34" t="e">
        <f>M48</f>
        <v>#VALUE!</v>
      </c>
      <c r="GI73" s="159"/>
    </row>
    <row r="74" spans="2:192" x14ac:dyDescent="0.3">
      <c r="B74" s="33" t="s">
        <v>74</v>
      </c>
      <c r="C74" s="34" t="e">
        <f>M49</f>
        <v>#VALUE!</v>
      </c>
    </row>
    <row r="75" spans="2:192" x14ac:dyDescent="0.3">
      <c r="B75" s="33" t="s">
        <v>74</v>
      </c>
      <c r="C75" s="34" t="e">
        <f>M50</f>
        <v>#VALUE!</v>
      </c>
    </row>
    <row r="76" spans="2:192" x14ac:dyDescent="0.3">
      <c r="B76" s="33" t="s">
        <v>74</v>
      </c>
      <c r="C76" s="34" t="e">
        <f>M51</f>
        <v>#VALUE!</v>
      </c>
    </row>
    <row r="77" spans="2:192" x14ac:dyDescent="0.3">
      <c r="B77" s="33" t="s">
        <v>74</v>
      </c>
      <c r="C77" s="34" t="e">
        <f>N48</f>
        <v>#VALUE!</v>
      </c>
    </row>
    <row r="78" spans="2:192" x14ac:dyDescent="0.3">
      <c r="B78" s="33" t="s">
        <v>74</v>
      </c>
      <c r="C78" s="34" t="e">
        <f>N49</f>
        <v>#VALUE!</v>
      </c>
    </row>
    <row r="79" spans="2:192" x14ac:dyDescent="0.3">
      <c r="B79" s="33" t="s">
        <v>74</v>
      </c>
      <c r="C79" s="34" t="e">
        <f>N50</f>
        <v>#VALUE!</v>
      </c>
    </row>
    <row r="80" spans="2:192" x14ac:dyDescent="0.3">
      <c r="B80" s="33" t="s">
        <v>74</v>
      </c>
      <c r="C80" s="34" t="e">
        <f>N51</f>
        <v>#VALUE!</v>
      </c>
    </row>
    <row r="81" spans="2:3" x14ac:dyDescent="0.3">
      <c r="B81" s="33" t="s">
        <v>75</v>
      </c>
      <c r="C81" s="34" t="e">
        <f>M52</f>
        <v>#VALUE!</v>
      </c>
    </row>
    <row r="82" spans="2:3" x14ac:dyDescent="0.3">
      <c r="B82" s="33" t="s">
        <v>75</v>
      </c>
      <c r="C82" s="34" t="e">
        <f>M53</f>
        <v>#VALUE!</v>
      </c>
    </row>
    <row r="83" spans="2:3" x14ac:dyDescent="0.3">
      <c r="B83" s="33" t="s">
        <v>75</v>
      </c>
      <c r="C83" s="34" t="e">
        <f>N52</f>
        <v>#VALUE!</v>
      </c>
    </row>
    <row r="84" spans="2:3" x14ac:dyDescent="0.3">
      <c r="B84" s="33" t="s">
        <v>75</v>
      </c>
      <c r="C84" s="34" t="e">
        <f>N53</f>
        <v>#VALUE!</v>
      </c>
    </row>
    <row r="85" spans="2:3" x14ac:dyDescent="0.3">
      <c r="B85" s="33" t="s">
        <v>45</v>
      </c>
      <c r="C85" s="34" t="e">
        <f>M54</f>
        <v>#VALUE!</v>
      </c>
    </row>
    <row r="86" spans="2:3" x14ac:dyDescent="0.3">
      <c r="B86" s="33" t="s">
        <v>45</v>
      </c>
      <c r="C86" s="34" t="e">
        <f>N54</f>
        <v>#VALUE!</v>
      </c>
    </row>
    <row r="87" spans="2:3" ht="17.25" thickBot="1" x14ac:dyDescent="0.35">
      <c r="B87" s="35" t="s">
        <v>184</v>
      </c>
      <c r="C87" s="36">
        <f>COUNTA(K4:K54)</f>
        <v>0</v>
      </c>
    </row>
  </sheetData>
  <mergeCells count="15">
    <mergeCell ref="AK50:AL50"/>
    <mergeCell ref="B1:L1"/>
    <mergeCell ref="AK3:AO3"/>
    <mergeCell ref="AK5:AL5"/>
    <mergeCell ref="AK11:AL11"/>
    <mergeCell ref="AK17:AL17"/>
    <mergeCell ref="AK23:AL23"/>
    <mergeCell ref="AK41:AO41"/>
    <mergeCell ref="AJ1:AO1"/>
    <mergeCell ref="AJ2:AO2"/>
    <mergeCell ref="GS3:GX3"/>
    <mergeCell ref="GS4:GX4"/>
    <mergeCell ref="GY3:GY19"/>
    <mergeCell ref="AK29:AL29"/>
    <mergeCell ref="AK35:AL35"/>
  </mergeCells>
  <phoneticPr fontId="24" type="noConversion"/>
  <conditionalFormatting sqref="A5 A8">
    <cfRule type="expression" dxfId="95" priority="37">
      <formula>AND(LEN($M2)&gt;0,(OR(IFERROR(FIND($M2,$GQ$30,1)&gt;0,0),IFERROR(FIND($N2,$GQ$30,1)&gt;0,0))))</formula>
    </cfRule>
  </conditionalFormatting>
  <conditionalFormatting sqref="A6">
    <cfRule type="expression" dxfId="94" priority="39">
      <formula>AND(LEN($M2)&gt;0,(OR(IFERROR(FIND($M2,$GQ$30,1)&gt;0,0),IFERROR(FIND($N2,$GQ$30,1)&gt;0,0))))</formula>
    </cfRule>
  </conditionalFormatting>
  <conditionalFormatting sqref="A7">
    <cfRule type="expression" dxfId="93" priority="40">
      <formula>AND(LEN($M2)&gt;0,(OR(IFERROR(FIND($M2,$GQ$30,1)&gt;0,0),IFERROR(FIND($N2,$GQ$30,1)&gt;0,0))))</formula>
    </cfRule>
  </conditionalFormatting>
  <conditionalFormatting sqref="B4:I54">
    <cfRule type="expression" dxfId="92" priority="19">
      <formula>AND(LEN($M4)&gt;0,(OR(IFERROR(FIND($M4,$GQ$30,1)&gt;0,0),IFERROR(FIND($N4,$GQ$30,1)&gt;0,0))))</formula>
    </cfRule>
  </conditionalFormatting>
  <conditionalFormatting sqref="J40:K54">
    <cfRule type="expression" dxfId="91" priority="1">
      <formula>LEFT(I40,FIND(":",I40,1)-1)=RIGHT(I40,LEN(I40)-FIND(":",I40,1))</formula>
    </cfRule>
  </conditionalFormatting>
  <conditionalFormatting sqref="AK8:AO8">
    <cfRule type="expression" dxfId="90" priority="14">
      <formula>$AP8="X"</formula>
    </cfRule>
  </conditionalFormatting>
  <conditionalFormatting sqref="AK14:AO14">
    <cfRule type="expression" dxfId="89" priority="8">
      <formula>$AP14="X"</formula>
    </cfRule>
  </conditionalFormatting>
  <conditionalFormatting sqref="AK20:AO20">
    <cfRule type="expression" dxfId="88" priority="7">
      <formula>$AP20="X"</formula>
    </cfRule>
  </conditionalFormatting>
  <conditionalFormatting sqref="AK26:AO26">
    <cfRule type="expression" dxfId="87" priority="6">
      <formula>$AP26="X"</formula>
    </cfRule>
  </conditionalFormatting>
  <conditionalFormatting sqref="AK32:AO32">
    <cfRule type="expression" dxfId="86" priority="5">
      <formula>$AP32="X"</formula>
    </cfRule>
  </conditionalFormatting>
  <conditionalFormatting sqref="AK38:AO38">
    <cfRule type="expression" dxfId="85" priority="4">
      <formula>$AP38="X"</formula>
    </cfRule>
  </conditionalFormatting>
  <conditionalFormatting sqref="BC1:BC1048576">
    <cfRule type="expression" dxfId="84" priority="15">
      <formula>ISNUMBER(BC1)</formula>
    </cfRule>
  </conditionalFormatting>
  <conditionalFormatting sqref="CL4:DQ35">
    <cfRule type="expression" dxfId="83" priority="25">
      <formula>CL4=0</formula>
    </cfRule>
  </conditionalFormatting>
  <conditionalFormatting sqref="DT4:EY35">
    <cfRule type="expression" dxfId="82" priority="17">
      <formula>DT4=0</formula>
    </cfRule>
  </conditionalFormatting>
  <conditionalFormatting sqref="FB4:GG35">
    <cfRule type="expression" dxfId="81" priority="16">
      <formula>FB4=0</formula>
    </cfRule>
  </conditionalFormatting>
  <hyperlinks>
    <hyperlink ref="AJ2" r:id="rId1" xr:uid="{982D3D4A-BCF6-46F1-A84E-7E9F40291C91}"/>
  </hyperlinks>
  <pageMargins left="0.7" right="0.7" top="0.75" bottom="0.75" header="0.3" footer="0.3"/>
  <pageSetup orientation="portrait" horizontalDpi="4294967293" verticalDpi="0" r:id="rId2"/>
  <drawing r:id="rId3"/>
  <tableParts count="4"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B9802-0946-432C-84DB-57812D36032A}">
  <sheetPr>
    <tabColor theme="8" tint="0.39997558519241921"/>
  </sheetPr>
  <dimension ref="A1:HM87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T1" sqref="GT1:GT1048576"/>
    </sheetView>
  </sheetViews>
  <sheetFormatPr defaultRowHeight="16.5" x14ac:dyDescent="0.3"/>
  <cols>
    <col min="1" max="1" width="26.42578125" style="5" customWidth="1"/>
    <col min="2" max="2" width="13" style="6" customWidth="1"/>
    <col min="3" max="3" width="14.42578125" style="6" bestFit="1" customWidth="1"/>
    <col min="4" max="4" width="10.5703125" style="6" bestFit="1" customWidth="1"/>
    <col min="5" max="5" width="31.28515625" style="6" bestFit="1" customWidth="1"/>
    <col min="6" max="6" width="10.42578125" style="6" bestFit="1" customWidth="1"/>
    <col min="7" max="7" width="22.42578125" style="7" bestFit="1" customWidth="1"/>
    <col min="8" max="8" width="30.85546875" style="6" bestFit="1" customWidth="1"/>
    <col min="9" max="9" width="11.7109375" style="8" bestFit="1" customWidth="1"/>
    <col min="10" max="10" width="12.42578125" style="8" bestFit="1" customWidth="1"/>
    <col min="11" max="11" width="13" style="8" customWidth="1"/>
    <col min="12" max="12" width="17.28515625" style="8" bestFit="1" customWidth="1"/>
    <col min="13" max="13" width="18.85546875" style="8" hidden="1" customWidth="1"/>
    <col min="14" max="14" width="31.5703125" style="8" hidden="1" customWidth="1"/>
    <col min="15" max="15" width="31.7109375" style="8" hidden="1" customWidth="1"/>
    <col min="16" max="16" width="18.5703125" style="8" hidden="1" customWidth="1"/>
    <col min="17" max="17" width="26.85546875" style="8" hidden="1" customWidth="1"/>
    <col min="18" max="18" width="19.42578125" style="8" hidden="1" customWidth="1"/>
    <col min="19" max="19" width="19.140625" style="8" hidden="1" customWidth="1"/>
    <col min="20" max="20" width="18.7109375" style="8" hidden="1" customWidth="1"/>
    <col min="21" max="21" width="29.42578125" style="8" hidden="1" customWidth="1"/>
    <col min="22" max="22" width="27" style="8" hidden="1" customWidth="1"/>
    <col min="23" max="23" width="20.7109375" style="8" hidden="1" customWidth="1"/>
    <col min="24" max="24" width="14.28515625" style="6" hidden="1" customWidth="1"/>
    <col min="25" max="27" width="14.28515625" style="5" hidden="1" customWidth="1"/>
    <col min="28" max="37" width="17.28515625" style="5" hidden="1" customWidth="1"/>
    <col min="38" max="38" width="26.7109375" style="5" hidden="1" customWidth="1"/>
    <col min="39" max="40" width="17.28515625" style="5" hidden="1" customWidth="1"/>
    <col min="41" max="41" width="9.140625" style="5" hidden="1" customWidth="1"/>
    <col min="42" max="42" width="31.28515625" style="5" hidden="1" customWidth="1"/>
    <col min="43" max="44" width="9.140625" style="5" hidden="1" customWidth="1"/>
    <col min="45" max="45" width="1.42578125" style="5" hidden="1" customWidth="1"/>
    <col min="46" max="46" width="9.140625" style="5" customWidth="1"/>
    <col min="47" max="47" width="2.140625" style="6" bestFit="1" customWidth="1"/>
    <col min="48" max="48" width="17.28515625" style="5" bestFit="1" customWidth="1"/>
    <col min="49" max="49" width="9.140625" style="5" customWidth="1"/>
    <col min="50" max="50" width="4.42578125" style="6" bestFit="1" customWidth="1"/>
    <col min="51" max="51" width="9.140625" style="6" customWidth="1"/>
    <col min="52" max="52" width="10" style="67" customWidth="1"/>
    <col min="53" max="53" width="10" style="1" hidden="1" customWidth="1"/>
    <col min="54" max="54" width="9.140625" style="1" hidden="1" customWidth="1"/>
    <col min="55" max="55" width="9.140625" style="2" hidden="1" customWidth="1"/>
    <col min="56" max="56" width="17.28515625" style="2" hidden="1" customWidth="1"/>
    <col min="57" max="57" width="3" style="2" hidden="1" customWidth="1"/>
    <col min="58" max="58" width="2.5703125" style="2" hidden="1" customWidth="1"/>
    <col min="59" max="59" width="2.140625" style="2" hidden="1" customWidth="1"/>
    <col min="60" max="60" width="13.7109375" style="2" hidden="1" customWidth="1"/>
    <col min="61" max="61" width="15.42578125" style="1" hidden="1" customWidth="1"/>
    <col min="62" max="62" width="16.5703125" style="1" hidden="1" customWidth="1"/>
    <col min="63" max="63" width="18.140625" style="1" hidden="1" customWidth="1"/>
    <col min="64" max="64" width="9.140625" style="2" hidden="1" customWidth="1"/>
    <col min="65" max="65" width="11" style="2" hidden="1" customWidth="1"/>
    <col min="66" max="66" width="9.140625" style="2" hidden="1" customWidth="1"/>
    <col min="67" max="67" width="18.7109375" style="1" hidden="1" customWidth="1"/>
    <col min="68" max="68" width="18.7109375" style="2" hidden="1" customWidth="1"/>
    <col min="69" max="73" width="18.7109375" style="1" hidden="1" customWidth="1"/>
    <col min="74" max="75" width="22.7109375" style="1" hidden="1" customWidth="1"/>
    <col min="76" max="76" width="13.42578125" style="1" hidden="1" customWidth="1"/>
    <col min="77" max="79" width="9.140625" style="1" hidden="1" customWidth="1"/>
    <col min="80" max="80" width="18.5703125" style="1" hidden="1" customWidth="1"/>
    <col min="81" max="81" width="9.140625" style="1" hidden="1" customWidth="1"/>
    <col min="82" max="82" width="18.140625" style="1" hidden="1" customWidth="1"/>
    <col min="83" max="83" width="15.140625" style="1" hidden="1" customWidth="1"/>
    <col min="84" max="84" width="5.7109375" style="1" hidden="1" customWidth="1"/>
    <col min="85" max="85" width="13.7109375" style="1" hidden="1" customWidth="1"/>
    <col min="86" max="96" width="9.140625" style="1" hidden="1" customWidth="1"/>
    <col min="97" max="98" width="9.140625" style="5" hidden="1" customWidth="1"/>
    <col min="99" max="99" width="14.28515625" style="1" hidden="1" customWidth="1"/>
    <col min="100" max="131" width="4" style="54" hidden="1" customWidth="1"/>
    <col min="132" max="132" width="9.140625" style="1" hidden="1" customWidth="1"/>
    <col min="133" max="133" width="14.28515625" style="1" hidden="1" customWidth="1"/>
    <col min="134" max="165" width="4" style="1" hidden="1" customWidth="1"/>
    <col min="166" max="166" width="9.140625" style="1" hidden="1" customWidth="1"/>
    <col min="167" max="167" width="14.28515625" style="1" hidden="1" customWidth="1"/>
    <col min="168" max="193" width="4" style="1" hidden="1" customWidth="1"/>
    <col min="194" max="199" width="4" style="5" hidden="1" customWidth="1"/>
    <col min="200" max="200" width="9.140625" style="67" hidden="1" customWidth="1"/>
    <col min="201" max="201" width="23.7109375" style="160" bestFit="1" customWidth="1"/>
    <col min="202" max="202" width="12.42578125" style="160" customWidth="1"/>
    <col min="203" max="203" width="12" style="67" bestFit="1" customWidth="1"/>
    <col min="204" max="204" width="19.5703125" style="5" customWidth="1"/>
    <col min="205" max="208" width="12" style="67" customWidth="1"/>
    <col min="209" max="209" width="9.140625" style="5"/>
    <col min="210" max="221" width="9.140625" style="5" hidden="1" customWidth="1"/>
    <col min="222" max="16384" width="9.140625" style="5"/>
  </cols>
  <sheetData>
    <row r="1" spans="1:221" ht="120" customHeight="1" thickBot="1" x14ac:dyDescent="1.1000000000000001">
      <c r="A1" s="23"/>
      <c r="B1" s="182" t="s">
        <v>66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190" t="e" vm="1">
        <v>#VALUE!</v>
      </c>
      <c r="AU1" s="190"/>
      <c r="AV1" s="190"/>
      <c r="AW1" s="190"/>
      <c r="AX1" s="190"/>
      <c r="AY1" s="191"/>
      <c r="BT1" s="61"/>
      <c r="GS1" s="152"/>
      <c r="GT1" s="152"/>
      <c r="GU1" s="83"/>
      <c r="GV1" s="83"/>
      <c r="GW1" s="83"/>
      <c r="GX1" s="83"/>
      <c r="GY1" s="83"/>
      <c r="GZ1" s="83"/>
      <c r="HA1" s="67"/>
      <c r="HB1" s="67"/>
    </row>
    <row r="2" spans="1:221" s="67" customFormat="1" ht="17.25" thickBot="1" x14ac:dyDescent="0.35">
      <c r="B2" s="68"/>
      <c r="C2" s="68"/>
      <c r="D2" s="68"/>
      <c r="E2" s="68"/>
      <c r="F2" s="68"/>
      <c r="G2" s="69"/>
      <c r="H2" s="68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68"/>
      <c r="AT2" s="192" t="s">
        <v>191</v>
      </c>
      <c r="AU2" s="193"/>
      <c r="AV2" s="193"/>
      <c r="AW2" s="193"/>
      <c r="AX2" s="193"/>
      <c r="AY2" s="193"/>
      <c r="BA2" s="71"/>
      <c r="BB2" s="71"/>
      <c r="BC2" s="72"/>
      <c r="BD2" s="72"/>
      <c r="BE2" s="72"/>
      <c r="BF2" s="72"/>
      <c r="BG2" s="72"/>
      <c r="BH2" s="72"/>
      <c r="BI2" s="71"/>
      <c r="BJ2" s="71"/>
      <c r="BK2" s="71"/>
      <c r="BL2" s="72"/>
      <c r="BM2" s="72"/>
      <c r="BN2" s="72"/>
      <c r="BO2" s="71"/>
      <c r="BP2" s="72" t="s">
        <v>157</v>
      </c>
      <c r="BQ2" s="72" t="s">
        <v>158</v>
      </c>
      <c r="BR2" s="72" t="s">
        <v>159</v>
      </c>
      <c r="BS2" s="72" t="s">
        <v>160</v>
      </c>
      <c r="BT2" s="72" t="s">
        <v>164</v>
      </c>
      <c r="BU2" s="72" t="s">
        <v>165</v>
      </c>
      <c r="BV2" s="72" t="s">
        <v>166</v>
      </c>
      <c r="BW2" s="72" t="s">
        <v>168</v>
      </c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U2" s="71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S2" s="153"/>
      <c r="GT2" s="153"/>
      <c r="GV2" s="53" t="s">
        <v>155</v>
      </c>
    </row>
    <row r="3" spans="1:221" s="9" customFormat="1" ht="40.5" customHeight="1" thickBot="1" x14ac:dyDescent="0.75">
      <c r="B3" s="64" t="s">
        <v>58</v>
      </c>
      <c r="C3" s="25" t="s">
        <v>59</v>
      </c>
      <c r="D3" s="25" t="s">
        <v>60</v>
      </c>
      <c r="E3" s="25" t="s">
        <v>88</v>
      </c>
      <c r="F3" s="25" t="s">
        <v>61</v>
      </c>
      <c r="G3" s="25" t="s">
        <v>62</v>
      </c>
      <c r="H3" s="25" t="s">
        <v>63</v>
      </c>
      <c r="I3" s="86" t="s">
        <v>64</v>
      </c>
      <c r="J3" s="84" t="s">
        <v>170</v>
      </c>
      <c r="K3" s="85" t="s">
        <v>171</v>
      </c>
      <c r="L3" s="48" t="s">
        <v>207</v>
      </c>
      <c r="M3" s="167" t="s">
        <v>195</v>
      </c>
      <c r="N3" s="167" t="s">
        <v>196</v>
      </c>
      <c r="O3" s="167" t="s">
        <v>197</v>
      </c>
      <c r="P3" s="167" t="s">
        <v>198</v>
      </c>
      <c r="Q3" s="167" t="s">
        <v>199</v>
      </c>
      <c r="R3" s="167" t="s">
        <v>182</v>
      </c>
      <c r="S3" s="167" t="s">
        <v>185</v>
      </c>
      <c r="T3" s="167" t="s">
        <v>186</v>
      </c>
      <c r="U3" s="167" t="s">
        <v>181</v>
      </c>
      <c r="V3" s="167" t="s">
        <v>187</v>
      </c>
      <c r="W3" s="48" t="s">
        <v>65</v>
      </c>
      <c r="X3" s="26" t="s">
        <v>2</v>
      </c>
      <c r="Y3" s="27" t="s">
        <v>3</v>
      </c>
      <c r="Z3" s="27" t="s">
        <v>14</v>
      </c>
      <c r="AA3" s="27" t="s">
        <v>15</v>
      </c>
      <c r="AB3" s="27" t="s">
        <v>17</v>
      </c>
      <c r="AC3" s="27" t="s">
        <v>18</v>
      </c>
      <c r="AD3" s="27" t="s">
        <v>39</v>
      </c>
      <c r="AE3" s="27" t="s">
        <v>40</v>
      </c>
      <c r="AF3" s="27" t="s">
        <v>22</v>
      </c>
      <c r="AG3" s="27" t="s">
        <v>23</v>
      </c>
      <c r="AH3" s="27" t="s">
        <v>172</v>
      </c>
      <c r="AI3" s="27" t="s">
        <v>173</v>
      </c>
      <c r="AJ3" s="27" t="s">
        <v>174</v>
      </c>
      <c r="AK3" s="27" t="s">
        <v>175</v>
      </c>
      <c r="AL3" s="27" t="s">
        <v>200</v>
      </c>
      <c r="AM3" s="27" t="s">
        <v>179</v>
      </c>
      <c r="AN3" s="27" t="s">
        <v>192</v>
      </c>
      <c r="AT3" s="74"/>
      <c r="AU3" s="184" t="s">
        <v>50</v>
      </c>
      <c r="AV3" s="185"/>
      <c r="AW3" s="185"/>
      <c r="AX3" s="185"/>
      <c r="AY3" s="186"/>
      <c r="AZ3" s="82"/>
      <c r="BA3" s="40"/>
      <c r="BB3" s="40"/>
      <c r="BC3" s="3" t="s">
        <v>0</v>
      </c>
      <c r="BD3" s="3" t="s">
        <v>13</v>
      </c>
      <c r="BE3" s="3" t="s">
        <v>9</v>
      </c>
      <c r="BF3" s="3" t="s">
        <v>7</v>
      </c>
      <c r="BG3" s="3" t="s">
        <v>10</v>
      </c>
      <c r="BH3" s="3" t="s">
        <v>11</v>
      </c>
      <c r="BI3" s="3" t="s">
        <v>19</v>
      </c>
      <c r="BJ3" s="3" t="s">
        <v>20</v>
      </c>
      <c r="BK3" s="41" t="s">
        <v>16</v>
      </c>
      <c r="BL3" s="3" t="s">
        <v>21</v>
      </c>
      <c r="BM3" s="39" t="s">
        <v>44</v>
      </c>
      <c r="BN3" s="3" t="s">
        <v>43</v>
      </c>
      <c r="BO3" s="4" t="s">
        <v>21</v>
      </c>
      <c r="BP3" s="4" t="s">
        <v>36</v>
      </c>
      <c r="BQ3" s="4" t="s">
        <v>38</v>
      </c>
      <c r="BR3" s="4" t="s">
        <v>37</v>
      </c>
      <c r="BS3" s="4" t="s">
        <v>161</v>
      </c>
      <c r="BT3" s="4" t="s">
        <v>162</v>
      </c>
      <c r="BU3" s="4" t="s">
        <v>163</v>
      </c>
      <c r="BV3" s="4" t="s">
        <v>167</v>
      </c>
      <c r="BW3" s="4" t="s">
        <v>169</v>
      </c>
      <c r="BX3" s="40" t="s">
        <v>41</v>
      </c>
      <c r="BY3" s="40" t="s">
        <v>42</v>
      </c>
      <c r="BZ3" s="40"/>
      <c r="CA3" s="40" t="s">
        <v>0</v>
      </c>
      <c r="CB3" s="40" t="s">
        <v>136</v>
      </c>
      <c r="CC3" s="40" t="s">
        <v>11</v>
      </c>
      <c r="CD3" s="40" t="s">
        <v>16</v>
      </c>
      <c r="CE3" s="40" t="s">
        <v>19</v>
      </c>
      <c r="CF3" s="40" t="s">
        <v>137</v>
      </c>
      <c r="CG3" s="40" t="s">
        <v>139</v>
      </c>
      <c r="CH3" s="40" t="s">
        <v>21</v>
      </c>
      <c r="CI3" s="40"/>
      <c r="CJ3" s="40"/>
      <c r="CK3" s="40"/>
      <c r="CL3" s="40"/>
      <c r="CM3" s="40"/>
      <c r="CN3" s="40"/>
      <c r="CO3" s="40"/>
      <c r="CP3" s="40"/>
      <c r="CQ3" s="40"/>
      <c r="CR3" s="40"/>
      <c r="CU3" s="40" t="s">
        <v>35</v>
      </c>
      <c r="CV3" s="55" t="s">
        <v>27</v>
      </c>
      <c r="CW3" s="55" t="s">
        <v>124</v>
      </c>
      <c r="CX3" s="55" t="s">
        <v>125</v>
      </c>
      <c r="CY3" s="55" t="s">
        <v>31</v>
      </c>
      <c r="CZ3" s="55" t="s">
        <v>28</v>
      </c>
      <c r="DA3" s="55" t="s">
        <v>33</v>
      </c>
      <c r="DB3" s="55" t="s">
        <v>126</v>
      </c>
      <c r="DC3" s="55" t="s">
        <v>127</v>
      </c>
      <c r="DD3" s="55" t="s">
        <v>128</v>
      </c>
      <c r="DE3" s="55" t="s">
        <v>25</v>
      </c>
      <c r="DF3" s="55" t="s">
        <v>34</v>
      </c>
      <c r="DG3" s="55" t="s">
        <v>24</v>
      </c>
      <c r="DH3" s="55" t="s">
        <v>32</v>
      </c>
      <c r="DI3" s="55" t="s">
        <v>8</v>
      </c>
      <c r="DJ3" s="55" t="s">
        <v>129</v>
      </c>
      <c r="DK3" s="55" t="s">
        <v>26</v>
      </c>
      <c r="DL3" s="55" t="s">
        <v>29</v>
      </c>
      <c r="DM3" s="55" t="s">
        <v>130</v>
      </c>
      <c r="DN3" s="55" t="s">
        <v>131</v>
      </c>
      <c r="DO3" s="55" t="s">
        <v>132</v>
      </c>
      <c r="DP3" s="55" t="s">
        <v>133</v>
      </c>
      <c r="DQ3" s="55" t="s">
        <v>134</v>
      </c>
      <c r="DR3" s="55" t="s">
        <v>30</v>
      </c>
      <c r="DS3" s="55" t="s">
        <v>135</v>
      </c>
      <c r="DT3" s="55"/>
      <c r="DU3" s="55"/>
      <c r="DV3" s="55"/>
      <c r="DW3" s="55"/>
      <c r="DX3" s="55"/>
      <c r="DY3" s="55"/>
      <c r="DZ3" s="55"/>
      <c r="EA3" s="55"/>
      <c r="EB3" s="40"/>
      <c r="EC3" s="40" t="s">
        <v>35</v>
      </c>
      <c r="ED3" s="55" t="s">
        <v>27</v>
      </c>
      <c r="EE3" s="55" t="s">
        <v>124</v>
      </c>
      <c r="EF3" s="55" t="s">
        <v>125</v>
      </c>
      <c r="EG3" s="55" t="s">
        <v>31</v>
      </c>
      <c r="EH3" s="55" t="s">
        <v>28</v>
      </c>
      <c r="EI3" s="55" t="s">
        <v>33</v>
      </c>
      <c r="EJ3" s="55" t="s">
        <v>126</v>
      </c>
      <c r="EK3" s="55" t="s">
        <v>127</v>
      </c>
      <c r="EL3" s="55" t="s">
        <v>128</v>
      </c>
      <c r="EM3" s="55" t="s">
        <v>25</v>
      </c>
      <c r="EN3" s="55" t="s">
        <v>34</v>
      </c>
      <c r="EO3" s="55" t="s">
        <v>24</v>
      </c>
      <c r="EP3" s="55" t="s">
        <v>32</v>
      </c>
      <c r="EQ3" s="55" t="s">
        <v>8</v>
      </c>
      <c r="ER3" s="55" t="s">
        <v>129</v>
      </c>
      <c r="ES3" s="55" t="s">
        <v>26</v>
      </c>
      <c r="ET3" s="55" t="s">
        <v>29</v>
      </c>
      <c r="EU3" s="55" t="s">
        <v>130</v>
      </c>
      <c r="EV3" s="55" t="s">
        <v>131</v>
      </c>
      <c r="EW3" s="55" t="s">
        <v>132</v>
      </c>
      <c r="EX3" s="55" t="s">
        <v>133</v>
      </c>
      <c r="EY3" s="55" t="s">
        <v>134</v>
      </c>
      <c r="EZ3" s="55" t="s">
        <v>30</v>
      </c>
      <c r="FA3" s="55" t="s">
        <v>135</v>
      </c>
      <c r="FB3" s="55"/>
      <c r="FC3" s="55"/>
      <c r="FD3" s="55"/>
      <c r="FE3" s="55"/>
      <c r="FF3" s="55"/>
      <c r="FG3" s="55"/>
      <c r="FH3" s="55"/>
      <c r="FI3" s="55"/>
      <c r="FJ3" s="40"/>
      <c r="FK3" s="40" t="s">
        <v>35</v>
      </c>
      <c r="FL3" s="55" t="s">
        <v>27</v>
      </c>
      <c r="FM3" s="55" t="s">
        <v>124</v>
      </c>
      <c r="FN3" s="55" t="s">
        <v>125</v>
      </c>
      <c r="FO3" s="55" t="s">
        <v>31</v>
      </c>
      <c r="FP3" s="55" t="s">
        <v>28</v>
      </c>
      <c r="FQ3" s="55" t="s">
        <v>33</v>
      </c>
      <c r="FR3" s="55" t="s">
        <v>126</v>
      </c>
      <c r="FS3" s="55" t="s">
        <v>127</v>
      </c>
      <c r="FT3" s="55" t="s">
        <v>128</v>
      </c>
      <c r="FU3" s="55" t="s">
        <v>25</v>
      </c>
      <c r="FV3" s="55" t="s">
        <v>34</v>
      </c>
      <c r="FW3" s="55" t="s">
        <v>24</v>
      </c>
      <c r="FX3" s="55" t="s">
        <v>32</v>
      </c>
      <c r="FY3" s="55" t="s">
        <v>8</v>
      </c>
      <c r="FZ3" s="55" t="s">
        <v>129</v>
      </c>
      <c r="GA3" s="55" t="s">
        <v>26</v>
      </c>
      <c r="GB3" s="55" t="s">
        <v>29</v>
      </c>
      <c r="GC3" s="55" t="s">
        <v>130</v>
      </c>
      <c r="GD3" s="55" t="s">
        <v>131</v>
      </c>
      <c r="GE3" s="55" t="s">
        <v>132</v>
      </c>
      <c r="GF3" s="55" t="s">
        <v>133</v>
      </c>
      <c r="GG3" s="55" t="s">
        <v>134</v>
      </c>
      <c r="GH3" s="55" t="s">
        <v>30</v>
      </c>
      <c r="GI3" s="55" t="s">
        <v>135</v>
      </c>
      <c r="GJ3" s="55"/>
      <c r="GK3" s="55"/>
      <c r="GL3" s="12"/>
      <c r="GM3" s="12"/>
      <c r="GN3" s="12"/>
      <c r="GO3" s="12"/>
      <c r="GP3" s="12"/>
      <c r="GQ3" s="12"/>
      <c r="GR3" s="82"/>
      <c r="GS3" s="154" t="s">
        <v>13</v>
      </c>
      <c r="GT3" s="155" t="s">
        <v>47</v>
      </c>
      <c r="GU3" s="82"/>
      <c r="GV3" s="52" t="s">
        <v>156</v>
      </c>
      <c r="GW3" s="82"/>
      <c r="GX3" s="82"/>
      <c r="GY3" s="82"/>
      <c r="GZ3" s="82"/>
      <c r="HC3" s="178" t="s">
        <v>142</v>
      </c>
      <c r="HD3" s="178"/>
      <c r="HE3" s="178"/>
      <c r="HF3" s="178"/>
      <c r="HG3" s="178"/>
      <c r="HH3" s="178"/>
      <c r="HI3" s="178"/>
      <c r="HJ3" s="43" t="s">
        <v>144</v>
      </c>
      <c r="HK3" s="43" t="s">
        <v>146</v>
      </c>
      <c r="HL3" s="43" t="s">
        <v>147</v>
      </c>
      <c r="HM3" s="43" t="s">
        <v>148</v>
      </c>
    </row>
    <row r="4" spans="1:221" s="11" customFormat="1" ht="30" customHeight="1" thickBot="1" x14ac:dyDescent="0.25">
      <c r="B4" s="113">
        <v>1</v>
      </c>
      <c r="C4" s="113" t="s">
        <v>1</v>
      </c>
      <c r="D4" s="114">
        <v>45457</v>
      </c>
      <c r="E4" s="113" t="s">
        <v>78</v>
      </c>
      <c r="F4" s="115">
        <v>0.875</v>
      </c>
      <c r="G4" s="116">
        <f>(D4+F4)+IF($A$7&gt;=0,TIMEVALUE($A$7&amp;":00"),-TIMEVALUE(ABS($A$7)&amp;":00"))</f>
        <v>45457.625</v>
      </c>
      <c r="H4" s="113" t="s">
        <v>89</v>
      </c>
      <c r="I4" s="117"/>
      <c r="J4" s="118"/>
      <c r="K4" s="118"/>
      <c r="L4" s="174">
        <f>IF(I4="",0,IFERROR(IF(SCORING.RULES!$C$8="No",1,((VLOOKUP($B4,ACTUALS!$B$4:$L$100,7,FALSE)=$H4)+(VLOOKUP($B4,ACTUALS!$B$4:$L$100,7,FALSE)=S4)))*(M4+N4+O4+P4+Q4),0))+$R4</f>
        <v>0</v>
      </c>
      <c r="M4" s="168">
        <f>IFERROR(IF($B4="","",IF(U4=INDEX(ACTUALS!$AA$4:$AA$100,MATCH($B4,ACTUALS!$B$4:$B$100,0),1),CorrectScore,0)),0)</f>
        <v>0</v>
      </c>
      <c r="N4" s="157" t="str">
        <f>IFERROR(IF(I4="","",IF(INDEX(ACTUALS!$AB$4:$AB$100,MATCH($B4,ACTUALS!$B$4:$B$100,0),1)=(AB4+AC4+AH4+AI4),CorrectNumberofGoals,0)),0)</f>
        <v/>
      </c>
      <c r="O4" s="157"/>
      <c r="P4" s="157">
        <f>IFERROR(IF(B4="","",IF(INDEX(ACTUALS!$L$4:$L$100,MATCH($B4,ACTUALS!$B$4:$B$100,0),1)=W4,CorrectResult,0)),0)</f>
        <v>3</v>
      </c>
      <c r="Q4" s="157"/>
      <c r="R4" s="157"/>
      <c r="S4" s="157" t="str">
        <f t="shared" ref="S4:S39" si="0">IF(OR($H4="",$B4&lt;37),"",RIGHT($H4,LEN($H4)-FIND("-",$H4,1)-1)&amp;" - "&amp;LEFT($H4,FIND("-",$H4,1)-2))</f>
        <v/>
      </c>
      <c r="T4" s="157"/>
      <c r="U4" s="157" t="str">
        <f t="shared" ref="U4:U39" si="1">IF($I4="","",IF($T4="Y",AC4+AI4&amp;":"&amp;AB4+AH4,AB4+AH4&amp;":"&amp;AC4+AI4))</f>
        <v/>
      </c>
      <c r="V4" s="157" t="str">
        <f t="shared" ref="V4:V39" si="2">IF($K4="","",IF($T4="Y",$AK4&amp;":"&amp;$AJ4,$AJ4&amp;":"&amp;$AK4))</f>
        <v/>
      </c>
      <c r="W4" s="119" t="str">
        <f>IF(tblActuals354[[#This Row],[SCORE]]="","",IF(AB4=AC4,"Draw",IF(AB4&gt;AC4,X4,Y4)))</f>
        <v/>
      </c>
      <c r="X4" s="120" t="str">
        <f>IF(tblActuals354[[#This Row],[TEAMS]]="","",LEFT(H4,FIND(" -",H4,1)-1))</f>
        <v>Germany</v>
      </c>
      <c r="Y4" s="120" t="str">
        <f>IF(tblActuals354[[#This Row],[TEAMS]]="","",MID(H4,FIND("-",H4,1)+2,LEN(H4)-FIND("-",H4,1)+2))</f>
        <v>Scotland</v>
      </c>
      <c r="Z4" s="120" t="str">
        <f>IF(tblActuals354[[#This Row],[Team 1 Goals]]&gt;tblActuals354[[#This Row],[Team 2 Goals]],tblActuals354[[#This Row],[Team 1]],IF(tblActuals354[[#This Row],[Team 2 Goals]]&gt;tblActuals354[[#This Row],[Team 1 Goals]],tblActuals354[[#This Row],[Team 2]],""))</f>
        <v/>
      </c>
      <c r="AA4" s="120" t="str">
        <f>IF(tblActuals354[[#This Row],[Winner]]=tblActuals354[[#This Row],[Team 1]],tblActuals354[[#This Row],[Team 2]],IF(tblActuals354[[#This Row],[Winner]]=tblActuals354[[#This Row],[Team 2]],tblActuals354[[#This Row],[Team 1]],""))</f>
        <v/>
      </c>
      <c r="AB4" s="120" t="str">
        <f>IF(tblActuals354[[#This Row],[SCORE]]="","",LEFT(I4,FIND(":",I4,1)-1)*1)</f>
        <v/>
      </c>
      <c r="AC4" s="120" t="str">
        <f>IF(tblActuals354[[#This Row],[SCORE]]="","",MID(I4,FIND(":",I4,1)+1,LEN(I4)-FIND(":",I4,1)+1)*1)</f>
        <v/>
      </c>
      <c r="AD4" s="120" t="str">
        <f>IF(OR(tblActuals354[[#This Row],[Team 1 Goals]]="",tblActuals354[[#This Row],[Team 2 Goals]]=""),"",tblActuals354[[#This Row],[Team 1 Goals]]-tblActuals354[[#This Row],[Team 2 Goals]])</f>
        <v/>
      </c>
      <c r="AE4" s="120" t="str">
        <f>IF(OR(tblActuals354[[#This Row],[Team 1 Goals]]="",tblActuals354[[#This Row],[Team 2 Goals]]=""),"",tblActuals354[[#This Row],[Team 2 Goals]]-tblActuals354[[#This Row],[Team 1 Goals]])</f>
        <v/>
      </c>
      <c r="AF4" s="120" t="str">
        <f>IF(tblActuals354[[#This Row],[SCORE]]="","",IF(tblActuals354[[#This Row],[WINNER / RESULT]]="Draw",1,IF(tblActuals354[[#This Row],[WINNER / RESULT]]=tblActuals354[[#This Row],[Team 1]],3,0)))</f>
        <v/>
      </c>
      <c r="AG4" s="120" t="str">
        <f>IF(tblActuals354[[#This Row],[SCORE]]="","",IF(tblActuals354[[#This Row],[WINNER / RESULT]]="Draw",1,IF(tblActuals354[[#This Row],[WINNER / RESULT]]=tblActuals354[[#This Row],[Team 2]],3,0)))</f>
        <v/>
      </c>
      <c r="AH4" s="121"/>
      <c r="AI4" s="121"/>
      <c r="AJ4" s="121"/>
      <c r="AK4" s="121"/>
      <c r="AL4" s="120" t="e">
        <f>tblActuals354[[#This Row],[Team 1 Goals]]+tblActuals354[[#This Row],[Team 1 ET Goals]]&amp;":"&amp;tblActuals354[[#This Row],[Team 2 Goals]]+tblActuals354[[#This Row],[Team 2 ET Goals]]</f>
        <v>#VALUE!</v>
      </c>
      <c r="AM4" s="120" t="e">
        <f>+tblActuals354[[#This Row],[Team 1 Goals]]+tblActuals354[[#This Row],[Team 2 Goals]]</f>
        <v>#VALUE!</v>
      </c>
      <c r="AN4" s="161">
        <f t="shared" ref="AN4:AN35" si="3">DATE(YEAR(G4),MONTH(G4),DAY(G4))</f>
        <v>45457</v>
      </c>
      <c r="AP4" s="3" t="s">
        <v>4</v>
      </c>
      <c r="AR4" s="10"/>
      <c r="AT4" s="75"/>
      <c r="AU4" s="75"/>
      <c r="AV4" s="75"/>
      <c r="AW4" s="75"/>
      <c r="AX4" s="75"/>
      <c r="AY4" s="75"/>
      <c r="AZ4" s="75"/>
      <c r="BA4" s="42"/>
      <c r="BB4" s="4"/>
      <c r="BC4" s="4" t="s">
        <v>1</v>
      </c>
      <c r="BD4" s="4" t="s">
        <v>27</v>
      </c>
      <c r="BE4" s="4">
        <f>COUNTIF(tblActuals354[Winner],BD4)</f>
        <v>0</v>
      </c>
      <c r="BF4" s="4">
        <f>COUNTIFS(tblActuals354[Team 2],BD4,tblActuals354[WINNER / RESULT],"Draw")+COUNTIFS(tblActuals354[Team 1],BD4,tblActuals354[WINNER / RESULT],"Draw")</f>
        <v>0</v>
      </c>
      <c r="BG4" s="4">
        <f>COUNTIF(tblActuals354[Loser],BD4)</f>
        <v>0</v>
      </c>
      <c r="BH4" s="4">
        <f>BF4+(3*BE4)</f>
        <v>0</v>
      </c>
      <c r="BI4" s="4">
        <f>SUMIFS(tblActuals354[Team 1 Goals],tblActuals354[Team 1],BD4)+SUMIFS(tblActuals354[Team 2 Goals],tblActuals354[Team 2],BD4)</f>
        <v>0</v>
      </c>
      <c r="BJ4" s="4">
        <f>SUMIFS(tblActuals354[Team 2 Goals],tblActuals354[Team 1],BD4)+SUMIFS(tblActuals354[Team 1 Goals],tblActuals354[Team 2],BD4)</f>
        <v>0</v>
      </c>
      <c r="BK4" s="4">
        <f>BI4-BJ4</f>
        <v>0</v>
      </c>
      <c r="BL4" s="4">
        <f ca="1">RANK(BY4,$BY$4:$BY$7,1)</f>
        <v>1</v>
      </c>
      <c r="BM4" s="4" t="str">
        <f t="shared" ref="BM4:BM32" si="4">IFERROR(VLOOKUP(BD4,GS:GT,2,FALSE),"")</f>
        <v/>
      </c>
      <c r="BN4" s="4" t="str">
        <f ca="1">IF(BM4="",BL4&amp;BC4,BM4&amp;BC4)</f>
        <v>1A</v>
      </c>
      <c r="BO4" s="4">
        <f>RANK(BH4,$BH$4:$BH$7,0)</f>
        <v>1</v>
      </c>
      <c r="BP4" s="4" cm="1">
        <f t="array" aca="1" ref="BP4" ca="1">SUMPRODUCT((OFFSET($CV$3:$EA$3,MATCH($BD4,$CU$4:$CU$35,0),0))*((IF($BO6=$BO4,$CV$3:$EA$3=$BD6,0))+(IF($BO7=$BO4,$CV$3:$EA$3=$BD7,0))+(IF($BO5=$BO4,$CV$3:$EA$3=$BD5,0))))</f>
        <v>0</v>
      </c>
      <c r="BQ4" s="4" cm="1">
        <f t="array" aca="1" ref="BQ4" ca="1">SUMPRODUCT((OFFSET($ED$3:$FI$3,MATCH($BD4,$EC$4:$EC$35,0),0))*((IF($BO6=$BO4,$ED$3:$FI$3=$BD6,0))+(IF($BO7=$BO4,$ED$3:$FI$3=$BD7,0))+(IF($BO5=$BO4,$ED$3:$FI$3=$BD5,0))))</f>
        <v>0</v>
      </c>
      <c r="BR4" s="4" cm="1">
        <f t="array" aca="1" ref="BR4" ca="1">SUMPRODUCT((OFFSET($FL$3:$GQ$3,MATCH($BD4,$FK$4:$FK$35,0),0))*((IF($BO6=$BO4,$FL$3:$GQ$3=$BD6,0))+(IF($BO7=$BO4,$FL$3:$GQ$3=$BD7,0))+(IF($BO5=$BO4,$FL$3:$GQ$3=$BD5,0))))</f>
        <v>0</v>
      </c>
      <c r="BS4" s="4" cm="1">
        <f t="array" aca="1" ref="BS4" ca="1">SUMPRODUCT((OFFSET($CV$3:$EA$3,MATCH($BD4,$CU$4:$CU$35,0),0))*((IF($BO6&lt;&gt;$BO4,$CV$3:$EA$3=$BD6,0))+(IF($BO7&lt;&gt;$BO4,$CV$3:$EA$3=$BD7,0))+(IF($BO5&lt;&gt;$BO4,$CV$3:$EA$3=$BD5,0))))</f>
        <v>0</v>
      </c>
      <c r="BT4" s="4" cm="1">
        <f t="array" aca="1" ref="BT4" ca="1">SUMPRODUCT((OFFSET($ED$3:$FI$3,MATCH($BD4,$EC$4:$EC$35,0),0))*((IF($BO6&lt;&gt;$BO4,$ED$3:$FI$3=$BD6,0))+(IF($BO7&lt;&gt;$BO4,$ED$3:$FI$3=$BD7,0))+(IF($BO5&lt;&gt;$BO4,$ED$3:$FI$3=$BD5,0))))</f>
        <v>0</v>
      </c>
      <c r="BU4" s="4" cm="1">
        <f t="array" aca="1" ref="BU4" ca="1">SUMPRODUCT((OFFSET($FL$3:$GQ$3,MATCH($BD4,$FK$4:$FK$35,0),0))*((IF($BO6&lt;&gt;$BO4,$FL$3:$GQ$3=$BD6,0))+(IF($BO7&lt;&gt;$BO4,$FL$3:$GQ$3=$BD7,0))+(IF($BO5&lt;&gt;$BO4,$FL$3:$GQ$3=$BD5,0))))</f>
        <v>0</v>
      </c>
      <c r="BV4" s="4">
        <f>BK4</f>
        <v>0</v>
      </c>
      <c r="BW4" s="4">
        <f>BI4</f>
        <v>0</v>
      </c>
      <c r="BX4" s="4">
        <f ca="1">(BP4/10)+(BQ4/100)+(BR4/1000)+(BT4/10000)+(BU4/100000)+(BV4/1000000)+(BW4/10000000)+(ROW(BS7)/100000000)</f>
        <v>7.0000000000000005E-8</v>
      </c>
      <c r="BY4" s="4">
        <f ca="1">+BO4-BX4</f>
        <v>0.99999992999999998</v>
      </c>
      <c r="BZ4" s="4"/>
      <c r="CA4" s="4" t="s">
        <v>1</v>
      </c>
      <c r="CB4" s="4" t="str">
        <f ca="1">AV8</f>
        <v>Scotland</v>
      </c>
      <c r="CC4" s="4">
        <f t="shared" ref="CC4:CC9" ca="1" si="5">SUMIF(BD:BD,CB4,BH:BH)</f>
        <v>0</v>
      </c>
      <c r="CD4" s="4">
        <f t="shared" ref="CD4:CD9" ca="1" si="6">SUMIF(BD:BD,CB4,BK:BK)</f>
        <v>0</v>
      </c>
      <c r="CE4" s="4">
        <f t="shared" ref="CE4:CE9" ca="1" si="7">SUMIF(BD:BD,CB4,BI:BI)</f>
        <v>0</v>
      </c>
      <c r="CF4" s="4">
        <f t="shared" ref="CF4:CF9" ca="1" si="8">SUMIF(BD:BD,CB4,BE:BE)</f>
        <v>0</v>
      </c>
      <c r="CG4" s="4">
        <f t="shared" ref="CG4:CG9" ca="1" si="9">(CC4/1000)+(CD4/10000)+(CE4/100000)+(ROW(CF4)/10000000)</f>
        <v>3.9999999999999998E-7</v>
      </c>
      <c r="CH4" s="4">
        <f t="shared" ref="CH4:CH9" ca="1" si="10">RANK(CG4,$CG$4:$CG$9)</f>
        <v>6</v>
      </c>
      <c r="CI4" s="4"/>
      <c r="CJ4" s="4"/>
      <c r="CK4" s="4"/>
      <c r="CL4" s="4"/>
      <c r="CM4" s="4"/>
      <c r="CN4" s="4"/>
      <c r="CO4" s="4"/>
      <c r="CP4" s="4"/>
      <c r="CQ4" s="4"/>
      <c r="CR4" s="4"/>
      <c r="CU4" s="4" t="s">
        <v>27</v>
      </c>
      <c r="CV4" s="56">
        <f>SUMIFS(tblActuals354[Team 2 Points],tblActuals354[Team 2],$CU4,tblActuals354[Team 1],CV$3)+SUMIFS(tblActuals354[Team 1 Points],tblActuals354[Team 1],$CU4,tblActuals354[Team 2],CV$3)</f>
        <v>0</v>
      </c>
      <c r="CW4" s="56">
        <f>SUMIFS(tblActuals354[Team 2 Points],tblActuals354[Team 2],$CU4,tblActuals354[Team 1],CW$3)+SUMIFS(tblActuals354[Team 1 Points],tblActuals354[Team 1],$CU4,tblActuals354[Team 2],CW$3)</f>
        <v>0</v>
      </c>
      <c r="CX4" s="56">
        <f>SUMIFS(tblActuals354[Team 2 Points],tblActuals354[Team 2],$CU4,tblActuals354[Team 1],CX$3)+SUMIFS(tblActuals354[Team 1 Points],tblActuals354[Team 1],$CU4,tblActuals354[Team 2],CX$3)</f>
        <v>0</v>
      </c>
      <c r="CY4" s="56">
        <f>SUMIFS(tblActuals354[Team 2 Points],tblActuals354[Team 2],$CU4,tblActuals354[Team 1],CY$3)+SUMIFS(tblActuals354[Team 1 Points],tblActuals354[Team 1],$CU4,tblActuals354[Team 2],CY$3)</f>
        <v>0</v>
      </c>
      <c r="CZ4" s="56">
        <f>SUMIFS(tblActuals354[Team 2 Points],tblActuals354[Team 2],$CU4,tblActuals354[Team 1],CZ$3)+SUMIFS(tblActuals354[Team 1 Points],tblActuals354[Team 1],$CU4,tblActuals354[Team 2],CZ$3)</f>
        <v>0</v>
      </c>
      <c r="DA4" s="56">
        <f>SUMIFS(tblActuals354[Team 2 Points],tblActuals354[Team 2],$CU4,tblActuals354[Team 1],DA$3)+SUMIFS(tblActuals354[Team 1 Points],tblActuals354[Team 1],$CU4,tblActuals354[Team 2],DA$3)</f>
        <v>0</v>
      </c>
      <c r="DB4" s="56">
        <f>SUMIFS(tblActuals354[Team 2 Points],tblActuals354[Team 2],$CU4,tblActuals354[Team 1],DB$3)+SUMIFS(tblActuals354[Team 1 Points],tblActuals354[Team 1],$CU4,tblActuals354[Team 2],DB$3)</f>
        <v>0</v>
      </c>
      <c r="DC4" s="56">
        <f>SUMIFS(tblActuals354[Team 2 Points],tblActuals354[Team 2],$CU4,tblActuals354[Team 1],DC$3)+SUMIFS(tblActuals354[Team 1 Points],tblActuals354[Team 1],$CU4,tblActuals354[Team 2],DC$3)</f>
        <v>0</v>
      </c>
      <c r="DD4" s="56">
        <f>SUMIFS(tblActuals354[Team 2 Points],tblActuals354[Team 2],$CU4,tblActuals354[Team 1],DD$3)+SUMIFS(tblActuals354[Team 1 Points],tblActuals354[Team 1],$CU4,tblActuals354[Team 2],DD$3)</f>
        <v>0</v>
      </c>
      <c r="DE4" s="56">
        <f>SUMIFS(tblActuals354[Team 2 Points],tblActuals354[Team 2],$CU4,tblActuals354[Team 1],DE$3)+SUMIFS(tblActuals354[Team 1 Points],tblActuals354[Team 1],$CU4,tblActuals354[Team 2],DE$3)</f>
        <v>0</v>
      </c>
      <c r="DF4" s="56">
        <f>SUMIFS(tblActuals354[Team 2 Points],tblActuals354[Team 2],$CU4,tblActuals354[Team 1],DF$3)+SUMIFS(tblActuals354[Team 1 Points],tblActuals354[Team 1],$CU4,tblActuals354[Team 2],DF$3)</f>
        <v>0</v>
      </c>
      <c r="DG4" s="56">
        <f>SUMIFS(tblActuals354[Team 2 Points],tblActuals354[Team 2],$CU4,tblActuals354[Team 1],DG$3)+SUMIFS(tblActuals354[Team 1 Points],tblActuals354[Team 1],$CU4,tblActuals354[Team 2],DG$3)</f>
        <v>0</v>
      </c>
      <c r="DH4" s="56">
        <f>SUMIFS(tblActuals354[Team 2 Points],tblActuals354[Team 2],$CU4,tblActuals354[Team 1],DH$3)+SUMIFS(tblActuals354[Team 1 Points],tblActuals354[Team 1],$CU4,tblActuals354[Team 2],DH$3)</f>
        <v>0</v>
      </c>
      <c r="DI4" s="56">
        <f>SUMIFS(tblActuals354[Team 2 Points],tblActuals354[Team 2],$CU4,tblActuals354[Team 1],DI$3)+SUMIFS(tblActuals354[Team 1 Points],tblActuals354[Team 1],$CU4,tblActuals354[Team 2],DI$3)</f>
        <v>0</v>
      </c>
      <c r="DJ4" s="56">
        <f>SUMIFS(tblActuals354[Team 2 Points],tblActuals354[Team 2],$CU4,tblActuals354[Team 1],DJ$3)+SUMIFS(tblActuals354[Team 1 Points],tblActuals354[Team 1],$CU4,tblActuals354[Team 2],DJ$3)</f>
        <v>0</v>
      </c>
      <c r="DK4" s="56">
        <f>SUMIFS(tblActuals354[Team 2 Points],tblActuals354[Team 2],$CU4,tblActuals354[Team 1],DK$3)+SUMIFS(tblActuals354[Team 1 Points],tblActuals354[Team 1],$CU4,tblActuals354[Team 2],DK$3)</f>
        <v>0</v>
      </c>
      <c r="DL4" s="56">
        <f>SUMIFS(tblActuals354[Team 2 Points],tblActuals354[Team 2],$CU4,tblActuals354[Team 1],DL$3)+SUMIFS(tblActuals354[Team 1 Points],tblActuals354[Team 1],$CU4,tblActuals354[Team 2],DL$3)</f>
        <v>0</v>
      </c>
      <c r="DM4" s="56">
        <f>SUMIFS(tblActuals354[Team 2 Points],tblActuals354[Team 2],$CU4,tblActuals354[Team 1],DM$3)+SUMIFS(tblActuals354[Team 1 Points],tblActuals354[Team 1],$CU4,tblActuals354[Team 2],DM$3)</f>
        <v>0</v>
      </c>
      <c r="DN4" s="56">
        <f>SUMIFS(tblActuals354[Team 2 Points],tblActuals354[Team 2],$CU4,tblActuals354[Team 1],DN$3)+SUMIFS(tblActuals354[Team 1 Points],tblActuals354[Team 1],$CU4,tblActuals354[Team 2],DN$3)</f>
        <v>0</v>
      </c>
      <c r="DO4" s="56">
        <f>SUMIFS(tblActuals354[Team 2 Points],tblActuals354[Team 2],$CU4,tblActuals354[Team 1],DO$3)+SUMIFS(tblActuals354[Team 1 Points],tblActuals354[Team 1],$CU4,tblActuals354[Team 2],DO$3)</f>
        <v>0</v>
      </c>
      <c r="DP4" s="56">
        <f>SUMIFS(tblActuals354[Team 2 Points],tblActuals354[Team 2],$CU4,tblActuals354[Team 1],DP$3)+SUMIFS(tblActuals354[Team 1 Points],tblActuals354[Team 1],$CU4,tblActuals354[Team 2],DP$3)</f>
        <v>0</v>
      </c>
      <c r="DQ4" s="56">
        <f>SUMIFS(tblActuals354[Team 2 Points],tblActuals354[Team 2],$CU4,tblActuals354[Team 1],DQ$3)+SUMIFS(tblActuals354[Team 1 Points],tblActuals354[Team 1],$CU4,tblActuals354[Team 2],DQ$3)</f>
        <v>0</v>
      </c>
      <c r="DR4" s="56">
        <f>SUMIFS(tblActuals354[Team 2 Points],tblActuals354[Team 2],$CU4,tblActuals354[Team 1],DR$3)+SUMIFS(tblActuals354[Team 1 Points],tblActuals354[Team 1],$CU4,tblActuals354[Team 2],DR$3)</f>
        <v>0</v>
      </c>
      <c r="DS4" s="56">
        <f>SUMIFS(tblActuals354[Team 2 Points],tblActuals354[Team 2],$CU4,tblActuals354[Team 1],DS$3)+SUMIFS(tblActuals354[Team 1 Points],tblActuals354[Team 1],$CU4,tblActuals354[Team 2],DS$3)</f>
        <v>0</v>
      </c>
      <c r="DT4" s="57"/>
      <c r="DU4" s="57"/>
      <c r="DV4" s="57"/>
      <c r="DW4" s="57"/>
      <c r="DX4" s="57"/>
      <c r="DY4" s="57"/>
      <c r="DZ4" s="57"/>
      <c r="EA4" s="57"/>
      <c r="EB4" s="4"/>
      <c r="EC4" s="4" t="s">
        <v>27</v>
      </c>
      <c r="ED4" s="56">
        <f>SUMIFS(tblActuals354[Team 2 GD],tblActuals354[Team 2],$CU4,tblActuals354[Team 1],ED$3)+SUMIFS(tblActuals354[Team 1 GD],tblActuals354[Team 1],$CU4,tblActuals354[Team 2],ED$3)</f>
        <v>0</v>
      </c>
      <c r="EE4" s="56">
        <f>SUMIFS(tblActuals354[Team 2 GD],tblActuals354[Team 2],$CU4,tblActuals354[Team 1],EE$3)+SUMIFS(tblActuals354[Team 1 GD],tblActuals354[Team 1],$CU4,tblActuals354[Team 2],EE$3)</f>
        <v>0</v>
      </c>
      <c r="EF4" s="56">
        <f>SUMIFS(tblActuals354[Team 2 GD],tblActuals354[Team 2],$CU4,tblActuals354[Team 1],EF$3)+SUMIFS(tblActuals354[Team 1 GD],tblActuals354[Team 1],$CU4,tblActuals354[Team 2],EF$3)</f>
        <v>0</v>
      </c>
      <c r="EG4" s="56">
        <f>SUMIFS(tblActuals354[Team 2 GD],tblActuals354[Team 2],$CU4,tblActuals354[Team 1],EG$3)+SUMIFS(tblActuals354[Team 1 GD],tblActuals354[Team 1],$CU4,tblActuals354[Team 2],EG$3)</f>
        <v>0</v>
      </c>
      <c r="EH4" s="56">
        <f>SUMIFS(tblActuals354[Team 2 GD],tblActuals354[Team 2],$CU4,tblActuals354[Team 1],EH$3)+SUMIFS(tblActuals354[Team 1 GD],tblActuals354[Team 1],$CU4,tblActuals354[Team 2],EH$3)</f>
        <v>0</v>
      </c>
      <c r="EI4" s="56">
        <f>SUMIFS(tblActuals354[Team 2 GD],tblActuals354[Team 2],$CU4,tblActuals354[Team 1],EI$3)+SUMIFS(tblActuals354[Team 1 GD],tblActuals354[Team 1],$CU4,tblActuals354[Team 2],EI$3)</f>
        <v>0</v>
      </c>
      <c r="EJ4" s="56">
        <f>SUMIFS(tblActuals354[Team 2 GD],tblActuals354[Team 2],$CU4,tblActuals354[Team 1],EJ$3)+SUMIFS(tblActuals354[Team 1 GD],tblActuals354[Team 1],$CU4,tblActuals354[Team 2],EJ$3)</f>
        <v>0</v>
      </c>
      <c r="EK4" s="56">
        <f>SUMIFS(tblActuals354[Team 2 GD],tblActuals354[Team 2],$CU4,tblActuals354[Team 1],EK$3)+SUMIFS(tblActuals354[Team 1 GD],tblActuals354[Team 1],$CU4,tblActuals354[Team 2],EK$3)</f>
        <v>0</v>
      </c>
      <c r="EL4" s="56">
        <f>SUMIFS(tblActuals354[Team 2 GD],tblActuals354[Team 2],$CU4,tblActuals354[Team 1],EL$3)+SUMIFS(tblActuals354[Team 1 GD],tblActuals354[Team 1],$CU4,tblActuals354[Team 2],EL$3)</f>
        <v>0</v>
      </c>
      <c r="EM4" s="56">
        <f>SUMIFS(tblActuals354[Team 2 GD],tblActuals354[Team 2],$CU4,tblActuals354[Team 1],EM$3)+SUMIFS(tblActuals354[Team 1 GD],tblActuals354[Team 1],$CU4,tblActuals354[Team 2],EM$3)</f>
        <v>0</v>
      </c>
      <c r="EN4" s="56">
        <f>SUMIFS(tblActuals354[Team 2 GD],tblActuals354[Team 2],$CU4,tblActuals354[Team 1],EN$3)+SUMIFS(tblActuals354[Team 1 GD],tblActuals354[Team 1],$CU4,tblActuals354[Team 2],EN$3)</f>
        <v>0</v>
      </c>
      <c r="EO4" s="56">
        <f>SUMIFS(tblActuals354[Team 2 GD],tblActuals354[Team 2],$CU4,tblActuals354[Team 1],EO$3)+SUMIFS(tblActuals354[Team 1 GD],tblActuals354[Team 1],$CU4,tblActuals354[Team 2],EO$3)</f>
        <v>0</v>
      </c>
      <c r="EP4" s="56">
        <f>SUMIFS(tblActuals354[Team 2 GD],tblActuals354[Team 2],$CU4,tblActuals354[Team 1],EP$3)+SUMIFS(tblActuals354[Team 1 GD],tblActuals354[Team 1],$CU4,tblActuals354[Team 2],EP$3)</f>
        <v>0</v>
      </c>
      <c r="EQ4" s="56">
        <f>SUMIFS(tblActuals354[Team 2 GD],tblActuals354[Team 2],$CU4,tblActuals354[Team 1],EQ$3)+SUMIFS(tblActuals354[Team 1 GD],tblActuals354[Team 1],$CU4,tblActuals354[Team 2],EQ$3)</f>
        <v>0</v>
      </c>
      <c r="ER4" s="56">
        <f>SUMIFS(tblActuals354[Team 2 GD],tblActuals354[Team 2],$CU4,tblActuals354[Team 1],ER$3)+SUMIFS(tblActuals354[Team 1 GD],tblActuals354[Team 1],$CU4,tblActuals354[Team 2],ER$3)</f>
        <v>0</v>
      </c>
      <c r="ES4" s="56">
        <f>SUMIFS(tblActuals354[Team 2 GD],tblActuals354[Team 2],$CU4,tblActuals354[Team 1],ES$3)+SUMIFS(tblActuals354[Team 1 GD],tblActuals354[Team 1],$CU4,tblActuals354[Team 2],ES$3)</f>
        <v>0</v>
      </c>
      <c r="ET4" s="56">
        <f>SUMIFS(tblActuals354[Team 2 GD],tblActuals354[Team 2],$CU4,tblActuals354[Team 1],ET$3)+SUMIFS(tblActuals354[Team 1 GD],tblActuals354[Team 1],$CU4,tblActuals354[Team 2],ET$3)</f>
        <v>0</v>
      </c>
      <c r="EU4" s="56">
        <f>SUMIFS(tblActuals354[Team 2 GD],tblActuals354[Team 2],$CU4,tblActuals354[Team 1],EU$3)+SUMIFS(tblActuals354[Team 1 GD],tblActuals354[Team 1],$CU4,tblActuals354[Team 2],EU$3)</f>
        <v>0</v>
      </c>
      <c r="EV4" s="56">
        <f>SUMIFS(tblActuals354[Team 2 GD],tblActuals354[Team 2],$CU4,tblActuals354[Team 1],EV$3)+SUMIFS(tblActuals354[Team 1 GD],tblActuals354[Team 1],$CU4,tblActuals354[Team 2],EV$3)</f>
        <v>0</v>
      </c>
      <c r="EW4" s="56">
        <f>SUMIFS(tblActuals354[Team 2 GD],tblActuals354[Team 2],$CU4,tblActuals354[Team 1],EW$3)+SUMIFS(tblActuals354[Team 1 GD],tblActuals354[Team 1],$CU4,tblActuals354[Team 2],EW$3)</f>
        <v>0</v>
      </c>
      <c r="EX4" s="56">
        <f>SUMIFS(tblActuals354[Team 2 GD],tblActuals354[Team 2],$CU4,tblActuals354[Team 1],EX$3)+SUMIFS(tblActuals354[Team 1 GD],tblActuals354[Team 1],$CU4,tblActuals354[Team 2],EX$3)</f>
        <v>0</v>
      </c>
      <c r="EY4" s="56">
        <f>SUMIFS(tblActuals354[Team 2 GD],tblActuals354[Team 2],$CU4,tblActuals354[Team 1],EY$3)+SUMIFS(tblActuals354[Team 1 GD],tblActuals354[Team 1],$CU4,tblActuals354[Team 2],EY$3)</f>
        <v>0</v>
      </c>
      <c r="EZ4" s="56">
        <f>SUMIFS(tblActuals354[Team 2 GD],tblActuals354[Team 2],$CU4,tblActuals354[Team 1],EZ$3)+SUMIFS(tblActuals354[Team 1 GD],tblActuals354[Team 1],$CU4,tblActuals354[Team 2],EZ$3)</f>
        <v>0</v>
      </c>
      <c r="FA4" s="56">
        <f>SUMIFS(tblActuals354[Team 2 GD],tblActuals354[Team 2],$CU4,tblActuals354[Team 1],FA$3)+SUMIFS(tblActuals354[Team 1 GD],tblActuals354[Team 1],$CU4,tblActuals354[Team 2],FA$3)</f>
        <v>0</v>
      </c>
      <c r="FB4" s="57"/>
      <c r="FC4" s="57"/>
      <c r="FD4" s="57"/>
      <c r="FE4" s="57"/>
      <c r="FF4" s="57"/>
      <c r="FG4" s="57"/>
      <c r="FH4" s="57"/>
      <c r="FI4" s="57"/>
      <c r="FJ4" s="4"/>
      <c r="FK4" s="4" t="s">
        <v>27</v>
      </c>
      <c r="FL4" s="56">
        <f>SUMIFS(tblActuals354[Team 2 Goals],tblActuals354[Team 2],$CU4,tblActuals354[Team 1],FL$3)+SUMIFS(tblActuals354[Team 1 Goals],tblActuals354[Team 1],$CU4,tblActuals354[Team 2],FL$3)</f>
        <v>0</v>
      </c>
      <c r="FM4" s="56">
        <f>SUMIFS(tblActuals354[Team 2 Goals],tblActuals354[Team 2],$CU4,tblActuals354[Team 1],FM$3)+SUMIFS(tblActuals354[Team 1 Goals],tblActuals354[Team 1],$CU4,tblActuals354[Team 2],FM$3)</f>
        <v>0</v>
      </c>
      <c r="FN4" s="56">
        <f>SUMIFS(tblActuals354[Team 2 Goals],tblActuals354[Team 2],$CU4,tblActuals354[Team 1],FN$3)+SUMIFS(tblActuals354[Team 1 Goals],tblActuals354[Team 1],$CU4,tblActuals354[Team 2],FN$3)</f>
        <v>0</v>
      </c>
      <c r="FO4" s="56">
        <f>SUMIFS(tblActuals354[Team 2 Goals],tblActuals354[Team 2],$CU4,tblActuals354[Team 1],FO$3)+SUMIFS(tblActuals354[Team 1 Goals],tblActuals354[Team 1],$CU4,tblActuals354[Team 2],FO$3)</f>
        <v>0</v>
      </c>
      <c r="FP4" s="56">
        <f>SUMIFS(tblActuals354[Team 2 Goals],tblActuals354[Team 2],$CU4,tblActuals354[Team 1],FP$3)+SUMIFS(tblActuals354[Team 1 Goals],tblActuals354[Team 1],$CU4,tblActuals354[Team 2],FP$3)</f>
        <v>0</v>
      </c>
      <c r="FQ4" s="56">
        <f>SUMIFS(tblActuals354[Team 2 Goals],tblActuals354[Team 2],$CU4,tblActuals354[Team 1],FQ$3)+SUMIFS(tblActuals354[Team 1 Goals],tblActuals354[Team 1],$CU4,tblActuals354[Team 2],FQ$3)</f>
        <v>0</v>
      </c>
      <c r="FR4" s="56">
        <f>SUMIFS(tblActuals354[Team 2 Goals],tblActuals354[Team 2],$CU4,tblActuals354[Team 1],FR$3)+SUMIFS(tblActuals354[Team 1 Goals],tblActuals354[Team 1],$CU4,tblActuals354[Team 2],FR$3)</f>
        <v>0</v>
      </c>
      <c r="FS4" s="56">
        <f>SUMIFS(tblActuals354[Team 2 Goals],tblActuals354[Team 2],$CU4,tblActuals354[Team 1],FS$3)+SUMIFS(tblActuals354[Team 1 Goals],tblActuals354[Team 1],$CU4,tblActuals354[Team 2],FS$3)</f>
        <v>0</v>
      </c>
      <c r="FT4" s="56">
        <f>SUMIFS(tblActuals354[Team 2 Goals],tblActuals354[Team 2],$CU4,tblActuals354[Team 1],FT$3)+SUMIFS(tblActuals354[Team 1 Goals],tblActuals354[Team 1],$CU4,tblActuals354[Team 2],FT$3)</f>
        <v>0</v>
      </c>
      <c r="FU4" s="56">
        <f>SUMIFS(tblActuals354[Team 2 Goals],tblActuals354[Team 2],$CU4,tblActuals354[Team 1],FU$3)+SUMIFS(tblActuals354[Team 1 Goals],tblActuals354[Team 1],$CU4,tblActuals354[Team 2],FU$3)</f>
        <v>0</v>
      </c>
      <c r="FV4" s="56">
        <f>SUMIFS(tblActuals354[Team 2 Goals],tblActuals354[Team 2],$CU4,tblActuals354[Team 1],FV$3)+SUMIFS(tblActuals354[Team 1 Goals],tblActuals354[Team 1],$CU4,tblActuals354[Team 2],FV$3)</f>
        <v>0</v>
      </c>
      <c r="FW4" s="56">
        <f>SUMIFS(tblActuals354[Team 2 Goals],tblActuals354[Team 2],$CU4,tblActuals354[Team 1],FW$3)+SUMIFS(tblActuals354[Team 1 Goals],tblActuals354[Team 1],$CU4,tblActuals354[Team 2],FW$3)</f>
        <v>0</v>
      </c>
      <c r="FX4" s="56">
        <f>SUMIFS(tblActuals354[Team 2 Goals],tblActuals354[Team 2],$CU4,tblActuals354[Team 1],FX$3)+SUMIFS(tblActuals354[Team 1 Goals],tblActuals354[Team 1],$CU4,tblActuals354[Team 2],FX$3)</f>
        <v>0</v>
      </c>
      <c r="FY4" s="56">
        <f>SUMIFS(tblActuals354[Team 2 Goals],tblActuals354[Team 2],$CU4,tblActuals354[Team 1],FY$3)+SUMIFS(tblActuals354[Team 1 Goals],tblActuals354[Team 1],$CU4,tblActuals354[Team 2],FY$3)</f>
        <v>0</v>
      </c>
      <c r="FZ4" s="56">
        <f>SUMIFS(tblActuals354[Team 2 Goals],tblActuals354[Team 2],$CU4,tblActuals354[Team 1],FZ$3)+SUMIFS(tblActuals354[Team 1 Goals],tblActuals354[Team 1],$CU4,tblActuals354[Team 2],FZ$3)</f>
        <v>0</v>
      </c>
      <c r="GA4" s="56">
        <f>SUMIFS(tblActuals354[Team 2 Goals],tblActuals354[Team 2],$CU4,tblActuals354[Team 1],GA$3)+SUMIFS(tblActuals354[Team 1 Goals],tblActuals354[Team 1],$CU4,tblActuals354[Team 2],GA$3)</f>
        <v>0</v>
      </c>
      <c r="GB4" s="56">
        <f>SUMIFS(tblActuals354[Team 2 Goals],tblActuals354[Team 2],$CU4,tblActuals354[Team 1],GB$3)+SUMIFS(tblActuals354[Team 1 Goals],tblActuals354[Team 1],$CU4,tblActuals354[Team 2],GB$3)</f>
        <v>0</v>
      </c>
      <c r="GC4" s="56">
        <f>SUMIFS(tblActuals354[Team 2 Goals],tblActuals354[Team 2],$CU4,tblActuals354[Team 1],GC$3)+SUMIFS(tblActuals354[Team 1 Goals],tblActuals354[Team 1],$CU4,tblActuals354[Team 2],GC$3)</f>
        <v>0</v>
      </c>
      <c r="GD4" s="56">
        <f>SUMIFS(tblActuals354[Team 2 Goals],tblActuals354[Team 2],$CU4,tblActuals354[Team 1],GD$3)+SUMIFS(tblActuals354[Team 1 Goals],tblActuals354[Team 1],$CU4,tblActuals354[Team 2],GD$3)</f>
        <v>0</v>
      </c>
      <c r="GE4" s="56">
        <f>SUMIFS(tblActuals354[Team 2 Goals],tblActuals354[Team 2],$CU4,tblActuals354[Team 1],GE$3)+SUMIFS(tblActuals354[Team 1 Goals],tblActuals354[Team 1],$CU4,tblActuals354[Team 2],GE$3)</f>
        <v>0</v>
      </c>
      <c r="GF4" s="56">
        <f>SUMIFS(tblActuals354[Team 2 Goals],tblActuals354[Team 2],$CU4,tblActuals354[Team 1],GF$3)+SUMIFS(tblActuals354[Team 1 Goals],tblActuals354[Team 1],$CU4,tblActuals354[Team 2],GF$3)</f>
        <v>0</v>
      </c>
      <c r="GG4" s="56">
        <f>SUMIFS(tblActuals354[Team 2 Goals],tblActuals354[Team 2],$CU4,tblActuals354[Team 1],GG$3)+SUMIFS(tblActuals354[Team 1 Goals],tblActuals354[Team 1],$CU4,tblActuals354[Team 2],GG$3)</f>
        <v>0</v>
      </c>
      <c r="GH4" s="56">
        <f>SUMIFS(tblActuals354[Team 2 Goals],tblActuals354[Team 2],$CU4,tblActuals354[Team 1],GH$3)+SUMIFS(tblActuals354[Team 1 Goals],tblActuals354[Team 1],$CU4,tblActuals354[Team 2],GH$3)</f>
        <v>0</v>
      </c>
      <c r="GI4" s="56">
        <f>SUMIFS(tblActuals354[Team 2 Goals],tblActuals354[Team 2],$CU4,tblActuals354[Team 1],GI$3)+SUMIFS(tblActuals354[Team 1 Goals],tblActuals354[Team 1],$CU4,tblActuals354[Team 2],GI$3)</f>
        <v>0</v>
      </c>
      <c r="GJ4" s="57"/>
      <c r="GK4" s="57"/>
      <c r="GL4" s="37"/>
      <c r="GM4" s="37"/>
      <c r="GN4" s="37"/>
      <c r="GO4" s="37"/>
      <c r="GP4" s="37"/>
      <c r="GQ4" s="37"/>
      <c r="GR4" s="75"/>
      <c r="GS4" s="156"/>
      <c r="GT4" s="156"/>
      <c r="GU4" s="75"/>
      <c r="GV4" s="22"/>
      <c r="GW4" s="75"/>
      <c r="GX4" s="75"/>
      <c r="GY4" s="75"/>
      <c r="GZ4" s="75"/>
      <c r="HB4" s="4" t="s">
        <v>0</v>
      </c>
      <c r="HC4" s="178" t="s">
        <v>143</v>
      </c>
      <c r="HD4" s="178"/>
      <c r="HE4" s="178"/>
      <c r="HF4" s="178"/>
      <c r="HG4" s="178"/>
      <c r="HH4" s="178"/>
      <c r="HI4" s="178"/>
      <c r="HJ4" s="43" t="s">
        <v>145</v>
      </c>
      <c r="HK4" s="43" t="s">
        <v>145</v>
      </c>
      <c r="HL4" s="43" t="s">
        <v>145</v>
      </c>
      <c r="HM4" s="43" t="s">
        <v>145</v>
      </c>
    </row>
    <row r="5" spans="1:221" s="11" customFormat="1" ht="30" customHeight="1" thickBot="1" x14ac:dyDescent="0.25">
      <c r="A5" s="28" t="s">
        <v>72</v>
      </c>
      <c r="B5" s="122">
        <v>2</v>
      </c>
      <c r="C5" s="122" t="s">
        <v>1</v>
      </c>
      <c r="D5" s="123">
        <v>45458</v>
      </c>
      <c r="E5" s="122" t="s">
        <v>79</v>
      </c>
      <c r="F5" s="124">
        <v>0.625</v>
      </c>
      <c r="G5" s="125">
        <f t="shared" ref="G5:G51" si="11">(D5+F5)+IF($A$7&gt;=0,TIMEVALUE($A$7&amp;":00"),-TIMEVALUE(ABS($A$7)&amp;":00"))</f>
        <v>45458.375</v>
      </c>
      <c r="H5" s="122" t="s">
        <v>90</v>
      </c>
      <c r="I5" s="126"/>
      <c r="J5" s="118"/>
      <c r="K5" s="118"/>
      <c r="L5" s="174">
        <f>IF(I5="",0,IFERROR(IF(SCORING.RULES!$C$8="No",1,((VLOOKUP($B5,ACTUALS!$B$4:$L$100,7,FALSE)=$H5)+(VLOOKUP($B5,ACTUALS!$B$4:$L$100,7,FALSE)=S5)))*(M5+N5+O5+P5+Q5),0))+$R5</f>
        <v>0</v>
      </c>
      <c r="M5" s="168">
        <f>IFERROR(IF($B5="","",IF(U5=INDEX(ACTUALS!$AA$4:$AA$100,MATCH($B5,ACTUALS!$B$4:$B$100,0),1),CorrectScore,0)),0)</f>
        <v>0</v>
      </c>
      <c r="N5" s="157" t="str">
        <f>IFERROR(IF(I5="","",IF(INDEX(ACTUALS!$AB$4:$AB$100,MATCH($B5,ACTUALS!$B$4:$B$100,0),1)=(AB5+AC5+AH5+AI5),CorrectNumberofGoals,0)),0)</f>
        <v/>
      </c>
      <c r="O5" s="157"/>
      <c r="P5" s="157">
        <f>IFERROR(IF(B5="","",IF(INDEX(ACTUALS!$L$4:$L$100,MATCH($B5,ACTUALS!$B$4:$B$100,0),1)=W5,CorrectResult,0)),0)</f>
        <v>3</v>
      </c>
      <c r="Q5" s="157"/>
      <c r="R5" s="157"/>
      <c r="S5" s="157" t="str">
        <f t="shared" si="0"/>
        <v/>
      </c>
      <c r="T5" s="157"/>
      <c r="U5" s="157" t="str">
        <f t="shared" si="1"/>
        <v/>
      </c>
      <c r="V5" s="157" t="str">
        <f t="shared" si="2"/>
        <v/>
      </c>
      <c r="W5" s="119" t="str">
        <f>IF(tblActuals354[[#This Row],[SCORE]]="","",IF(AB5=AC5,"Draw",IF(AB5&gt;AC5,X5,Y5)))</f>
        <v/>
      </c>
      <c r="X5" s="120" t="str">
        <f>IF(tblActuals354[[#This Row],[TEAMS]]="","",LEFT(H5,FIND(" -",H5,1)-1))</f>
        <v>Hungary</v>
      </c>
      <c r="Y5" s="120" t="str">
        <f>IF(tblActuals354[[#This Row],[TEAMS]]="","",MID(H5,FIND("-",H5,1)+2,LEN(H5)-FIND("-",H5,1)+2))</f>
        <v>Switzerland</v>
      </c>
      <c r="Z5" s="120" t="str">
        <f>IF(tblActuals354[[#This Row],[Team 1 Goals]]&gt;tblActuals354[[#This Row],[Team 2 Goals]],tblActuals354[[#This Row],[Team 1]],IF(tblActuals354[[#This Row],[Team 2 Goals]]&gt;tblActuals354[[#This Row],[Team 1 Goals]],tblActuals354[[#This Row],[Team 2]],""))</f>
        <v/>
      </c>
      <c r="AA5" s="120" t="str">
        <f>IF(tblActuals354[[#This Row],[Winner]]=tblActuals354[[#This Row],[Team 1]],tblActuals354[[#This Row],[Team 2]],IF(tblActuals354[[#This Row],[Winner]]=tblActuals354[[#This Row],[Team 2]],tblActuals354[[#This Row],[Team 1]],""))</f>
        <v/>
      </c>
      <c r="AB5" s="120" t="str">
        <f>IF(tblActuals354[[#This Row],[SCORE]]="","",LEFT(I5,FIND(":",I5,1)-1)*1)</f>
        <v/>
      </c>
      <c r="AC5" s="120" t="str">
        <f>IF(tblActuals354[[#This Row],[SCORE]]="","",MID(I5,FIND(":",I5,1)+1,LEN(I5)-FIND(":",I5,1)+1)*1)</f>
        <v/>
      </c>
      <c r="AD5" s="120" t="str">
        <f>IF(OR(tblActuals354[[#This Row],[Team 1 Goals]]="",tblActuals354[[#This Row],[Team 2 Goals]]=""),"",tblActuals354[[#This Row],[Team 1 Goals]]-tblActuals354[[#This Row],[Team 2 Goals]])</f>
        <v/>
      </c>
      <c r="AE5" s="120" t="str">
        <f>IF(OR(tblActuals354[[#This Row],[Team 1 Goals]]="",tblActuals354[[#This Row],[Team 2 Goals]]=""),"",tblActuals354[[#This Row],[Team 2 Goals]]-tblActuals354[[#This Row],[Team 1 Goals]])</f>
        <v/>
      </c>
      <c r="AF5" s="120" t="str">
        <f>IF(tblActuals354[[#This Row],[SCORE]]="","",IF(tblActuals354[[#This Row],[WINNER / RESULT]]="Draw",1,IF(tblActuals354[[#This Row],[WINNER / RESULT]]=tblActuals354[[#This Row],[Team 1]],3,0)))</f>
        <v/>
      </c>
      <c r="AG5" s="120" t="str">
        <f>IF(tblActuals354[[#This Row],[SCORE]]="","",IF(tblActuals354[[#This Row],[WINNER / RESULT]]="Draw",1,IF(tblActuals354[[#This Row],[WINNER / RESULT]]=tblActuals354[[#This Row],[Team 2]],3,0)))</f>
        <v/>
      </c>
      <c r="AH5" s="121"/>
      <c r="AI5" s="121"/>
      <c r="AJ5" s="121"/>
      <c r="AK5" s="121"/>
      <c r="AL5" s="120" t="e">
        <f>tblActuals354[[#This Row],[Team 1 Goals]]+tblActuals354[[#This Row],[Team 1 ET Goals]]&amp;":"&amp;tblActuals354[[#This Row],[Team 2 Goals]]+tblActuals354[[#This Row],[Team 2 ET Goals]]</f>
        <v>#VALUE!</v>
      </c>
      <c r="AM5" s="120" t="e">
        <f>+tblActuals354[[#This Row],[Team 1 Goals]]+tblActuals354[[#This Row],[Team 2 Goals]]</f>
        <v>#VALUE!</v>
      </c>
      <c r="AN5" s="161">
        <f t="shared" si="3"/>
        <v>45458</v>
      </c>
      <c r="AP5" s="38" t="s">
        <v>80</v>
      </c>
      <c r="AT5" s="76"/>
      <c r="AU5" s="179" t="s">
        <v>51</v>
      </c>
      <c r="AV5" s="180"/>
      <c r="AW5" s="133" t="s">
        <v>46</v>
      </c>
      <c r="AX5" s="134" t="s">
        <v>57</v>
      </c>
      <c r="AY5" s="135" t="s">
        <v>11</v>
      </c>
      <c r="AZ5" s="75"/>
      <c r="BA5" s="42"/>
      <c r="BB5" s="4"/>
      <c r="BC5" s="4" t="s">
        <v>1</v>
      </c>
      <c r="BD5" s="4" t="s">
        <v>125</v>
      </c>
      <c r="BE5" s="4">
        <f>COUNTIF(tblActuals354[Winner],BD5)</f>
        <v>0</v>
      </c>
      <c r="BF5" s="4">
        <f>COUNTIFS(tblActuals354[Team 2],BD5,tblActuals354[WINNER / RESULT],"Draw")+COUNTIFS(tblActuals354[Team 1],BD5,tblActuals354[WINNER / RESULT],"Draw")</f>
        <v>0</v>
      </c>
      <c r="BG5" s="4">
        <f>COUNTIF(tblActuals354[Loser],BD5)</f>
        <v>0</v>
      </c>
      <c r="BH5" s="4">
        <f>BF5+(3*BE5)</f>
        <v>0</v>
      </c>
      <c r="BI5" s="4">
        <f>SUMIFS(tblActuals354[Team 1 Goals],tblActuals354[Team 1],BD5)+SUMIFS(tblActuals354[Team 2 Goals],tblActuals354[Team 2],BD5)</f>
        <v>0</v>
      </c>
      <c r="BJ5" s="4">
        <f>SUMIFS(tblActuals354[Team 2 Goals],tblActuals354[Team 1],BD5)+SUMIFS(tblActuals354[Team 1 Goals],tblActuals354[Team 2],BD5)</f>
        <v>0</v>
      </c>
      <c r="BK5" s="4">
        <f>BI5-BJ5</f>
        <v>0</v>
      </c>
      <c r="BL5" s="4">
        <f ca="1">RANK(BY5,$BY$4:$BY$7,1)</f>
        <v>2</v>
      </c>
      <c r="BM5" s="4" t="str">
        <f t="shared" si="4"/>
        <v/>
      </c>
      <c r="BN5" s="4" t="str">
        <f ca="1">IF(BM5="",BL5&amp;BC5,BM5&amp;BC5)</f>
        <v>2A</v>
      </c>
      <c r="BO5" s="4">
        <f>RANK(BH5,$BH$4:$BH$7,0)</f>
        <v>1</v>
      </c>
      <c r="BP5" s="4" cm="1">
        <f t="array" aca="1" ref="BP5" ca="1">SUMPRODUCT((OFFSET($CV$3:$EA$3,MATCH($BD5,$CU$4:$CU$35,0),0))*((IF($BO6=$BO5,$CV$3:$EA$3=$BD6,0))+(IF($BO7=$BO5,$CV$3:$EA$3=$BD7,0))+(IF($BO4=$BO5,$CV$3:$EA$3=$BD4,0))))</f>
        <v>0</v>
      </c>
      <c r="BQ5" s="4" cm="1">
        <f t="array" aca="1" ref="BQ5" ca="1">SUMPRODUCT((OFFSET($ED$3:$FI$3,MATCH($BD5,$EC$4:$EC$35,0),0))*((IF($BO6=$BO5,$ED$3:$FI$3=$BD6,0))+(IF($BO7=$BO5,$ED$3:$FI$3=$BD7,0))+(IF($BO4=$BO5,$ED$3:$FI$3=$BD4,0))))</f>
        <v>0</v>
      </c>
      <c r="BR5" s="4" cm="1">
        <f t="array" aca="1" ref="BR5" ca="1">SUMPRODUCT((OFFSET($FL$3:$GQ$3,MATCH($BD5,$FK$4:$FK$35,0),0))*((IF($BO6=$BO5,$FL$3:$GQ$3=$BD6,0))+(IF($BO7=$BO5,$FL$3:$GQ$3=$BD7,0))+(IF($BO4=$BO5,$FL$3:$GQ$3=$BD4,0))))</f>
        <v>0</v>
      </c>
      <c r="BS5" s="4" cm="1">
        <f t="array" aca="1" ref="BS5" ca="1">SUMPRODUCT((OFFSET($CV$3:$EA$3,MATCH($BD5,$CU$4:$CU$35,0),0))*((IF($BO6&lt;&gt;$BO5,$CV$3:$EA$3=$BD6,0))+(IF($BO7&lt;&gt;$BO5,$CV$3:$EA$3=$BD7,0))+(IF($BO4&lt;&gt;$BO5,$CV$3:$EA$3=$BD4,0))))</f>
        <v>0</v>
      </c>
      <c r="BT5" s="4" cm="1">
        <f t="array" aca="1" ref="BT5" ca="1">SUMPRODUCT((OFFSET($ED$3:$FI$3,MATCH($BD5,$EC$4:$EC$35,0),0))*((IF($BO6&lt;&gt;$BO5,$ED$3:$FI$3=$BD6,0))+(IF($BO7&lt;&gt;$BO5,$ED$3:$FI$3=$BD7,0))+(IF($BO4&lt;&gt;$BO5,$ED$3:$FI$3=$BD4,0))))</f>
        <v>0</v>
      </c>
      <c r="BU5" s="4" cm="1">
        <f t="array" aca="1" ref="BU5" ca="1">SUMPRODUCT((OFFSET($FL$3:$GQ$3,MATCH($BD5,$FK$4:$FK$35,0),0))*((IF($BO6&lt;&gt;$BO5,$FL$3:$GQ$3=$BD6,0))+(IF($BO7&lt;&gt;$BO5,$FL$3:$GQ$3=$BD7,0))+(IF($BO4&lt;&gt;$BO5,$FL$3:$GQ$3=$BD4,0))))</f>
        <v>0</v>
      </c>
      <c r="BV5" s="4">
        <f>BK5</f>
        <v>0</v>
      </c>
      <c r="BW5" s="4">
        <f>BI5</f>
        <v>0</v>
      </c>
      <c r="BX5" s="4">
        <f ca="1">(BP5/10)+(BQ5/100)+(BR5/1000)+(BT5/10000)+(BU5/100000)+(BV5/1000000)+(BW5/10000000)+(ROW(BS6)/100000000)</f>
        <v>5.9999999999999995E-8</v>
      </c>
      <c r="BY5" s="4">
        <f ca="1">+BO5-BX5</f>
        <v>0.99999994000000003</v>
      </c>
      <c r="BZ5" s="4"/>
      <c r="CA5" s="4" t="s">
        <v>5</v>
      </c>
      <c r="CB5" s="4" t="str">
        <f ca="1">AV14</f>
        <v>Italy</v>
      </c>
      <c r="CC5" s="4">
        <f t="shared" ca="1" si="5"/>
        <v>0</v>
      </c>
      <c r="CD5" s="4">
        <f t="shared" ca="1" si="6"/>
        <v>0</v>
      </c>
      <c r="CE5" s="4">
        <f t="shared" ca="1" si="7"/>
        <v>0</v>
      </c>
      <c r="CF5" s="4">
        <f t="shared" ca="1" si="8"/>
        <v>0</v>
      </c>
      <c r="CG5" s="4">
        <f t="shared" ca="1" si="9"/>
        <v>4.9999999999999998E-7</v>
      </c>
      <c r="CH5" s="4">
        <f t="shared" ca="1" si="10"/>
        <v>5</v>
      </c>
      <c r="CI5" s="4"/>
      <c r="CJ5" s="4"/>
      <c r="CK5" s="4"/>
      <c r="CL5" s="4"/>
      <c r="CM5" s="4"/>
      <c r="CN5" s="4"/>
      <c r="CO5" s="4"/>
      <c r="CP5" s="4"/>
      <c r="CQ5" s="4"/>
      <c r="CR5" s="4"/>
      <c r="CU5" s="4" t="s">
        <v>124</v>
      </c>
      <c r="CV5" s="56">
        <f>SUMIFS(tblActuals354[Team 2 Points],tblActuals354[Team 2],$CU5,tblActuals354[Team 1],CV$3)+SUMIFS(tblActuals354[Team 1 Points],tblActuals354[Team 1],$CU5,tblActuals354[Team 2],CV$3)</f>
        <v>0</v>
      </c>
      <c r="CW5" s="56">
        <f>SUMIFS(tblActuals354[Team 2 Points],tblActuals354[Team 2],$CU5,tblActuals354[Team 1],CW$3)+SUMIFS(tblActuals354[Team 1 Points],tblActuals354[Team 1],$CU5,tblActuals354[Team 2],CW$3)</f>
        <v>0</v>
      </c>
      <c r="CX5" s="56">
        <f>SUMIFS(tblActuals354[Team 2 Points],tblActuals354[Team 2],$CU5,tblActuals354[Team 1],CX$3)+SUMIFS(tblActuals354[Team 1 Points],tblActuals354[Team 1],$CU5,tblActuals354[Team 2],CX$3)</f>
        <v>0</v>
      </c>
      <c r="CY5" s="56">
        <f>SUMIFS(tblActuals354[Team 2 Points],tblActuals354[Team 2],$CU5,tblActuals354[Team 1],CY$3)+SUMIFS(tblActuals354[Team 1 Points],tblActuals354[Team 1],$CU5,tblActuals354[Team 2],CY$3)</f>
        <v>0</v>
      </c>
      <c r="CZ5" s="56">
        <f>SUMIFS(tblActuals354[Team 2 Points],tblActuals354[Team 2],$CU5,tblActuals354[Team 1],CZ$3)+SUMIFS(tblActuals354[Team 1 Points],tblActuals354[Team 1],$CU5,tblActuals354[Team 2],CZ$3)</f>
        <v>0</v>
      </c>
      <c r="DA5" s="56">
        <f>SUMIFS(tblActuals354[Team 2 Points],tblActuals354[Team 2],$CU5,tblActuals354[Team 1],DA$3)+SUMIFS(tblActuals354[Team 1 Points],tblActuals354[Team 1],$CU5,tblActuals354[Team 2],DA$3)</f>
        <v>0</v>
      </c>
      <c r="DB5" s="56">
        <f>SUMIFS(tblActuals354[Team 2 Points],tblActuals354[Team 2],$CU5,tblActuals354[Team 1],DB$3)+SUMIFS(tblActuals354[Team 1 Points],tblActuals354[Team 1],$CU5,tblActuals354[Team 2],DB$3)</f>
        <v>0</v>
      </c>
      <c r="DC5" s="56">
        <f>SUMIFS(tblActuals354[Team 2 Points],tblActuals354[Team 2],$CU5,tblActuals354[Team 1],DC$3)+SUMIFS(tblActuals354[Team 1 Points],tblActuals354[Team 1],$CU5,tblActuals354[Team 2],DC$3)</f>
        <v>0</v>
      </c>
      <c r="DD5" s="56">
        <f>SUMIFS(tblActuals354[Team 2 Points],tblActuals354[Team 2],$CU5,tblActuals354[Team 1],DD$3)+SUMIFS(tblActuals354[Team 1 Points],tblActuals354[Team 1],$CU5,tblActuals354[Team 2],DD$3)</f>
        <v>0</v>
      </c>
      <c r="DE5" s="56">
        <f>SUMIFS(tblActuals354[Team 2 Points],tblActuals354[Team 2],$CU5,tblActuals354[Team 1],DE$3)+SUMIFS(tblActuals354[Team 1 Points],tblActuals354[Team 1],$CU5,tblActuals354[Team 2],DE$3)</f>
        <v>0</v>
      </c>
      <c r="DF5" s="56">
        <f>SUMIFS(tblActuals354[Team 2 Points],tblActuals354[Team 2],$CU5,tblActuals354[Team 1],DF$3)+SUMIFS(tblActuals354[Team 1 Points],tblActuals354[Team 1],$CU5,tblActuals354[Team 2],DF$3)</f>
        <v>0</v>
      </c>
      <c r="DG5" s="56">
        <f>SUMIFS(tblActuals354[Team 2 Points],tblActuals354[Team 2],$CU5,tblActuals354[Team 1],DG$3)+SUMIFS(tblActuals354[Team 1 Points],tblActuals354[Team 1],$CU5,tblActuals354[Team 2],DG$3)</f>
        <v>0</v>
      </c>
      <c r="DH5" s="56">
        <f>SUMIFS(tblActuals354[Team 2 Points],tblActuals354[Team 2],$CU5,tblActuals354[Team 1],DH$3)+SUMIFS(tblActuals354[Team 1 Points],tblActuals354[Team 1],$CU5,tblActuals354[Team 2],DH$3)</f>
        <v>0</v>
      </c>
      <c r="DI5" s="56">
        <f>SUMIFS(tblActuals354[Team 2 Points],tblActuals354[Team 2],$CU5,tblActuals354[Team 1],DI$3)+SUMIFS(tblActuals354[Team 1 Points],tblActuals354[Team 1],$CU5,tblActuals354[Team 2],DI$3)</f>
        <v>0</v>
      </c>
      <c r="DJ5" s="56">
        <f>SUMIFS(tblActuals354[Team 2 Points],tblActuals354[Team 2],$CU5,tblActuals354[Team 1],DJ$3)+SUMIFS(tblActuals354[Team 1 Points],tblActuals354[Team 1],$CU5,tblActuals354[Team 2],DJ$3)</f>
        <v>0</v>
      </c>
      <c r="DK5" s="56">
        <f>SUMIFS(tblActuals354[Team 2 Points],tblActuals354[Team 2],$CU5,tblActuals354[Team 1],DK$3)+SUMIFS(tblActuals354[Team 1 Points],tblActuals354[Team 1],$CU5,tblActuals354[Team 2],DK$3)</f>
        <v>0</v>
      </c>
      <c r="DL5" s="56">
        <f>SUMIFS(tblActuals354[Team 2 Points],tblActuals354[Team 2],$CU5,tblActuals354[Team 1],DL$3)+SUMIFS(tblActuals354[Team 1 Points],tblActuals354[Team 1],$CU5,tblActuals354[Team 2],DL$3)</f>
        <v>0</v>
      </c>
      <c r="DM5" s="56">
        <f>SUMIFS(tblActuals354[Team 2 Points],tblActuals354[Team 2],$CU5,tblActuals354[Team 1],DM$3)+SUMIFS(tblActuals354[Team 1 Points],tblActuals354[Team 1],$CU5,tblActuals354[Team 2],DM$3)</f>
        <v>0</v>
      </c>
      <c r="DN5" s="56">
        <f>SUMIFS(tblActuals354[Team 2 Points],tblActuals354[Team 2],$CU5,tblActuals354[Team 1],DN$3)+SUMIFS(tblActuals354[Team 1 Points],tblActuals354[Team 1],$CU5,tblActuals354[Team 2],DN$3)</f>
        <v>0</v>
      </c>
      <c r="DO5" s="56">
        <f>SUMIFS(tblActuals354[Team 2 Points],tblActuals354[Team 2],$CU5,tblActuals354[Team 1],DO$3)+SUMIFS(tblActuals354[Team 1 Points],tblActuals354[Team 1],$CU5,tblActuals354[Team 2],DO$3)</f>
        <v>0</v>
      </c>
      <c r="DP5" s="56">
        <f>SUMIFS(tblActuals354[Team 2 Points],tblActuals354[Team 2],$CU5,tblActuals354[Team 1],DP$3)+SUMIFS(tblActuals354[Team 1 Points],tblActuals354[Team 1],$CU5,tblActuals354[Team 2],DP$3)</f>
        <v>0</v>
      </c>
      <c r="DQ5" s="56">
        <f>SUMIFS(tblActuals354[Team 2 Points],tblActuals354[Team 2],$CU5,tblActuals354[Team 1],DQ$3)+SUMIFS(tblActuals354[Team 1 Points],tblActuals354[Team 1],$CU5,tblActuals354[Team 2],DQ$3)</f>
        <v>0</v>
      </c>
      <c r="DR5" s="56">
        <f>SUMIFS(tblActuals354[Team 2 Points],tblActuals354[Team 2],$CU5,tblActuals354[Team 1],DR$3)+SUMIFS(tblActuals354[Team 1 Points],tblActuals354[Team 1],$CU5,tblActuals354[Team 2],DR$3)</f>
        <v>0</v>
      </c>
      <c r="DS5" s="56">
        <f>SUMIFS(tblActuals354[Team 2 Points],tblActuals354[Team 2],$CU5,tblActuals354[Team 1],DS$3)+SUMIFS(tblActuals354[Team 1 Points],tblActuals354[Team 1],$CU5,tblActuals354[Team 2],DS$3)</f>
        <v>0</v>
      </c>
      <c r="DT5" s="57"/>
      <c r="DU5" s="57"/>
      <c r="DV5" s="57"/>
      <c r="DW5" s="57"/>
      <c r="DX5" s="57"/>
      <c r="DY5" s="57"/>
      <c r="DZ5" s="57"/>
      <c r="EA5" s="57"/>
      <c r="EB5" s="4"/>
      <c r="EC5" s="4" t="s">
        <v>124</v>
      </c>
      <c r="ED5" s="56">
        <f>SUMIFS(tblActuals354[Team 2 GD],tblActuals354[Team 2],$CU5,tblActuals354[Team 1],ED$3)+SUMIFS(tblActuals354[Team 1 GD],tblActuals354[Team 1],$CU5,tblActuals354[Team 2],ED$3)</f>
        <v>0</v>
      </c>
      <c r="EE5" s="56">
        <f>SUMIFS(tblActuals354[Team 2 GD],tblActuals354[Team 2],$CU5,tblActuals354[Team 1],EE$3)+SUMIFS(tblActuals354[Team 1 GD],tblActuals354[Team 1],$CU5,tblActuals354[Team 2],EE$3)</f>
        <v>0</v>
      </c>
      <c r="EF5" s="56">
        <f>SUMIFS(tblActuals354[Team 2 GD],tblActuals354[Team 2],$CU5,tblActuals354[Team 1],EF$3)+SUMIFS(tblActuals354[Team 1 GD],tblActuals354[Team 1],$CU5,tblActuals354[Team 2],EF$3)</f>
        <v>0</v>
      </c>
      <c r="EG5" s="56">
        <f>SUMIFS(tblActuals354[Team 2 GD],tblActuals354[Team 2],$CU5,tblActuals354[Team 1],EG$3)+SUMIFS(tblActuals354[Team 1 GD],tblActuals354[Team 1],$CU5,tblActuals354[Team 2],EG$3)</f>
        <v>0</v>
      </c>
      <c r="EH5" s="56">
        <f>SUMIFS(tblActuals354[Team 2 GD],tblActuals354[Team 2],$CU5,tblActuals354[Team 1],EH$3)+SUMIFS(tblActuals354[Team 1 GD],tblActuals354[Team 1],$CU5,tblActuals354[Team 2],EH$3)</f>
        <v>0</v>
      </c>
      <c r="EI5" s="56">
        <f>SUMIFS(tblActuals354[Team 2 GD],tblActuals354[Team 2],$CU5,tblActuals354[Team 1],EI$3)+SUMIFS(tblActuals354[Team 1 GD],tblActuals354[Team 1],$CU5,tblActuals354[Team 2],EI$3)</f>
        <v>0</v>
      </c>
      <c r="EJ5" s="56">
        <f>SUMIFS(tblActuals354[Team 2 GD],tblActuals354[Team 2],$CU5,tblActuals354[Team 1],EJ$3)+SUMIFS(tblActuals354[Team 1 GD],tblActuals354[Team 1],$CU5,tblActuals354[Team 2],EJ$3)</f>
        <v>0</v>
      </c>
      <c r="EK5" s="56">
        <f>SUMIFS(tblActuals354[Team 2 GD],tblActuals354[Team 2],$CU5,tblActuals354[Team 1],EK$3)+SUMIFS(tblActuals354[Team 1 GD],tblActuals354[Team 1],$CU5,tblActuals354[Team 2],EK$3)</f>
        <v>0</v>
      </c>
      <c r="EL5" s="56">
        <f>SUMIFS(tblActuals354[Team 2 GD],tblActuals354[Team 2],$CU5,tblActuals354[Team 1],EL$3)+SUMIFS(tblActuals354[Team 1 GD],tblActuals354[Team 1],$CU5,tblActuals354[Team 2],EL$3)</f>
        <v>0</v>
      </c>
      <c r="EM5" s="56">
        <f>SUMIFS(tblActuals354[Team 2 GD],tblActuals354[Team 2],$CU5,tblActuals354[Team 1],EM$3)+SUMIFS(tblActuals354[Team 1 GD],tblActuals354[Team 1],$CU5,tblActuals354[Team 2],EM$3)</f>
        <v>0</v>
      </c>
      <c r="EN5" s="56">
        <f>SUMIFS(tblActuals354[Team 2 GD],tblActuals354[Team 2],$CU5,tblActuals354[Team 1],EN$3)+SUMIFS(tblActuals354[Team 1 GD],tblActuals354[Team 1],$CU5,tblActuals354[Team 2],EN$3)</f>
        <v>0</v>
      </c>
      <c r="EO5" s="56">
        <f>SUMIFS(tblActuals354[Team 2 GD],tblActuals354[Team 2],$CU5,tblActuals354[Team 1],EO$3)+SUMIFS(tblActuals354[Team 1 GD],tblActuals354[Team 1],$CU5,tblActuals354[Team 2],EO$3)</f>
        <v>0</v>
      </c>
      <c r="EP5" s="56">
        <f>SUMIFS(tblActuals354[Team 2 GD],tblActuals354[Team 2],$CU5,tblActuals354[Team 1],EP$3)+SUMIFS(tblActuals354[Team 1 GD],tblActuals354[Team 1],$CU5,tblActuals354[Team 2],EP$3)</f>
        <v>0</v>
      </c>
      <c r="EQ5" s="56">
        <f>SUMIFS(tblActuals354[Team 2 GD],tblActuals354[Team 2],$CU5,tblActuals354[Team 1],EQ$3)+SUMIFS(tblActuals354[Team 1 GD],tblActuals354[Team 1],$CU5,tblActuals354[Team 2],EQ$3)</f>
        <v>0</v>
      </c>
      <c r="ER5" s="56">
        <f>SUMIFS(tblActuals354[Team 2 GD],tblActuals354[Team 2],$CU5,tblActuals354[Team 1],ER$3)+SUMIFS(tblActuals354[Team 1 GD],tblActuals354[Team 1],$CU5,tblActuals354[Team 2],ER$3)</f>
        <v>0</v>
      </c>
      <c r="ES5" s="56">
        <f>SUMIFS(tblActuals354[Team 2 GD],tblActuals354[Team 2],$CU5,tblActuals354[Team 1],ES$3)+SUMIFS(tblActuals354[Team 1 GD],tblActuals354[Team 1],$CU5,tblActuals354[Team 2],ES$3)</f>
        <v>0</v>
      </c>
      <c r="ET5" s="56">
        <f>SUMIFS(tblActuals354[Team 2 GD],tblActuals354[Team 2],$CU5,tblActuals354[Team 1],ET$3)+SUMIFS(tblActuals354[Team 1 GD],tblActuals354[Team 1],$CU5,tblActuals354[Team 2],ET$3)</f>
        <v>0</v>
      </c>
      <c r="EU5" s="56">
        <f>SUMIFS(tblActuals354[Team 2 GD],tblActuals354[Team 2],$CU5,tblActuals354[Team 1],EU$3)+SUMIFS(tblActuals354[Team 1 GD],tblActuals354[Team 1],$CU5,tblActuals354[Team 2],EU$3)</f>
        <v>0</v>
      </c>
      <c r="EV5" s="56">
        <f>SUMIFS(tblActuals354[Team 2 GD],tblActuals354[Team 2],$CU5,tblActuals354[Team 1],EV$3)+SUMIFS(tblActuals354[Team 1 GD],tblActuals354[Team 1],$CU5,tblActuals354[Team 2],EV$3)</f>
        <v>0</v>
      </c>
      <c r="EW5" s="56">
        <f>SUMIFS(tblActuals354[Team 2 GD],tblActuals354[Team 2],$CU5,tblActuals354[Team 1],EW$3)+SUMIFS(tblActuals354[Team 1 GD],tblActuals354[Team 1],$CU5,tblActuals354[Team 2],EW$3)</f>
        <v>0</v>
      </c>
      <c r="EX5" s="56">
        <f>SUMIFS(tblActuals354[Team 2 GD],tblActuals354[Team 2],$CU5,tblActuals354[Team 1],EX$3)+SUMIFS(tblActuals354[Team 1 GD],tblActuals354[Team 1],$CU5,tblActuals354[Team 2],EX$3)</f>
        <v>0</v>
      </c>
      <c r="EY5" s="56">
        <f>SUMIFS(tblActuals354[Team 2 GD],tblActuals354[Team 2],$CU5,tblActuals354[Team 1],EY$3)+SUMIFS(tblActuals354[Team 1 GD],tblActuals354[Team 1],$CU5,tblActuals354[Team 2],EY$3)</f>
        <v>0</v>
      </c>
      <c r="EZ5" s="56">
        <f>SUMIFS(tblActuals354[Team 2 GD],tblActuals354[Team 2],$CU5,tblActuals354[Team 1],EZ$3)+SUMIFS(tblActuals354[Team 1 GD],tblActuals354[Team 1],$CU5,tblActuals354[Team 2],EZ$3)</f>
        <v>0</v>
      </c>
      <c r="FA5" s="56">
        <f>SUMIFS(tblActuals354[Team 2 GD],tblActuals354[Team 2],$CU5,tblActuals354[Team 1],FA$3)+SUMIFS(tblActuals354[Team 1 GD],tblActuals354[Team 1],$CU5,tblActuals354[Team 2],FA$3)</f>
        <v>0</v>
      </c>
      <c r="FB5" s="57"/>
      <c r="FC5" s="57"/>
      <c r="FD5" s="57"/>
      <c r="FE5" s="57"/>
      <c r="FF5" s="57"/>
      <c r="FG5" s="57"/>
      <c r="FH5" s="57"/>
      <c r="FI5" s="57"/>
      <c r="FJ5" s="4"/>
      <c r="FK5" s="4" t="s">
        <v>124</v>
      </c>
      <c r="FL5" s="56">
        <f>SUMIFS(tblActuals354[Team 2 Goals],tblActuals354[Team 2],$CU5,tblActuals354[Team 1],FL$3)+SUMIFS(tblActuals354[Team 1 Goals],tblActuals354[Team 1],$CU5,tblActuals354[Team 2],FL$3)</f>
        <v>0</v>
      </c>
      <c r="FM5" s="56">
        <f>SUMIFS(tblActuals354[Team 2 Goals],tblActuals354[Team 2],$CU5,tblActuals354[Team 1],FM$3)+SUMIFS(tblActuals354[Team 1 Goals],tblActuals354[Team 1],$CU5,tblActuals354[Team 2],FM$3)</f>
        <v>0</v>
      </c>
      <c r="FN5" s="56">
        <f>SUMIFS(tblActuals354[Team 2 Goals],tblActuals354[Team 2],$CU5,tblActuals354[Team 1],FN$3)+SUMIFS(tblActuals354[Team 1 Goals],tblActuals354[Team 1],$CU5,tblActuals354[Team 2],FN$3)</f>
        <v>0</v>
      </c>
      <c r="FO5" s="56">
        <f>SUMIFS(tblActuals354[Team 2 Goals],tblActuals354[Team 2],$CU5,tblActuals354[Team 1],FO$3)+SUMIFS(tblActuals354[Team 1 Goals],tblActuals354[Team 1],$CU5,tblActuals354[Team 2],FO$3)</f>
        <v>0</v>
      </c>
      <c r="FP5" s="56">
        <f>SUMIFS(tblActuals354[Team 2 Goals],tblActuals354[Team 2],$CU5,tblActuals354[Team 1],FP$3)+SUMIFS(tblActuals354[Team 1 Goals],tblActuals354[Team 1],$CU5,tblActuals354[Team 2],FP$3)</f>
        <v>0</v>
      </c>
      <c r="FQ5" s="56">
        <f>SUMIFS(tblActuals354[Team 2 Goals],tblActuals354[Team 2],$CU5,tblActuals354[Team 1],FQ$3)+SUMIFS(tblActuals354[Team 1 Goals],tblActuals354[Team 1],$CU5,tblActuals354[Team 2],FQ$3)</f>
        <v>0</v>
      </c>
      <c r="FR5" s="56">
        <f>SUMIFS(tblActuals354[Team 2 Goals],tblActuals354[Team 2],$CU5,tblActuals354[Team 1],FR$3)+SUMIFS(tblActuals354[Team 1 Goals],tblActuals354[Team 1],$CU5,tblActuals354[Team 2],FR$3)</f>
        <v>0</v>
      </c>
      <c r="FS5" s="56">
        <f>SUMIFS(tblActuals354[Team 2 Goals],tblActuals354[Team 2],$CU5,tblActuals354[Team 1],FS$3)+SUMIFS(tblActuals354[Team 1 Goals],tblActuals354[Team 1],$CU5,tblActuals354[Team 2],FS$3)</f>
        <v>0</v>
      </c>
      <c r="FT5" s="56">
        <f>SUMIFS(tblActuals354[Team 2 Goals],tblActuals354[Team 2],$CU5,tblActuals354[Team 1],FT$3)+SUMIFS(tblActuals354[Team 1 Goals],tblActuals354[Team 1],$CU5,tblActuals354[Team 2],FT$3)</f>
        <v>0</v>
      </c>
      <c r="FU5" s="56">
        <f>SUMIFS(tblActuals354[Team 2 Goals],tblActuals354[Team 2],$CU5,tblActuals354[Team 1],FU$3)+SUMIFS(tblActuals354[Team 1 Goals],tblActuals354[Team 1],$CU5,tblActuals354[Team 2],FU$3)</f>
        <v>0</v>
      </c>
      <c r="FV5" s="56">
        <f>SUMIFS(tblActuals354[Team 2 Goals],tblActuals354[Team 2],$CU5,tblActuals354[Team 1],FV$3)+SUMIFS(tblActuals354[Team 1 Goals],tblActuals354[Team 1],$CU5,tblActuals354[Team 2],FV$3)</f>
        <v>0</v>
      </c>
      <c r="FW5" s="56">
        <f>SUMIFS(tblActuals354[Team 2 Goals],tblActuals354[Team 2],$CU5,tblActuals354[Team 1],FW$3)+SUMIFS(tblActuals354[Team 1 Goals],tblActuals354[Team 1],$CU5,tblActuals354[Team 2],FW$3)</f>
        <v>0</v>
      </c>
      <c r="FX5" s="56">
        <f>SUMIFS(tblActuals354[Team 2 Goals],tblActuals354[Team 2],$CU5,tblActuals354[Team 1],FX$3)+SUMIFS(tblActuals354[Team 1 Goals],tblActuals354[Team 1],$CU5,tblActuals354[Team 2],FX$3)</f>
        <v>0</v>
      </c>
      <c r="FY5" s="56">
        <f>SUMIFS(tblActuals354[Team 2 Goals],tblActuals354[Team 2],$CU5,tblActuals354[Team 1],FY$3)+SUMIFS(tblActuals354[Team 1 Goals],tblActuals354[Team 1],$CU5,tblActuals354[Team 2],FY$3)</f>
        <v>0</v>
      </c>
      <c r="FZ5" s="56">
        <f>SUMIFS(tblActuals354[Team 2 Goals],tblActuals354[Team 2],$CU5,tblActuals354[Team 1],FZ$3)+SUMIFS(tblActuals354[Team 1 Goals],tblActuals354[Team 1],$CU5,tblActuals354[Team 2],FZ$3)</f>
        <v>0</v>
      </c>
      <c r="GA5" s="56">
        <f>SUMIFS(tblActuals354[Team 2 Goals],tblActuals354[Team 2],$CU5,tblActuals354[Team 1],GA$3)+SUMIFS(tblActuals354[Team 1 Goals],tblActuals354[Team 1],$CU5,tblActuals354[Team 2],GA$3)</f>
        <v>0</v>
      </c>
      <c r="GB5" s="56">
        <f>SUMIFS(tblActuals354[Team 2 Goals],tblActuals354[Team 2],$CU5,tblActuals354[Team 1],GB$3)+SUMIFS(tblActuals354[Team 1 Goals],tblActuals354[Team 1],$CU5,tblActuals354[Team 2],GB$3)</f>
        <v>0</v>
      </c>
      <c r="GC5" s="56">
        <f>SUMIFS(tblActuals354[Team 2 Goals],tblActuals354[Team 2],$CU5,tblActuals354[Team 1],GC$3)+SUMIFS(tblActuals354[Team 1 Goals],tblActuals354[Team 1],$CU5,tblActuals354[Team 2],GC$3)</f>
        <v>0</v>
      </c>
      <c r="GD5" s="56">
        <f>SUMIFS(tblActuals354[Team 2 Goals],tblActuals354[Team 2],$CU5,tblActuals354[Team 1],GD$3)+SUMIFS(tblActuals354[Team 1 Goals],tblActuals354[Team 1],$CU5,tblActuals354[Team 2],GD$3)</f>
        <v>0</v>
      </c>
      <c r="GE5" s="56">
        <f>SUMIFS(tblActuals354[Team 2 Goals],tblActuals354[Team 2],$CU5,tblActuals354[Team 1],GE$3)+SUMIFS(tblActuals354[Team 1 Goals],tblActuals354[Team 1],$CU5,tblActuals354[Team 2],GE$3)</f>
        <v>0</v>
      </c>
      <c r="GF5" s="56">
        <f>SUMIFS(tblActuals354[Team 2 Goals],tblActuals354[Team 2],$CU5,tblActuals354[Team 1],GF$3)+SUMIFS(tblActuals354[Team 1 Goals],tblActuals354[Team 1],$CU5,tblActuals354[Team 2],GF$3)</f>
        <v>0</v>
      </c>
      <c r="GG5" s="56">
        <f>SUMIFS(tblActuals354[Team 2 Goals],tblActuals354[Team 2],$CU5,tblActuals354[Team 1],GG$3)+SUMIFS(tblActuals354[Team 1 Goals],tblActuals354[Team 1],$CU5,tblActuals354[Team 2],GG$3)</f>
        <v>0</v>
      </c>
      <c r="GH5" s="56">
        <f>SUMIFS(tblActuals354[Team 2 Goals],tblActuals354[Team 2],$CU5,tblActuals354[Team 1],GH$3)+SUMIFS(tblActuals354[Team 1 Goals],tblActuals354[Team 1],$CU5,tblActuals354[Team 2],GH$3)</f>
        <v>0</v>
      </c>
      <c r="GI5" s="56">
        <f>SUMIFS(tblActuals354[Team 2 Goals],tblActuals354[Team 2],$CU5,tblActuals354[Team 1],GI$3)+SUMIFS(tblActuals354[Team 1 Goals],tblActuals354[Team 1],$CU5,tblActuals354[Team 2],GI$3)</f>
        <v>0</v>
      </c>
      <c r="GJ5" s="57"/>
      <c r="GK5" s="57"/>
      <c r="GL5" s="37"/>
      <c r="GM5" s="37"/>
      <c r="GN5" s="37"/>
      <c r="GO5" s="37"/>
      <c r="GP5" s="37"/>
      <c r="GQ5" s="37"/>
      <c r="GR5" s="75"/>
      <c r="GS5" s="156"/>
      <c r="GT5" s="156"/>
      <c r="GU5" s="75"/>
      <c r="GV5" s="22"/>
      <c r="GW5" s="75"/>
      <c r="GX5" s="75"/>
      <c r="GY5" s="75"/>
      <c r="GZ5" s="75"/>
      <c r="HB5" s="4" t="str">
        <f>_xlfn.CONCAT(HC5:HH5)</f>
        <v>ABCD</v>
      </c>
      <c r="HC5" s="44" t="s">
        <v>1</v>
      </c>
      <c r="HD5" s="44" t="s">
        <v>5</v>
      </c>
      <c r="HE5" s="44" t="s">
        <v>6</v>
      </c>
      <c r="HF5" s="44" t="s">
        <v>7</v>
      </c>
      <c r="HG5" s="45"/>
      <c r="HH5" s="45"/>
      <c r="HI5" s="178"/>
      <c r="HJ5" s="45" t="s">
        <v>149</v>
      </c>
      <c r="HK5" s="45" t="s">
        <v>150</v>
      </c>
      <c r="HL5" s="45" t="s">
        <v>151</v>
      </c>
      <c r="HM5" s="45" t="s">
        <v>152</v>
      </c>
    </row>
    <row r="6" spans="1:221" s="11" customFormat="1" ht="30" customHeight="1" x14ac:dyDescent="0.2">
      <c r="A6" s="29">
        <v>-4</v>
      </c>
      <c r="B6" s="122">
        <v>3</v>
      </c>
      <c r="C6" s="122" t="s">
        <v>5</v>
      </c>
      <c r="D6" s="123">
        <v>45458</v>
      </c>
      <c r="E6" s="122" t="s">
        <v>80</v>
      </c>
      <c r="F6" s="124">
        <v>0.75</v>
      </c>
      <c r="G6" s="125">
        <f t="shared" si="11"/>
        <v>45458.5</v>
      </c>
      <c r="H6" s="122" t="s">
        <v>91</v>
      </c>
      <c r="I6" s="126"/>
      <c r="J6" s="118"/>
      <c r="K6" s="118"/>
      <c r="L6" s="174">
        <f>IF(I6="",0,IFERROR(IF(SCORING.RULES!$C$8="No",1,((VLOOKUP($B6,ACTUALS!$B$4:$L$100,7,FALSE)=$H6)+(VLOOKUP($B6,ACTUALS!$B$4:$L$100,7,FALSE)=S6)))*(M6+N6+O6+P6+Q6),0))+$R6</f>
        <v>0</v>
      </c>
      <c r="M6" s="168">
        <f>IFERROR(IF($B6="","",IF(U6=INDEX(ACTUALS!$AA$4:$AA$100,MATCH($B6,ACTUALS!$B$4:$B$100,0),1),CorrectScore,0)),0)</f>
        <v>0</v>
      </c>
      <c r="N6" s="157" t="str">
        <f>IFERROR(IF(I6="","",IF(INDEX(ACTUALS!$AB$4:$AB$100,MATCH($B6,ACTUALS!$B$4:$B$100,0),1)=(AB6+AC6+AH6+AI6),CorrectNumberofGoals,0)),0)</f>
        <v/>
      </c>
      <c r="O6" s="157"/>
      <c r="P6" s="157">
        <f>IFERROR(IF(B6="","",IF(INDEX(ACTUALS!$L$4:$L$100,MATCH($B6,ACTUALS!$B$4:$B$100,0),1)=W6,CorrectResult,0)),0)</f>
        <v>3</v>
      </c>
      <c r="Q6" s="157"/>
      <c r="R6" s="157"/>
      <c r="S6" s="157" t="str">
        <f t="shared" si="0"/>
        <v/>
      </c>
      <c r="T6" s="157"/>
      <c r="U6" s="157" t="str">
        <f t="shared" si="1"/>
        <v/>
      </c>
      <c r="V6" s="157" t="str">
        <f t="shared" si="2"/>
        <v/>
      </c>
      <c r="W6" s="119" t="str">
        <f>IF(tblActuals354[[#This Row],[SCORE]]="","",IF(AB6=AC6,"Draw",IF(AB6&gt;AC6,X6,Y6)))</f>
        <v/>
      </c>
      <c r="X6" s="120" t="str">
        <f>IF(tblActuals354[[#This Row],[TEAMS]]="","",LEFT(H6,FIND(" -",H6,1)-1))</f>
        <v>Spain</v>
      </c>
      <c r="Y6" s="120" t="str">
        <f>IF(tblActuals354[[#This Row],[TEAMS]]="","",MID(H6,FIND("-",H6,1)+2,LEN(H6)-FIND("-",H6,1)+2))</f>
        <v>Croatia</v>
      </c>
      <c r="Z6" s="120" t="str">
        <f>IF(tblActuals354[[#This Row],[Team 1 Goals]]&gt;tblActuals354[[#This Row],[Team 2 Goals]],tblActuals354[[#This Row],[Team 1]],IF(tblActuals354[[#This Row],[Team 2 Goals]]&gt;tblActuals354[[#This Row],[Team 1 Goals]],tblActuals354[[#This Row],[Team 2]],""))</f>
        <v/>
      </c>
      <c r="AA6" s="120" t="str">
        <f>IF(tblActuals354[[#This Row],[Winner]]=tblActuals354[[#This Row],[Team 1]],tblActuals354[[#This Row],[Team 2]],IF(tblActuals354[[#This Row],[Winner]]=tblActuals354[[#This Row],[Team 2]],tblActuals354[[#This Row],[Team 1]],""))</f>
        <v/>
      </c>
      <c r="AB6" s="120" t="str">
        <f>IF(tblActuals354[[#This Row],[SCORE]]="","",LEFT(I6,FIND(":",I6,1)-1)*1)</f>
        <v/>
      </c>
      <c r="AC6" s="120" t="str">
        <f>IF(tblActuals354[[#This Row],[SCORE]]="","",MID(I6,FIND(":",I6,1)+1,LEN(I6)-FIND(":",I6,1)+1)*1)</f>
        <v/>
      </c>
      <c r="AD6" s="120" t="str">
        <f>IF(OR(tblActuals354[[#This Row],[Team 1 Goals]]="",tblActuals354[[#This Row],[Team 2 Goals]]=""),"",tblActuals354[[#This Row],[Team 1 Goals]]-tblActuals354[[#This Row],[Team 2 Goals]])</f>
        <v/>
      </c>
      <c r="AE6" s="120" t="str">
        <f>IF(OR(tblActuals354[[#This Row],[Team 1 Goals]]="",tblActuals354[[#This Row],[Team 2 Goals]]=""),"",tblActuals354[[#This Row],[Team 2 Goals]]-tblActuals354[[#This Row],[Team 1 Goals]])</f>
        <v/>
      </c>
      <c r="AF6" s="120" t="str">
        <f>IF(tblActuals354[[#This Row],[SCORE]]="","",IF(tblActuals354[[#This Row],[WINNER / RESULT]]="Draw",1,IF(tblActuals354[[#This Row],[WINNER / RESULT]]=tblActuals354[[#This Row],[Team 1]],3,0)))</f>
        <v/>
      </c>
      <c r="AG6" s="120" t="str">
        <f>IF(tblActuals354[[#This Row],[SCORE]]="","",IF(tblActuals354[[#This Row],[WINNER / RESULT]]="Draw",1,IF(tblActuals354[[#This Row],[WINNER / RESULT]]=tblActuals354[[#This Row],[Team 2]],3,0)))</f>
        <v/>
      </c>
      <c r="AH6" s="121"/>
      <c r="AI6" s="121"/>
      <c r="AJ6" s="121"/>
      <c r="AK6" s="121"/>
      <c r="AL6" s="120" t="e">
        <f>tblActuals354[[#This Row],[Team 1 Goals]]+tblActuals354[[#This Row],[Team 1 ET Goals]]&amp;":"&amp;tblActuals354[[#This Row],[Team 2 Goals]]+tblActuals354[[#This Row],[Team 2 ET Goals]]</f>
        <v>#VALUE!</v>
      </c>
      <c r="AM6" s="120" t="e">
        <f>+tblActuals354[[#This Row],[Team 1 Goals]]+tblActuals354[[#This Row],[Team 2 Goals]]</f>
        <v>#VALUE!</v>
      </c>
      <c r="AN6" s="161">
        <f t="shared" si="3"/>
        <v>45458</v>
      </c>
      <c r="AP6" s="38" t="s">
        <v>79</v>
      </c>
      <c r="AT6" s="77" t="s">
        <v>1</v>
      </c>
      <c r="AU6" s="136">
        <v>1</v>
      </c>
      <c r="AV6" s="137" t="str">
        <f ca="1">IFERROR(INDEX(BD:BD,MATCH("1"&amp;AT6,BN:BN,0),1),"")</f>
        <v>Germany</v>
      </c>
      <c r="AW6" s="137" t="str">
        <f ca="1">IF(AV6="","",VLOOKUP(AV6,BD:BI,2,FALSE)&amp;"-"&amp;VLOOKUP(AV6,BD:BI,3,FALSE)&amp;"-"&amp;VLOOKUP(AV6,BD:BI,4,FALSE))</f>
        <v>0-0-0</v>
      </c>
      <c r="AX6" s="137">
        <f ca="1">IF(AV6="","",VLOOKUP(AV6,BD:BK,8,FALSE))</f>
        <v>0</v>
      </c>
      <c r="AY6" s="138">
        <f ca="1">IF(AV6="","",VLOOKUP(AV6,BD:BN,5,FALSE))</f>
        <v>0</v>
      </c>
      <c r="AZ6" s="75"/>
      <c r="BA6" s="42"/>
      <c r="BB6" s="4"/>
      <c r="BC6" s="4" t="s">
        <v>1</v>
      </c>
      <c r="BD6" s="4" t="s">
        <v>124</v>
      </c>
      <c r="BE6" s="4">
        <f>COUNTIF(tblActuals354[Winner],BD6)</f>
        <v>0</v>
      </c>
      <c r="BF6" s="4">
        <f>COUNTIFS(tblActuals354[Team 2],BD6,tblActuals354[WINNER / RESULT],"Draw")+COUNTIFS(tblActuals354[Team 1],BD6,tblActuals354[WINNER / RESULT],"Draw")</f>
        <v>0</v>
      </c>
      <c r="BG6" s="4">
        <f>COUNTIF(tblActuals354[Loser],BD6)</f>
        <v>0</v>
      </c>
      <c r="BH6" s="4">
        <f>BF6+(3*BE6)</f>
        <v>0</v>
      </c>
      <c r="BI6" s="4">
        <f>SUMIFS(tblActuals354[Team 1 Goals],tblActuals354[Team 1],BD6)+SUMIFS(tblActuals354[Team 2 Goals],tblActuals354[Team 2],BD6)</f>
        <v>0</v>
      </c>
      <c r="BJ6" s="4">
        <f>SUMIFS(tblActuals354[Team 2 Goals],tblActuals354[Team 1],BD6)+SUMIFS(tblActuals354[Team 1 Goals],tblActuals354[Team 2],BD6)</f>
        <v>0</v>
      </c>
      <c r="BK6" s="4">
        <f>BI6-BJ6</f>
        <v>0</v>
      </c>
      <c r="BL6" s="4">
        <f ca="1">RANK(BY6,$BY$4:$BY$7,1)</f>
        <v>3</v>
      </c>
      <c r="BM6" s="4" t="str">
        <f t="shared" si="4"/>
        <v/>
      </c>
      <c r="BN6" s="4" t="str">
        <f ca="1">IF(BM6="",BL6&amp;BC6,BM6&amp;BC6)</f>
        <v>3A</v>
      </c>
      <c r="BO6" s="4">
        <f>RANK(BH6,$BH$4:$BH$7,0)</f>
        <v>1</v>
      </c>
      <c r="BP6" s="4" cm="1">
        <f t="array" aca="1" ref="BP6" ca="1">SUMPRODUCT((OFFSET($CV$3:$EA$3,MATCH($BD6,$CU$4:$CU$35,0),0))*((IF($BO4=$BO6,$CV$3:$EA$3=$BD4,0))+(IF($BO7=$BO6,$CV$3:$EA$3=$BD7,0))+(IF($BO5=$BO6,$CV$3:$EA$3=$BD5,0))))</f>
        <v>0</v>
      </c>
      <c r="BQ6" s="4" cm="1">
        <f t="array" aca="1" ref="BQ6" ca="1">SUMPRODUCT((OFFSET($ED$3:$FI$3,MATCH($BD6,$EC$4:$EC$35,0),0))*((IF($BO4=$BO6,$ED$3:$FI$3=$BD4,0))+(IF($BO7=$BO6,$ED$3:$FI$3=$BD7,0))+(IF($BO5=$BO6,$ED$3:$FI$3=$BD5,0))))</f>
        <v>0</v>
      </c>
      <c r="BR6" s="4" cm="1">
        <f t="array" aca="1" ref="BR6" ca="1">SUMPRODUCT((OFFSET($FL$3:$GQ$3,MATCH($BD6,$FK$4:$FK$35,0),0))*((IF($BO4=$BO6,$FL$3:$GQ$3=$BD4,0))+(IF($BO7=$BO6,$FL$3:$GQ$3=$BD7,0))+(IF($BO5=$BO6,$FL$3:$GQ$3=$BD5,0))))</f>
        <v>0</v>
      </c>
      <c r="BS6" s="4" cm="1">
        <f t="array" aca="1" ref="BS6" ca="1">SUMPRODUCT((OFFSET($CV$3:$EA$3,MATCH($BD6,$CU$4:$CU$35,0),0))*((IF($BO4&lt;&gt;$BO6,$CV$3:$EA$3=$BD4,0))+(IF($BO7&lt;&gt;$BO6,$CV$3:$EA$3=$BD7,0))+(IF($BO5&lt;&gt;$BO6,$CV$3:$EA$3=$BD5,0))))</f>
        <v>0</v>
      </c>
      <c r="BT6" s="4" cm="1">
        <f t="array" aca="1" ref="BT6" ca="1">SUMPRODUCT((OFFSET($ED$3:$FI$3,MATCH($BD6,$EC$4:$EC$35,0),0))*((IF($BO4&lt;&gt;$BO6,$ED$3:$FI$3=$BD4,0))+(IF($BO7&lt;&gt;$BO6,$ED$3:$FI$3=$BD7,0))+(IF($BO5&lt;&gt;$BO6,$ED$3:$FI$3=$BD5,0))))</f>
        <v>0</v>
      </c>
      <c r="BU6" s="4" cm="1">
        <f t="array" aca="1" ref="BU6" ca="1">SUMPRODUCT((OFFSET($FL$3:$GQ$3,MATCH($BD6,$FK$4:$FK$35,0),0))*((IF($BO4&lt;&gt;$BO6,$FL$3:$GQ$3=$BD4,0))+(IF($BO7&lt;&gt;$BO6,$FL$3:$GQ$3=$BD7,0))+(IF($BO5&lt;&gt;$BO6,$FL$3:$GQ$3=$BD5,0))))</f>
        <v>0</v>
      </c>
      <c r="BV6" s="4">
        <f>BK6</f>
        <v>0</v>
      </c>
      <c r="BW6" s="4">
        <f>BI6</f>
        <v>0</v>
      </c>
      <c r="BX6" s="4">
        <f ca="1">(BP6/10)+(BQ6/100)+(BR6/1000)+(BT6/10000)+(BU6/100000)+(BV6/1000000)+(BW6/10000000)+(ROW(BS5)/100000000)</f>
        <v>4.9999999999999998E-8</v>
      </c>
      <c r="BY6" s="4">
        <f ca="1">+BO6-BX6</f>
        <v>0.99999994999999997</v>
      </c>
      <c r="BZ6" s="4"/>
      <c r="CA6" s="4" t="s">
        <v>6</v>
      </c>
      <c r="CB6" s="4" t="str">
        <f ca="1">AV20</f>
        <v>Serbia</v>
      </c>
      <c r="CC6" s="4">
        <f t="shared" ca="1" si="5"/>
        <v>0</v>
      </c>
      <c r="CD6" s="4">
        <f t="shared" ca="1" si="6"/>
        <v>0</v>
      </c>
      <c r="CE6" s="4">
        <f t="shared" ca="1" si="7"/>
        <v>0</v>
      </c>
      <c r="CF6" s="4">
        <f t="shared" ca="1" si="8"/>
        <v>0</v>
      </c>
      <c r="CG6" s="4">
        <f t="shared" ca="1" si="9"/>
        <v>5.9999999999999997E-7</v>
      </c>
      <c r="CH6" s="4">
        <f t="shared" ca="1" si="10"/>
        <v>4</v>
      </c>
      <c r="CI6" s="4"/>
      <c r="CJ6" s="4"/>
      <c r="CK6" s="4"/>
      <c r="CL6" s="4"/>
      <c r="CM6" s="4"/>
      <c r="CN6" s="4"/>
      <c r="CO6" s="4"/>
      <c r="CP6" s="4"/>
      <c r="CQ6" s="4"/>
      <c r="CR6" s="4"/>
      <c r="CU6" s="4" t="s">
        <v>125</v>
      </c>
      <c r="CV6" s="56">
        <f>SUMIFS(tblActuals354[Team 2 Points],tblActuals354[Team 2],$CU6,tblActuals354[Team 1],CV$3)+SUMIFS(tblActuals354[Team 1 Points],tblActuals354[Team 1],$CU6,tblActuals354[Team 2],CV$3)</f>
        <v>0</v>
      </c>
      <c r="CW6" s="56">
        <f>SUMIFS(tblActuals354[Team 2 Points],tblActuals354[Team 2],$CU6,tblActuals354[Team 1],CW$3)+SUMIFS(tblActuals354[Team 1 Points],tblActuals354[Team 1],$CU6,tblActuals354[Team 2],CW$3)</f>
        <v>0</v>
      </c>
      <c r="CX6" s="56">
        <f>SUMIFS(tblActuals354[Team 2 Points],tblActuals354[Team 2],$CU6,tblActuals354[Team 1],CX$3)+SUMIFS(tblActuals354[Team 1 Points],tblActuals354[Team 1],$CU6,tblActuals354[Team 2],CX$3)</f>
        <v>0</v>
      </c>
      <c r="CY6" s="56">
        <f>SUMIFS(tblActuals354[Team 2 Points],tblActuals354[Team 2],$CU6,tblActuals354[Team 1],CY$3)+SUMIFS(tblActuals354[Team 1 Points],tblActuals354[Team 1],$CU6,tblActuals354[Team 2],CY$3)</f>
        <v>0</v>
      </c>
      <c r="CZ6" s="56">
        <f>SUMIFS(tblActuals354[Team 2 Points],tblActuals354[Team 2],$CU6,tblActuals354[Team 1],CZ$3)+SUMIFS(tblActuals354[Team 1 Points],tblActuals354[Team 1],$CU6,tblActuals354[Team 2],CZ$3)</f>
        <v>0</v>
      </c>
      <c r="DA6" s="56">
        <f>SUMIFS(tblActuals354[Team 2 Points],tblActuals354[Team 2],$CU6,tblActuals354[Team 1],DA$3)+SUMIFS(tblActuals354[Team 1 Points],tblActuals354[Team 1],$CU6,tblActuals354[Team 2],DA$3)</f>
        <v>0</v>
      </c>
      <c r="DB6" s="56">
        <f>SUMIFS(tblActuals354[Team 2 Points],tblActuals354[Team 2],$CU6,tblActuals354[Team 1],DB$3)+SUMIFS(tblActuals354[Team 1 Points],tblActuals354[Team 1],$CU6,tblActuals354[Team 2],DB$3)</f>
        <v>0</v>
      </c>
      <c r="DC6" s="56">
        <f>SUMIFS(tblActuals354[Team 2 Points],tblActuals354[Team 2],$CU6,tblActuals354[Team 1],DC$3)+SUMIFS(tblActuals354[Team 1 Points],tblActuals354[Team 1],$CU6,tblActuals354[Team 2],DC$3)</f>
        <v>0</v>
      </c>
      <c r="DD6" s="56">
        <f>SUMIFS(tblActuals354[Team 2 Points],tblActuals354[Team 2],$CU6,tblActuals354[Team 1],DD$3)+SUMIFS(tblActuals354[Team 1 Points],tblActuals354[Team 1],$CU6,tblActuals354[Team 2],DD$3)</f>
        <v>0</v>
      </c>
      <c r="DE6" s="56">
        <f>SUMIFS(tblActuals354[Team 2 Points],tblActuals354[Team 2],$CU6,tblActuals354[Team 1],DE$3)+SUMIFS(tblActuals354[Team 1 Points],tblActuals354[Team 1],$CU6,tblActuals354[Team 2],DE$3)</f>
        <v>0</v>
      </c>
      <c r="DF6" s="56">
        <f>SUMIFS(tblActuals354[Team 2 Points],tblActuals354[Team 2],$CU6,tblActuals354[Team 1],DF$3)+SUMIFS(tblActuals354[Team 1 Points],tblActuals354[Team 1],$CU6,tblActuals354[Team 2],DF$3)</f>
        <v>0</v>
      </c>
      <c r="DG6" s="56">
        <f>SUMIFS(tblActuals354[Team 2 Points],tblActuals354[Team 2],$CU6,tblActuals354[Team 1],DG$3)+SUMIFS(tblActuals354[Team 1 Points],tblActuals354[Team 1],$CU6,tblActuals354[Team 2],DG$3)</f>
        <v>0</v>
      </c>
      <c r="DH6" s="56">
        <f>SUMIFS(tblActuals354[Team 2 Points],tblActuals354[Team 2],$CU6,tblActuals354[Team 1],DH$3)+SUMIFS(tblActuals354[Team 1 Points],tblActuals354[Team 1],$CU6,tblActuals354[Team 2],DH$3)</f>
        <v>0</v>
      </c>
      <c r="DI6" s="56">
        <f>SUMIFS(tblActuals354[Team 2 Points],tblActuals354[Team 2],$CU6,tblActuals354[Team 1],DI$3)+SUMIFS(tblActuals354[Team 1 Points],tblActuals354[Team 1],$CU6,tblActuals354[Team 2],DI$3)</f>
        <v>0</v>
      </c>
      <c r="DJ6" s="56">
        <f>SUMIFS(tblActuals354[Team 2 Points],tblActuals354[Team 2],$CU6,tblActuals354[Team 1],DJ$3)+SUMIFS(tblActuals354[Team 1 Points],tblActuals354[Team 1],$CU6,tblActuals354[Team 2],DJ$3)</f>
        <v>0</v>
      </c>
      <c r="DK6" s="56">
        <f>SUMIFS(tblActuals354[Team 2 Points],tblActuals354[Team 2],$CU6,tblActuals354[Team 1],DK$3)+SUMIFS(tblActuals354[Team 1 Points],tblActuals354[Team 1],$CU6,tblActuals354[Team 2],DK$3)</f>
        <v>0</v>
      </c>
      <c r="DL6" s="56">
        <f>SUMIFS(tblActuals354[Team 2 Points],tblActuals354[Team 2],$CU6,tblActuals354[Team 1],DL$3)+SUMIFS(tblActuals354[Team 1 Points],tblActuals354[Team 1],$CU6,tblActuals354[Team 2],DL$3)</f>
        <v>0</v>
      </c>
      <c r="DM6" s="56">
        <f>SUMIFS(tblActuals354[Team 2 Points],tblActuals354[Team 2],$CU6,tblActuals354[Team 1],DM$3)+SUMIFS(tblActuals354[Team 1 Points],tblActuals354[Team 1],$CU6,tblActuals354[Team 2],DM$3)</f>
        <v>0</v>
      </c>
      <c r="DN6" s="56">
        <f>SUMIFS(tblActuals354[Team 2 Points],tblActuals354[Team 2],$CU6,tblActuals354[Team 1],DN$3)+SUMIFS(tblActuals354[Team 1 Points],tblActuals354[Team 1],$CU6,tblActuals354[Team 2],DN$3)</f>
        <v>0</v>
      </c>
      <c r="DO6" s="56">
        <f>SUMIFS(tblActuals354[Team 2 Points],tblActuals354[Team 2],$CU6,tblActuals354[Team 1],DO$3)+SUMIFS(tblActuals354[Team 1 Points],tblActuals354[Team 1],$CU6,tblActuals354[Team 2],DO$3)</f>
        <v>0</v>
      </c>
      <c r="DP6" s="56">
        <f>SUMIFS(tblActuals354[Team 2 Points],tblActuals354[Team 2],$CU6,tblActuals354[Team 1],DP$3)+SUMIFS(tblActuals354[Team 1 Points],tblActuals354[Team 1],$CU6,tblActuals354[Team 2],DP$3)</f>
        <v>0</v>
      </c>
      <c r="DQ6" s="56">
        <f>SUMIFS(tblActuals354[Team 2 Points],tblActuals354[Team 2],$CU6,tblActuals354[Team 1],DQ$3)+SUMIFS(tblActuals354[Team 1 Points],tblActuals354[Team 1],$CU6,tblActuals354[Team 2],DQ$3)</f>
        <v>0</v>
      </c>
      <c r="DR6" s="56">
        <f>SUMIFS(tblActuals354[Team 2 Points],tblActuals354[Team 2],$CU6,tblActuals354[Team 1],DR$3)+SUMIFS(tblActuals354[Team 1 Points],tblActuals354[Team 1],$CU6,tblActuals354[Team 2],DR$3)</f>
        <v>0</v>
      </c>
      <c r="DS6" s="56">
        <f>SUMIFS(tblActuals354[Team 2 Points],tblActuals354[Team 2],$CU6,tblActuals354[Team 1],DS$3)+SUMIFS(tblActuals354[Team 1 Points],tblActuals354[Team 1],$CU6,tblActuals354[Team 2],DS$3)</f>
        <v>0</v>
      </c>
      <c r="DT6" s="57"/>
      <c r="DU6" s="57"/>
      <c r="DV6" s="57"/>
      <c r="DW6" s="57"/>
      <c r="DX6" s="57"/>
      <c r="DY6" s="57"/>
      <c r="DZ6" s="57"/>
      <c r="EA6" s="57"/>
      <c r="EB6" s="4"/>
      <c r="EC6" s="4" t="s">
        <v>125</v>
      </c>
      <c r="ED6" s="56">
        <f>SUMIFS(tblActuals354[Team 2 GD],tblActuals354[Team 2],$CU6,tblActuals354[Team 1],ED$3)+SUMIFS(tblActuals354[Team 1 GD],tblActuals354[Team 1],$CU6,tblActuals354[Team 2],ED$3)</f>
        <v>0</v>
      </c>
      <c r="EE6" s="56">
        <f>SUMIFS(tblActuals354[Team 2 GD],tblActuals354[Team 2],$CU6,tblActuals354[Team 1],EE$3)+SUMIFS(tblActuals354[Team 1 GD],tblActuals354[Team 1],$CU6,tblActuals354[Team 2],EE$3)</f>
        <v>0</v>
      </c>
      <c r="EF6" s="56">
        <f>SUMIFS(tblActuals354[Team 2 GD],tblActuals354[Team 2],$CU6,tblActuals354[Team 1],EF$3)+SUMIFS(tblActuals354[Team 1 GD],tblActuals354[Team 1],$CU6,tblActuals354[Team 2],EF$3)</f>
        <v>0</v>
      </c>
      <c r="EG6" s="56">
        <f>SUMIFS(tblActuals354[Team 2 GD],tblActuals354[Team 2],$CU6,tblActuals354[Team 1],EG$3)+SUMIFS(tblActuals354[Team 1 GD],tblActuals354[Team 1],$CU6,tblActuals354[Team 2],EG$3)</f>
        <v>0</v>
      </c>
      <c r="EH6" s="56">
        <f>SUMIFS(tblActuals354[Team 2 GD],tblActuals354[Team 2],$CU6,tblActuals354[Team 1],EH$3)+SUMIFS(tblActuals354[Team 1 GD],tblActuals354[Team 1],$CU6,tblActuals354[Team 2],EH$3)</f>
        <v>0</v>
      </c>
      <c r="EI6" s="56">
        <f>SUMIFS(tblActuals354[Team 2 GD],tblActuals354[Team 2],$CU6,tblActuals354[Team 1],EI$3)+SUMIFS(tblActuals354[Team 1 GD],tblActuals354[Team 1],$CU6,tblActuals354[Team 2],EI$3)</f>
        <v>0</v>
      </c>
      <c r="EJ6" s="56">
        <f>SUMIFS(tblActuals354[Team 2 GD],tblActuals354[Team 2],$CU6,tblActuals354[Team 1],EJ$3)+SUMIFS(tblActuals354[Team 1 GD],tblActuals354[Team 1],$CU6,tblActuals354[Team 2],EJ$3)</f>
        <v>0</v>
      </c>
      <c r="EK6" s="56">
        <f>SUMIFS(tblActuals354[Team 2 GD],tblActuals354[Team 2],$CU6,tblActuals354[Team 1],EK$3)+SUMIFS(tblActuals354[Team 1 GD],tblActuals354[Team 1],$CU6,tblActuals354[Team 2],EK$3)</f>
        <v>0</v>
      </c>
      <c r="EL6" s="56">
        <f>SUMIFS(tblActuals354[Team 2 GD],tblActuals354[Team 2],$CU6,tblActuals354[Team 1],EL$3)+SUMIFS(tblActuals354[Team 1 GD],tblActuals354[Team 1],$CU6,tblActuals354[Team 2],EL$3)</f>
        <v>0</v>
      </c>
      <c r="EM6" s="56">
        <f>SUMIFS(tblActuals354[Team 2 GD],tblActuals354[Team 2],$CU6,tblActuals354[Team 1],EM$3)+SUMIFS(tblActuals354[Team 1 GD],tblActuals354[Team 1],$CU6,tblActuals354[Team 2],EM$3)</f>
        <v>0</v>
      </c>
      <c r="EN6" s="56">
        <f>SUMIFS(tblActuals354[Team 2 GD],tblActuals354[Team 2],$CU6,tblActuals354[Team 1],EN$3)+SUMIFS(tblActuals354[Team 1 GD],tblActuals354[Team 1],$CU6,tblActuals354[Team 2],EN$3)</f>
        <v>0</v>
      </c>
      <c r="EO6" s="56">
        <f>SUMIFS(tblActuals354[Team 2 GD],tblActuals354[Team 2],$CU6,tblActuals354[Team 1],EO$3)+SUMIFS(tblActuals354[Team 1 GD],tblActuals354[Team 1],$CU6,tblActuals354[Team 2],EO$3)</f>
        <v>0</v>
      </c>
      <c r="EP6" s="56">
        <f>SUMIFS(tblActuals354[Team 2 GD],tblActuals354[Team 2],$CU6,tblActuals354[Team 1],EP$3)+SUMIFS(tblActuals354[Team 1 GD],tblActuals354[Team 1],$CU6,tblActuals354[Team 2],EP$3)</f>
        <v>0</v>
      </c>
      <c r="EQ6" s="56">
        <f>SUMIFS(tblActuals354[Team 2 GD],tblActuals354[Team 2],$CU6,tblActuals354[Team 1],EQ$3)+SUMIFS(tblActuals354[Team 1 GD],tblActuals354[Team 1],$CU6,tblActuals354[Team 2],EQ$3)</f>
        <v>0</v>
      </c>
      <c r="ER6" s="56">
        <f>SUMIFS(tblActuals354[Team 2 GD],tblActuals354[Team 2],$CU6,tblActuals354[Team 1],ER$3)+SUMIFS(tblActuals354[Team 1 GD],tblActuals354[Team 1],$CU6,tblActuals354[Team 2],ER$3)</f>
        <v>0</v>
      </c>
      <c r="ES6" s="56">
        <f>SUMIFS(tblActuals354[Team 2 GD],tblActuals354[Team 2],$CU6,tblActuals354[Team 1],ES$3)+SUMIFS(tblActuals354[Team 1 GD],tblActuals354[Team 1],$CU6,tblActuals354[Team 2],ES$3)</f>
        <v>0</v>
      </c>
      <c r="ET6" s="56">
        <f>SUMIFS(tblActuals354[Team 2 GD],tblActuals354[Team 2],$CU6,tblActuals354[Team 1],ET$3)+SUMIFS(tblActuals354[Team 1 GD],tblActuals354[Team 1],$CU6,tblActuals354[Team 2],ET$3)</f>
        <v>0</v>
      </c>
      <c r="EU6" s="56">
        <f>SUMIFS(tblActuals354[Team 2 GD],tblActuals354[Team 2],$CU6,tblActuals354[Team 1],EU$3)+SUMIFS(tblActuals354[Team 1 GD],tblActuals354[Team 1],$CU6,tblActuals354[Team 2],EU$3)</f>
        <v>0</v>
      </c>
      <c r="EV6" s="56">
        <f>SUMIFS(tblActuals354[Team 2 GD],tblActuals354[Team 2],$CU6,tblActuals354[Team 1],EV$3)+SUMIFS(tblActuals354[Team 1 GD],tblActuals354[Team 1],$CU6,tblActuals354[Team 2],EV$3)</f>
        <v>0</v>
      </c>
      <c r="EW6" s="56">
        <f>SUMIFS(tblActuals354[Team 2 GD],tblActuals354[Team 2],$CU6,tblActuals354[Team 1],EW$3)+SUMIFS(tblActuals354[Team 1 GD],tblActuals354[Team 1],$CU6,tblActuals354[Team 2],EW$3)</f>
        <v>0</v>
      </c>
      <c r="EX6" s="56">
        <f>SUMIFS(tblActuals354[Team 2 GD],tblActuals354[Team 2],$CU6,tblActuals354[Team 1],EX$3)+SUMIFS(tblActuals354[Team 1 GD],tblActuals354[Team 1],$CU6,tblActuals354[Team 2],EX$3)</f>
        <v>0</v>
      </c>
      <c r="EY6" s="56">
        <f>SUMIFS(tblActuals354[Team 2 GD],tblActuals354[Team 2],$CU6,tblActuals354[Team 1],EY$3)+SUMIFS(tblActuals354[Team 1 GD],tblActuals354[Team 1],$CU6,tblActuals354[Team 2],EY$3)</f>
        <v>0</v>
      </c>
      <c r="EZ6" s="56">
        <f>SUMIFS(tblActuals354[Team 2 GD],tblActuals354[Team 2],$CU6,tblActuals354[Team 1],EZ$3)+SUMIFS(tblActuals354[Team 1 GD],tblActuals354[Team 1],$CU6,tblActuals354[Team 2],EZ$3)</f>
        <v>0</v>
      </c>
      <c r="FA6" s="56">
        <f>SUMIFS(tblActuals354[Team 2 GD],tblActuals354[Team 2],$CU6,tblActuals354[Team 1],FA$3)+SUMIFS(tblActuals354[Team 1 GD],tblActuals354[Team 1],$CU6,tblActuals354[Team 2],FA$3)</f>
        <v>0</v>
      </c>
      <c r="FB6" s="57"/>
      <c r="FC6" s="57"/>
      <c r="FD6" s="57"/>
      <c r="FE6" s="57"/>
      <c r="FF6" s="57"/>
      <c r="FG6" s="57"/>
      <c r="FH6" s="57"/>
      <c r="FI6" s="57"/>
      <c r="FJ6" s="4"/>
      <c r="FK6" s="4" t="s">
        <v>125</v>
      </c>
      <c r="FL6" s="56">
        <f>SUMIFS(tblActuals354[Team 2 Goals],tblActuals354[Team 2],$CU6,tblActuals354[Team 1],FL$3)+SUMIFS(tblActuals354[Team 1 Goals],tblActuals354[Team 1],$CU6,tblActuals354[Team 2],FL$3)</f>
        <v>0</v>
      </c>
      <c r="FM6" s="56">
        <f>SUMIFS(tblActuals354[Team 2 Goals],tblActuals354[Team 2],$CU6,tblActuals354[Team 1],FM$3)+SUMIFS(tblActuals354[Team 1 Goals],tblActuals354[Team 1],$CU6,tblActuals354[Team 2],FM$3)</f>
        <v>0</v>
      </c>
      <c r="FN6" s="56">
        <f>SUMIFS(tblActuals354[Team 2 Goals],tblActuals354[Team 2],$CU6,tblActuals354[Team 1],FN$3)+SUMIFS(tblActuals354[Team 1 Goals],tblActuals354[Team 1],$CU6,tblActuals354[Team 2],FN$3)</f>
        <v>0</v>
      </c>
      <c r="FO6" s="56">
        <f>SUMIFS(tblActuals354[Team 2 Goals],tblActuals354[Team 2],$CU6,tblActuals354[Team 1],FO$3)+SUMIFS(tblActuals354[Team 1 Goals],tblActuals354[Team 1],$CU6,tblActuals354[Team 2],FO$3)</f>
        <v>0</v>
      </c>
      <c r="FP6" s="56">
        <f>SUMIFS(tblActuals354[Team 2 Goals],tblActuals354[Team 2],$CU6,tblActuals354[Team 1],FP$3)+SUMIFS(tblActuals354[Team 1 Goals],tblActuals354[Team 1],$CU6,tblActuals354[Team 2],FP$3)</f>
        <v>0</v>
      </c>
      <c r="FQ6" s="56">
        <f>SUMIFS(tblActuals354[Team 2 Goals],tblActuals354[Team 2],$CU6,tblActuals354[Team 1],FQ$3)+SUMIFS(tblActuals354[Team 1 Goals],tblActuals354[Team 1],$CU6,tblActuals354[Team 2],FQ$3)</f>
        <v>0</v>
      </c>
      <c r="FR6" s="56">
        <f>SUMIFS(tblActuals354[Team 2 Goals],tblActuals354[Team 2],$CU6,tblActuals354[Team 1],FR$3)+SUMIFS(tblActuals354[Team 1 Goals],tblActuals354[Team 1],$CU6,tblActuals354[Team 2],FR$3)</f>
        <v>0</v>
      </c>
      <c r="FS6" s="56">
        <f>SUMIFS(tblActuals354[Team 2 Goals],tblActuals354[Team 2],$CU6,tblActuals354[Team 1],FS$3)+SUMIFS(tblActuals354[Team 1 Goals],tblActuals354[Team 1],$CU6,tblActuals354[Team 2],FS$3)</f>
        <v>0</v>
      </c>
      <c r="FT6" s="56">
        <f>SUMIFS(tblActuals354[Team 2 Goals],tblActuals354[Team 2],$CU6,tblActuals354[Team 1],FT$3)+SUMIFS(tblActuals354[Team 1 Goals],tblActuals354[Team 1],$CU6,tblActuals354[Team 2],FT$3)</f>
        <v>0</v>
      </c>
      <c r="FU6" s="56">
        <f>SUMIFS(tblActuals354[Team 2 Goals],tblActuals354[Team 2],$CU6,tblActuals354[Team 1],FU$3)+SUMIFS(tblActuals354[Team 1 Goals],tblActuals354[Team 1],$CU6,tblActuals354[Team 2],FU$3)</f>
        <v>0</v>
      </c>
      <c r="FV6" s="56">
        <f>SUMIFS(tblActuals354[Team 2 Goals],tblActuals354[Team 2],$CU6,tblActuals354[Team 1],FV$3)+SUMIFS(tblActuals354[Team 1 Goals],tblActuals354[Team 1],$CU6,tblActuals354[Team 2],FV$3)</f>
        <v>0</v>
      </c>
      <c r="FW6" s="56">
        <f>SUMIFS(tblActuals354[Team 2 Goals],tblActuals354[Team 2],$CU6,tblActuals354[Team 1],FW$3)+SUMIFS(tblActuals354[Team 1 Goals],tblActuals354[Team 1],$CU6,tblActuals354[Team 2],FW$3)</f>
        <v>0</v>
      </c>
      <c r="FX6" s="56">
        <f>SUMIFS(tblActuals354[Team 2 Goals],tblActuals354[Team 2],$CU6,tblActuals354[Team 1],FX$3)+SUMIFS(tblActuals354[Team 1 Goals],tblActuals354[Team 1],$CU6,tblActuals354[Team 2],FX$3)</f>
        <v>0</v>
      </c>
      <c r="FY6" s="56">
        <f>SUMIFS(tblActuals354[Team 2 Goals],tblActuals354[Team 2],$CU6,tblActuals354[Team 1],FY$3)+SUMIFS(tblActuals354[Team 1 Goals],tblActuals354[Team 1],$CU6,tblActuals354[Team 2],FY$3)</f>
        <v>0</v>
      </c>
      <c r="FZ6" s="56">
        <f>SUMIFS(tblActuals354[Team 2 Goals],tblActuals354[Team 2],$CU6,tblActuals354[Team 1],FZ$3)+SUMIFS(tblActuals354[Team 1 Goals],tblActuals354[Team 1],$CU6,tblActuals354[Team 2],FZ$3)</f>
        <v>0</v>
      </c>
      <c r="GA6" s="56">
        <f>SUMIFS(tblActuals354[Team 2 Goals],tblActuals354[Team 2],$CU6,tblActuals354[Team 1],GA$3)+SUMIFS(tblActuals354[Team 1 Goals],tblActuals354[Team 1],$CU6,tblActuals354[Team 2],GA$3)</f>
        <v>0</v>
      </c>
      <c r="GB6" s="56">
        <f>SUMIFS(tblActuals354[Team 2 Goals],tblActuals354[Team 2],$CU6,tblActuals354[Team 1],GB$3)+SUMIFS(tblActuals354[Team 1 Goals],tblActuals354[Team 1],$CU6,tblActuals354[Team 2],GB$3)</f>
        <v>0</v>
      </c>
      <c r="GC6" s="56">
        <f>SUMIFS(tblActuals354[Team 2 Goals],tblActuals354[Team 2],$CU6,tblActuals354[Team 1],GC$3)+SUMIFS(tblActuals354[Team 1 Goals],tblActuals354[Team 1],$CU6,tblActuals354[Team 2],GC$3)</f>
        <v>0</v>
      </c>
      <c r="GD6" s="56">
        <f>SUMIFS(tblActuals354[Team 2 Goals],tblActuals354[Team 2],$CU6,tblActuals354[Team 1],GD$3)+SUMIFS(tblActuals354[Team 1 Goals],tblActuals354[Team 1],$CU6,tblActuals354[Team 2],GD$3)</f>
        <v>0</v>
      </c>
      <c r="GE6" s="56">
        <f>SUMIFS(tblActuals354[Team 2 Goals],tblActuals354[Team 2],$CU6,tblActuals354[Team 1],GE$3)+SUMIFS(tblActuals354[Team 1 Goals],tblActuals354[Team 1],$CU6,tblActuals354[Team 2],GE$3)</f>
        <v>0</v>
      </c>
      <c r="GF6" s="56">
        <f>SUMIFS(tblActuals354[Team 2 Goals],tblActuals354[Team 2],$CU6,tblActuals354[Team 1],GF$3)+SUMIFS(tblActuals354[Team 1 Goals],tblActuals354[Team 1],$CU6,tblActuals354[Team 2],GF$3)</f>
        <v>0</v>
      </c>
      <c r="GG6" s="56">
        <f>SUMIFS(tblActuals354[Team 2 Goals],tblActuals354[Team 2],$CU6,tblActuals354[Team 1],GG$3)+SUMIFS(tblActuals354[Team 1 Goals],tblActuals354[Team 1],$CU6,tblActuals354[Team 2],GG$3)</f>
        <v>0</v>
      </c>
      <c r="GH6" s="56">
        <f>SUMIFS(tblActuals354[Team 2 Goals],tblActuals354[Team 2],$CU6,tblActuals354[Team 1],GH$3)+SUMIFS(tblActuals354[Team 1 Goals],tblActuals354[Team 1],$CU6,tblActuals354[Team 2],GH$3)</f>
        <v>0</v>
      </c>
      <c r="GI6" s="56">
        <f>SUMIFS(tblActuals354[Team 2 Goals],tblActuals354[Team 2],$CU6,tblActuals354[Team 1],GI$3)+SUMIFS(tblActuals354[Team 1 Goals],tblActuals354[Team 1],$CU6,tblActuals354[Team 2],GI$3)</f>
        <v>0</v>
      </c>
      <c r="GJ6" s="57"/>
      <c r="GK6" s="57"/>
      <c r="GL6" s="37"/>
      <c r="GM6" s="37"/>
      <c r="GN6" s="37"/>
      <c r="GO6" s="37"/>
      <c r="GP6" s="37"/>
      <c r="GQ6" s="37"/>
      <c r="GR6" s="75"/>
      <c r="GS6" s="156"/>
      <c r="GT6" s="156"/>
      <c r="GU6" s="75"/>
      <c r="GV6" s="22"/>
      <c r="GW6" s="75"/>
      <c r="GX6" s="75"/>
      <c r="GY6" s="75"/>
      <c r="GZ6" s="75"/>
      <c r="HB6" s="4" t="str">
        <f t="shared" ref="HB6:HB19" si="12">_xlfn.CONCAT(HC6:HH6)</f>
        <v>ABCE</v>
      </c>
      <c r="HC6" s="44" t="s">
        <v>1</v>
      </c>
      <c r="HD6" s="44" t="s">
        <v>5</v>
      </c>
      <c r="HE6" s="44" t="s">
        <v>6</v>
      </c>
      <c r="HF6" s="45"/>
      <c r="HG6" s="44" t="s">
        <v>12</v>
      </c>
      <c r="HH6" s="45"/>
      <c r="HI6" s="178"/>
      <c r="HJ6" s="45" t="s">
        <v>149</v>
      </c>
      <c r="HK6" s="45" t="s">
        <v>153</v>
      </c>
      <c r="HL6" s="45" t="s">
        <v>151</v>
      </c>
      <c r="HM6" s="45" t="s">
        <v>152</v>
      </c>
    </row>
    <row r="7" spans="1:221" s="11" customFormat="1" ht="30" customHeight="1" x14ac:dyDescent="0.3">
      <c r="A7" s="6">
        <f>A6-2</f>
        <v>-6</v>
      </c>
      <c r="B7" s="122">
        <v>4</v>
      </c>
      <c r="C7" s="122" t="s">
        <v>5</v>
      </c>
      <c r="D7" s="123">
        <v>45458</v>
      </c>
      <c r="E7" s="122" t="s">
        <v>81</v>
      </c>
      <c r="F7" s="124">
        <v>0.875</v>
      </c>
      <c r="G7" s="125">
        <f t="shared" si="11"/>
        <v>45458.625</v>
      </c>
      <c r="H7" s="122" t="s">
        <v>92</v>
      </c>
      <c r="I7" s="126"/>
      <c r="J7" s="118"/>
      <c r="K7" s="118"/>
      <c r="L7" s="174">
        <f>IF(I7="",0,IFERROR(IF(SCORING.RULES!$C$8="No",1,((VLOOKUP($B7,ACTUALS!$B$4:$L$100,7,FALSE)=$H7)+(VLOOKUP($B7,ACTUALS!$B$4:$L$100,7,FALSE)=S7)))*(M7+N7+O7+P7+Q7),0))+$R7</f>
        <v>0</v>
      </c>
      <c r="M7" s="168">
        <f>IFERROR(IF($B7="","",IF(U7=INDEX(ACTUALS!$AA$4:$AA$100,MATCH($B7,ACTUALS!$B$4:$B$100,0),1),CorrectScore,0)),0)</f>
        <v>0</v>
      </c>
      <c r="N7" s="157" t="str">
        <f>IFERROR(IF(I7="","",IF(INDEX(ACTUALS!$AB$4:$AB$100,MATCH($B7,ACTUALS!$B$4:$B$100,0),1)=(AB7+AC7+AH7+AI7),CorrectNumberofGoals,0)),0)</f>
        <v/>
      </c>
      <c r="O7" s="157"/>
      <c r="P7" s="157">
        <f>IFERROR(IF(B7="","",IF(INDEX(ACTUALS!$L$4:$L$100,MATCH($B7,ACTUALS!$B$4:$B$100,0),1)=W7,CorrectResult,0)),0)</f>
        <v>3</v>
      </c>
      <c r="Q7" s="157"/>
      <c r="R7" s="157"/>
      <c r="S7" s="157" t="str">
        <f t="shared" si="0"/>
        <v/>
      </c>
      <c r="T7" s="157"/>
      <c r="U7" s="157" t="str">
        <f t="shared" si="1"/>
        <v/>
      </c>
      <c r="V7" s="157" t="str">
        <f t="shared" si="2"/>
        <v/>
      </c>
      <c r="W7" s="119" t="str">
        <f>IF(tblActuals354[[#This Row],[SCORE]]="","",IF(AB7=AC7,"Draw",IF(AB7&gt;AC7,X7,Y7)))</f>
        <v/>
      </c>
      <c r="X7" s="120" t="str">
        <f>IF(tblActuals354[[#This Row],[TEAMS]]="","",LEFT(H7,FIND(" -",H7,1)-1))</f>
        <v>Italy</v>
      </c>
      <c r="Y7" s="120" t="str">
        <f>IF(tblActuals354[[#This Row],[TEAMS]]="","",MID(H7,FIND("-",H7,1)+2,LEN(H7)-FIND("-",H7,1)+2))</f>
        <v>Albania</v>
      </c>
      <c r="Z7" s="120" t="str">
        <f>IF(tblActuals354[[#This Row],[Team 1 Goals]]&gt;tblActuals354[[#This Row],[Team 2 Goals]],tblActuals354[[#This Row],[Team 1]],IF(tblActuals354[[#This Row],[Team 2 Goals]]&gt;tblActuals354[[#This Row],[Team 1 Goals]],tblActuals354[[#This Row],[Team 2]],""))</f>
        <v/>
      </c>
      <c r="AA7" s="120" t="str">
        <f>IF(tblActuals354[[#This Row],[Winner]]=tblActuals354[[#This Row],[Team 1]],tblActuals354[[#This Row],[Team 2]],IF(tblActuals354[[#This Row],[Winner]]=tblActuals354[[#This Row],[Team 2]],tblActuals354[[#This Row],[Team 1]],""))</f>
        <v/>
      </c>
      <c r="AB7" s="120" t="str">
        <f>IF(tblActuals354[[#This Row],[SCORE]]="","",LEFT(I7,FIND(":",I7,1)-1)*1)</f>
        <v/>
      </c>
      <c r="AC7" s="120" t="str">
        <f>IF(tblActuals354[[#This Row],[SCORE]]="","",MID(I7,FIND(":",I7,1)+1,LEN(I7)-FIND(":",I7,1)+1)*1)</f>
        <v/>
      </c>
      <c r="AD7" s="120" t="str">
        <f>IF(OR(tblActuals354[[#This Row],[Team 1 Goals]]="",tblActuals354[[#This Row],[Team 2 Goals]]=""),"",tblActuals354[[#This Row],[Team 1 Goals]]-tblActuals354[[#This Row],[Team 2 Goals]])</f>
        <v/>
      </c>
      <c r="AE7" s="120" t="str">
        <f>IF(OR(tblActuals354[[#This Row],[Team 1 Goals]]="",tblActuals354[[#This Row],[Team 2 Goals]]=""),"",tblActuals354[[#This Row],[Team 2 Goals]]-tblActuals354[[#This Row],[Team 1 Goals]])</f>
        <v/>
      </c>
      <c r="AF7" s="120" t="str">
        <f>IF(tblActuals354[[#This Row],[SCORE]]="","",IF(tblActuals354[[#This Row],[WINNER / RESULT]]="Draw",1,IF(tblActuals354[[#This Row],[WINNER / RESULT]]=tblActuals354[[#This Row],[Team 1]],3,0)))</f>
        <v/>
      </c>
      <c r="AG7" s="120" t="str">
        <f>IF(tblActuals354[[#This Row],[SCORE]]="","",IF(tblActuals354[[#This Row],[WINNER / RESULT]]="Draw",1,IF(tblActuals354[[#This Row],[WINNER / RESULT]]=tblActuals354[[#This Row],[Team 2]],3,0)))</f>
        <v/>
      </c>
      <c r="AH7" s="121"/>
      <c r="AI7" s="121"/>
      <c r="AJ7" s="121"/>
      <c r="AK7" s="121"/>
      <c r="AL7" s="120" t="e">
        <f>tblActuals354[[#This Row],[Team 1 Goals]]+tblActuals354[[#This Row],[Team 1 ET Goals]]&amp;":"&amp;tblActuals354[[#This Row],[Team 2 Goals]]+tblActuals354[[#This Row],[Team 2 ET Goals]]</f>
        <v>#VALUE!</v>
      </c>
      <c r="AM7" s="120" t="e">
        <f>+tblActuals354[[#This Row],[Team 1 Goals]]+tblActuals354[[#This Row],[Team 2 Goals]]</f>
        <v>#VALUE!</v>
      </c>
      <c r="AN7" s="161">
        <f t="shared" si="3"/>
        <v>45458</v>
      </c>
      <c r="AP7" s="38" t="s">
        <v>81</v>
      </c>
      <c r="AT7" s="77" t="s">
        <v>1</v>
      </c>
      <c r="AU7" s="139">
        <v>2</v>
      </c>
      <c r="AV7" s="140" t="str">
        <f ca="1">IFERROR(INDEX(BD:BD,MATCH("2"&amp;AT7,BN:BN,0),1),"")</f>
        <v>Hungary</v>
      </c>
      <c r="AW7" s="140" t="str">
        <f ca="1">IF(AV7="","",VLOOKUP(AV7,BD:BI,2,FALSE)&amp;"-"&amp;VLOOKUP(AV7,BD:BI,3,FALSE)&amp;"-"&amp;VLOOKUP(AV7,BD:BI,4,FALSE))</f>
        <v>0-0-0</v>
      </c>
      <c r="AX7" s="140">
        <f ca="1">IF(AV7="","",VLOOKUP(AV7,BD:BK,8,FALSE))</f>
        <v>0</v>
      </c>
      <c r="AY7" s="141">
        <f ca="1">IF(AV7="","",VLOOKUP(AV7,BD:BN,5,FALSE))</f>
        <v>0</v>
      </c>
      <c r="AZ7" s="75"/>
      <c r="BA7" s="42"/>
      <c r="BB7" s="4"/>
      <c r="BC7" s="4" t="s">
        <v>1</v>
      </c>
      <c r="BD7" s="4" t="s">
        <v>31</v>
      </c>
      <c r="BE7" s="4">
        <f>COUNTIF(tblActuals354[Winner],BD7)</f>
        <v>0</v>
      </c>
      <c r="BF7" s="4">
        <f>COUNTIFS(tblActuals354[Team 2],BD7,tblActuals354[WINNER / RESULT],"Draw")+COUNTIFS(tblActuals354[Team 1],BD7,tblActuals354[WINNER / RESULT],"Draw")</f>
        <v>0</v>
      </c>
      <c r="BG7" s="4">
        <f>COUNTIF(tblActuals354[Loser],BD7)</f>
        <v>0</v>
      </c>
      <c r="BH7" s="4">
        <f>BF7+(3*BE7)</f>
        <v>0</v>
      </c>
      <c r="BI7" s="4">
        <f>SUMIFS(tblActuals354[Team 1 Goals],tblActuals354[Team 1],BD7)+SUMIFS(tblActuals354[Team 2 Goals],tblActuals354[Team 2],BD7)</f>
        <v>0</v>
      </c>
      <c r="BJ7" s="4">
        <f>SUMIFS(tblActuals354[Team 2 Goals],tblActuals354[Team 1],BD7)+SUMIFS(tblActuals354[Team 1 Goals],tblActuals354[Team 2],BD7)</f>
        <v>0</v>
      </c>
      <c r="BK7" s="4">
        <f>BI7-BJ7</f>
        <v>0</v>
      </c>
      <c r="BL7" s="4">
        <f ca="1">RANK(BY7,$BY$4:$BY$7,1)</f>
        <v>4</v>
      </c>
      <c r="BM7" s="4" t="str">
        <f t="shared" si="4"/>
        <v/>
      </c>
      <c r="BN7" s="4" t="str">
        <f ca="1">IF(BM7="",BL7&amp;BC7,BM7&amp;BC7)</f>
        <v>4A</v>
      </c>
      <c r="BO7" s="4">
        <f>RANK(BH7,$BH$4:$BH$7,0)</f>
        <v>1</v>
      </c>
      <c r="BP7" s="4" cm="1">
        <f t="array" aca="1" ref="BP7" ca="1">SUMPRODUCT((OFFSET($CV$3:$EA$3,MATCH($BD7,$CU$4:$CU$35,0),0))*((IF($BO5=$BO7,$CV$3:$EA$3=$BD5,0))+(IF($BO4=$BO7,$CV$3:$EA$3=$BD4,0))+(IF($BO6=$BO7,$CV$3:$EA$3=$BD6,0))))</f>
        <v>0</v>
      </c>
      <c r="BQ7" s="4" cm="1">
        <f t="array" aca="1" ref="BQ7" ca="1">SUMPRODUCT((OFFSET($ED$3:$FI$3,MATCH($BD7,$EC$4:$EC$35,0),0))*((IF($BO5=$BO7,$ED$3:$FI$3=$BD5,0))+(IF($BO4=$BO7,$ED$3:$FI$3=$BD4,0))+(IF($BO6=$BO7,$ED$3:$FI$3=$BD6,0))))</f>
        <v>0</v>
      </c>
      <c r="BR7" s="4" cm="1">
        <f t="array" aca="1" ref="BR7" ca="1">SUMPRODUCT((OFFSET($FL$3:$GQ$3,MATCH($BD7,$FK$4:$FK$35,0),0))*((IF($BO5=$BO7,$FL$3:$GQ$3=$BD5,0))+(IF($BO4=$BO7,$FL$3:$GQ$3=$BD4,0))+(IF($BO6=$BO7,$FL$3:$GQ$3=$BD6,0))))</f>
        <v>0</v>
      </c>
      <c r="BS7" s="4" cm="1">
        <f t="array" aca="1" ref="BS7" ca="1">SUMPRODUCT((OFFSET($CV$3:$EA$3,MATCH($BD7,$CU$4:$CU$35,0),0))*((IF($BO5&lt;&gt;$BO7,$CV$3:$EA$3=$BD5,0))+(IF($BO4&lt;&gt;$BO7,$CV$3:$EA$3=$BD4,0))+(IF($BO6&lt;&gt;$BO7,$CV$3:$EA$3=$BD6,0))))</f>
        <v>0</v>
      </c>
      <c r="BT7" s="4" cm="1">
        <f t="array" aca="1" ref="BT7" ca="1">SUMPRODUCT((OFFSET($ED$3:$FI$3,MATCH($BD7,$EC$4:$EC$35,0),0))*((IF($BO5&lt;&gt;$BO7,$ED$3:$FI$3=$BD5,0))+(IF($BO4&lt;&gt;$BO7,$ED$3:$FI$3=$BD4,0))+(IF($BO6&lt;&gt;$BO7,$ED$3:$FI$3=$BD6,0))))</f>
        <v>0</v>
      </c>
      <c r="BU7" s="4" cm="1">
        <f t="array" aca="1" ref="BU7" ca="1">SUMPRODUCT((OFFSET($FL$3:$GQ$3,MATCH($BD7,$FK$4:$FK$35,0),0))*((IF($BO5&lt;&gt;$BO7,$FL$3:$GQ$3=$BD5,0))+(IF($BO4&lt;&gt;$BO7,$FL$3:$GQ$3=$BD4,0))+(IF($BO6&lt;&gt;$BO7,$FL$3:$GQ$3=$BD6,0))))</f>
        <v>0</v>
      </c>
      <c r="BV7" s="4">
        <f>BK7</f>
        <v>0</v>
      </c>
      <c r="BW7" s="4">
        <f>BI7</f>
        <v>0</v>
      </c>
      <c r="BX7" s="4">
        <f ca="1">(BP7/10)+(BQ7/100)+(BR7/1000)+(BT7/10000)+(BU7/100000)+(BV7/1000000)+(BW7/10000000)+(ROW(BS4)/100000000)</f>
        <v>4.0000000000000001E-8</v>
      </c>
      <c r="BY7" s="4">
        <f ca="1">+BO7-BX7</f>
        <v>0.99999996000000002</v>
      </c>
      <c r="BZ7" s="4"/>
      <c r="CA7" s="4" t="s">
        <v>7</v>
      </c>
      <c r="CB7" s="4" t="str">
        <f ca="1">AV26</f>
        <v>Netherlands</v>
      </c>
      <c r="CC7" s="4">
        <f t="shared" ca="1" si="5"/>
        <v>0</v>
      </c>
      <c r="CD7" s="4">
        <f t="shared" ca="1" si="6"/>
        <v>0</v>
      </c>
      <c r="CE7" s="4">
        <f t="shared" ca="1" si="7"/>
        <v>0</v>
      </c>
      <c r="CF7" s="4">
        <f t="shared" ca="1" si="8"/>
        <v>0</v>
      </c>
      <c r="CG7" s="4">
        <f t="shared" ca="1" si="9"/>
        <v>6.9999999999999997E-7</v>
      </c>
      <c r="CH7" s="4">
        <f t="shared" ca="1" si="10"/>
        <v>3</v>
      </c>
      <c r="CI7" s="4"/>
      <c r="CJ7" s="4"/>
      <c r="CK7" s="4"/>
      <c r="CL7" s="4"/>
      <c r="CM7" s="4"/>
      <c r="CN7" s="4"/>
      <c r="CO7" s="4"/>
      <c r="CP7" s="4"/>
      <c r="CQ7" s="4"/>
      <c r="CR7" s="4"/>
      <c r="CU7" s="4" t="s">
        <v>31</v>
      </c>
      <c r="CV7" s="56">
        <f>SUMIFS(tblActuals354[Team 2 Points],tblActuals354[Team 2],$CU7,tblActuals354[Team 1],CV$3)+SUMIFS(tblActuals354[Team 1 Points],tblActuals354[Team 1],$CU7,tblActuals354[Team 2],CV$3)</f>
        <v>0</v>
      </c>
      <c r="CW7" s="56">
        <f>SUMIFS(tblActuals354[Team 2 Points],tblActuals354[Team 2],$CU7,tblActuals354[Team 1],CW$3)+SUMIFS(tblActuals354[Team 1 Points],tblActuals354[Team 1],$CU7,tblActuals354[Team 2],CW$3)</f>
        <v>0</v>
      </c>
      <c r="CX7" s="56">
        <f>SUMIFS(tblActuals354[Team 2 Points],tblActuals354[Team 2],$CU7,tblActuals354[Team 1],CX$3)+SUMIFS(tblActuals354[Team 1 Points],tblActuals354[Team 1],$CU7,tblActuals354[Team 2],CX$3)</f>
        <v>0</v>
      </c>
      <c r="CY7" s="56">
        <f>SUMIFS(tblActuals354[Team 2 Points],tblActuals354[Team 2],$CU7,tblActuals354[Team 1],CY$3)+SUMIFS(tblActuals354[Team 1 Points],tblActuals354[Team 1],$CU7,tblActuals354[Team 2],CY$3)</f>
        <v>0</v>
      </c>
      <c r="CZ7" s="56">
        <f>SUMIFS(tblActuals354[Team 2 Points],tblActuals354[Team 2],$CU7,tblActuals354[Team 1],CZ$3)+SUMIFS(tblActuals354[Team 1 Points],tblActuals354[Team 1],$CU7,tblActuals354[Team 2],CZ$3)</f>
        <v>0</v>
      </c>
      <c r="DA7" s="56">
        <f>SUMIFS(tblActuals354[Team 2 Points],tblActuals354[Team 2],$CU7,tblActuals354[Team 1],DA$3)+SUMIFS(tblActuals354[Team 1 Points],tblActuals354[Team 1],$CU7,tblActuals354[Team 2],DA$3)</f>
        <v>0</v>
      </c>
      <c r="DB7" s="56">
        <f>SUMIFS(tblActuals354[Team 2 Points],tblActuals354[Team 2],$CU7,tblActuals354[Team 1],DB$3)+SUMIFS(tblActuals354[Team 1 Points],tblActuals354[Team 1],$CU7,tblActuals354[Team 2],DB$3)</f>
        <v>0</v>
      </c>
      <c r="DC7" s="56">
        <f>SUMIFS(tblActuals354[Team 2 Points],tblActuals354[Team 2],$CU7,tblActuals354[Team 1],DC$3)+SUMIFS(tblActuals354[Team 1 Points],tblActuals354[Team 1],$CU7,tblActuals354[Team 2],DC$3)</f>
        <v>0</v>
      </c>
      <c r="DD7" s="56">
        <f>SUMIFS(tblActuals354[Team 2 Points],tblActuals354[Team 2],$CU7,tblActuals354[Team 1],DD$3)+SUMIFS(tblActuals354[Team 1 Points],tblActuals354[Team 1],$CU7,tblActuals354[Team 2],DD$3)</f>
        <v>0</v>
      </c>
      <c r="DE7" s="56">
        <f>SUMIFS(tblActuals354[Team 2 Points],tblActuals354[Team 2],$CU7,tblActuals354[Team 1],DE$3)+SUMIFS(tblActuals354[Team 1 Points],tblActuals354[Team 1],$CU7,tblActuals354[Team 2],DE$3)</f>
        <v>0</v>
      </c>
      <c r="DF7" s="56">
        <f>SUMIFS(tblActuals354[Team 2 Points],tblActuals354[Team 2],$CU7,tblActuals354[Team 1],DF$3)+SUMIFS(tblActuals354[Team 1 Points],tblActuals354[Team 1],$CU7,tblActuals354[Team 2],DF$3)</f>
        <v>0</v>
      </c>
      <c r="DG7" s="56">
        <f>SUMIFS(tblActuals354[Team 2 Points],tblActuals354[Team 2],$CU7,tblActuals354[Team 1],DG$3)+SUMIFS(tblActuals354[Team 1 Points],tblActuals354[Team 1],$CU7,tblActuals354[Team 2],DG$3)</f>
        <v>0</v>
      </c>
      <c r="DH7" s="56">
        <f>SUMIFS(tblActuals354[Team 2 Points],tblActuals354[Team 2],$CU7,tblActuals354[Team 1],DH$3)+SUMIFS(tblActuals354[Team 1 Points],tblActuals354[Team 1],$CU7,tblActuals354[Team 2],DH$3)</f>
        <v>0</v>
      </c>
      <c r="DI7" s="56">
        <f>SUMIFS(tblActuals354[Team 2 Points],tblActuals354[Team 2],$CU7,tblActuals354[Team 1],DI$3)+SUMIFS(tblActuals354[Team 1 Points],tblActuals354[Team 1],$CU7,tblActuals354[Team 2],DI$3)</f>
        <v>0</v>
      </c>
      <c r="DJ7" s="56">
        <f>SUMIFS(tblActuals354[Team 2 Points],tblActuals354[Team 2],$CU7,tblActuals354[Team 1],DJ$3)+SUMIFS(tblActuals354[Team 1 Points],tblActuals354[Team 1],$CU7,tblActuals354[Team 2],DJ$3)</f>
        <v>0</v>
      </c>
      <c r="DK7" s="56">
        <f>SUMIFS(tblActuals354[Team 2 Points],tblActuals354[Team 2],$CU7,tblActuals354[Team 1],DK$3)+SUMIFS(tblActuals354[Team 1 Points],tblActuals354[Team 1],$CU7,tblActuals354[Team 2],DK$3)</f>
        <v>0</v>
      </c>
      <c r="DL7" s="56">
        <f>SUMIFS(tblActuals354[Team 2 Points],tblActuals354[Team 2],$CU7,tblActuals354[Team 1],DL$3)+SUMIFS(tblActuals354[Team 1 Points],tblActuals354[Team 1],$CU7,tblActuals354[Team 2],DL$3)</f>
        <v>0</v>
      </c>
      <c r="DM7" s="56">
        <f>SUMIFS(tblActuals354[Team 2 Points],tblActuals354[Team 2],$CU7,tblActuals354[Team 1],DM$3)+SUMIFS(tblActuals354[Team 1 Points],tblActuals354[Team 1],$CU7,tblActuals354[Team 2],DM$3)</f>
        <v>0</v>
      </c>
      <c r="DN7" s="56">
        <f>SUMIFS(tblActuals354[Team 2 Points],tblActuals354[Team 2],$CU7,tblActuals354[Team 1],DN$3)+SUMIFS(tblActuals354[Team 1 Points],tblActuals354[Team 1],$CU7,tblActuals354[Team 2],DN$3)</f>
        <v>0</v>
      </c>
      <c r="DO7" s="56">
        <f>SUMIFS(tblActuals354[Team 2 Points],tblActuals354[Team 2],$CU7,tblActuals354[Team 1],DO$3)+SUMIFS(tblActuals354[Team 1 Points],tblActuals354[Team 1],$CU7,tblActuals354[Team 2],DO$3)</f>
        <v>0</v>
      </c>
      <c r="DP7" s="56">
        <f>SUMIFS(tblActuals354[Team 2 Points],tblActuals354[Team 2],$CU7,tblActuals354[Team 1],DP$3)+SUMIFS(tblActuals354[Team 1 Points],tblActuals354[Team 1],$CU7,tblActuals354[Team 2],DP$3)</f>
        <v>0</v>
      </c>
      <c r="DQ7" s="56">
        <f>SUMIFS(tblActuals354[Team 2 Points],tblActuals354[Team 2],$CU7,tblActuals354[Team 1],DQ$3)+SUMIFS(tblActuals354[Team 1 Points],tblActuals354[Team 1],$CU7,tblActuals354[Team 2],DQ$3)</f>
        <v>0</v>
      </c>
      <c r="DR7" s="56">
        <f>SUMIFS(tblActuals354[Team 2 Points],tblActuals354[Team 2],$CU7,tblActuals354[Team 1],DR$3)+SUMIFS(tblActuals354[Team 1 Points],tblActuals354[Team 1],$CU7,tblActuals354[Team 2],DR$3)</f>
        <v>0</v>
      </c>
      <c r="DS7" s="56">
        <f>SUMIFS(tblActuals354[Team 2 Points],tblActuals354[Team 2],$CU7,tblActuals354[Team 1],DS$3)+SUMIFS(tblActuals354[Team 1 Points],tblActuals354[Team 1],$CU7,tblActuals354[Team 2],DS$3)</f>
        <v>0</v>
      </c>
      <c r="DT7" s="57"/>
      <c r="DU7" s="57"/>
      <c r="DV7" s="57"/>
      <c r="DW7" s="57"/>
      <c r="DX7" s="57"/>
      <c r="DY7" s="57"/>
      <c r="DZ7" s="57"/>
      <c r="EA7" s="57"/>
      <c r="EB7" s="4"/>
      <c r="EC7" s="4" t="s">
        <v>31</v>
      </c>
      <c r="ED7" s="56">
        <f>SUMIFS(tblActuals354[Team 2 GD],tblActuals354[Team 2],$CU7,tblActuals354[Team 1],ED$3)+SUMIFS(tblActuals354[Team 1 GD],tblActuals354[Team 1],$CU7,tblActuals354[Team 2],ED$3)</f>
        <v>0</v>
      </c>
      <c r="EE7" s="56">
        <f>SUMIFS(tblActuals354[Team 2 GD],tblActuals354[Team 2],$CU7,tblActuals354[Team 1],EE$3)+SUMIFS(tblActuals354[Team 1 GD],tblActuals354[Team 1],$CU7,tblActuals354[Team 2],EE$3)</f>
        <v>0</v>
      </c>
      <c r="EF7" s="56">
        <f>SUMIFS(tblActuals354[Team 2 GD],tblActuals354[Team 2],$CU7,tblActuals354[Team 1],EF$3)+SUMIFS(tblActuals354[Team 1 GD],tblActuals354[Team 1],$CU7,tblActuals354[Team 2],EF$3)</f>
        <v>0</v>
      </c>
      <c r="EG7" s="56">
        <f>SUMIFS(tblActuals354[Team 2 GD],tblActuals354[Team 2],$CU7,tblActuals354[Team 1],EG$3)+SUMIFS(tblActuals354[Team 1 GD],tblActuals354[Team 1],$CU7,tblActuals354[Team 2],EG$3)</f>
        <v>0</v>
      </c>
      <c r="EH7" s="56">
        <f>SUMIFS(tblActuals354[Team 2 GD],tblActuals354[Team 2],$CU7,tblActuals354[Team 1],EH$3)+SUMIFS(tblActuals354[Team 1 GD],tblActuals354[Team 1],$CU7,tblActuals354[Team 2],EH$3)</f>
        <v>0</v>
      </c>
      <c r="EI7" s="56">
        <f>SUMIFS(tblActuals354[Team 2 GD],tblActuals354[Team 2],$CU7,tblActuals354[Team 1],EI$3)+SUMIFS(tblActuals354[Team 1 GD],tblActuals354[Team 1],$CU7,tblActuals354[Team 2],EI$3)</f>
        <v>0</v>
      </c>
      <c r="EJ7" s="56">
        <f>SUMIFS(tblActuals354[Team 2 GD],tblActuals354[Team 2],$CU7,tblActuals354[Team 1],EJ$3)+SUMIFS(tblActuals354[Team 1 GD],tblActuals354[Team 1],$CU7,tblActuals354[Team 2],EJ$3)</f>
        <v>0</v>
      </c>
      <c r="EK7" s="56">
        <f>SUMIFS(tblActuals354[Team 2 GD],tblActuals354[Team 2],$CU7,tblActuals354[Team 1],EK$3)+SUMIFS(tblActuals354[Team 1 GD],tblActuals354[Team 1],$CU7,tblActuals354[Team 2],EK$3)</f>
        <v>0</v>
      </c>
      <c r="EL7" s="56">
        <f>SUMIFS(tblActuals354[Team 2 GD],tblActuals354[Team 2],$CU7,tblActuals354[Team 1],EL$3)+SUMIFS(tblActuals354[Team 1 GD],tblActuals354[Team 1],$CU7,tblActuals354[Team 2],EL$3)</f>
        <v>0</v>
      </c>
      <c r="EM7" s="56">
        <f>SUMIFS(tblActuals354[Team 2 GD],tblActuals354[Team 2],$CU7,tblActuals354[Team 1],EM$3)+SUMIFS(tblActuals354[Team 1 GD],tblActuals354[Team 1],$CU7,tblActuals354[Team 2],EM$3)</f>
        <v>0</v>
      </c>
      <c r="EN7" s="56">
        <f>SUMIFS(tblActuals354[Team 2 GD],tblActuals354[Team 2],$CU7,tblActuals354[Team 1],EN$3)+SUMIFS(tblActuals354[Team 1 GD],tblActuals354[Team 1],$CU7,tblActuals354[Team 2],EN$3)</f>
        <v>0</v>
      </c>
      <c r="EO7" s="56">
        <f>SUMIFS(tblActuals354[Team 2 GD],tblActuals354[Team 2],$CU7,tblActuals354[Team 1],EO$3)+SUMIFS(tblActuals354[Team 1 GD],tblActuals354[Team 1],$CU7,tblActuals354[Team 2],EO$3)</f>
        <v>0</v>
      </c>
      <c r="EP7" s="56">
        <f>SUMIFS(tblActuals354[Team 2 GD],tblActuals354[Team 2],$CU7,tblActuals354[Team 1],EP$3)+SUMIFS(tblActuals354[Team 1 GD],tblActuals354[Team 1],$CU7,tblActuals354[Team 2],EP$3)</f>
        <v>0</v>
      </c>
      <c r="EQ7" s="56">
        <f>SUMIFS(tblActuals354[Team 2 GD],tblActuals354[Team 2],$CU7,tblActuals354[Team 1],EQ$3)+SUMIFS(tblActuals354[Team 1 GD],tblActuals354[Team 1],$CU7,tblActuals354[Team 2],EQ$3)</f>
        <v>0</v>
      </c>
      <c r="ER7" s="56">
        <f>SUMIFS(tblActuals354[Team 2 GD],tblActuals354[Team 2],$CU7,tblActuals354[Team 1],ER$3)+SUMIFS(tblActuals354[Team 1 GD],tblActuals354[Team 1],$CU7,tblActuals354[Team 2],ER$3)</f>
        <v>0</v>
      </c>
      <c r="ES7" s="56">
        <f>SUMIFS(tblActuals354[Team 2 GD],tblActuals354[Team 2],$CU7,tblActuals354[Team 1],ES$3)+SUMIFS(tblActuals354[Team 1 GD],tblActuals354[Team 1],$CU7,tblActuals354[Team 2],ES$3)</f>
        <v>0</v>
      </c>
      <c r="ET7" s="56">
        <f>SUMIFS(tblActuals354[Team 2 GD],tblActuals354[Team 2],$CU7,tblActuals354[Team 1],ET$3)+SUMIFS(tblActuals354[Team 1 GD],tblActuals354[Team 1],$CU7,tblActuals354[Team 2],ET$3)</f>
        <v>0</v>
      </c>
      <c r="EU7" s="56">
        <f>SUMIFS(tblActuals354[Team 2 GD],tblActuals354[Team 2],$CU7,tblActuals354[Team 1],EU$3)+SUMIFS(tblActuals354[Team 1 GD],tblActuals354[Team 1],$CU7,tblActuals354[Team 2],EU$3)</f>
        <v>0</v>
      </c>
      <c r="EV7" s="56">
        <f>SUMIFS(tblActuals354[Team 2 GD],tblActuals354[Team 2],$CU7,tblActuals354[Team 1],EV$3)+SUMIFS(tblActuals354[Team 1 GD],tblActuals354[Team 1],$CU7,tblActuals354[Team 2],EV$3)</f>
        <v>0</v>
      </c>
      <c r="EW7" s="56">
        <f>SUMIFS(tblActuals354[Team 2 GD],tblActuals354[Team 2],$CU7,tblActuals354[Team 1],EW$3)+SUMIFS(tblActuals354[Team 1 GD],tblActuals354[Team 1],$CU7,tblActuals354[Team 2],EW$3)</f>
        <v>0</v>
      </c>
      <c r="EX7" s="56">
        <f>SUMIFS(tblActuals354[Team 2 GD],tblActuals354[Team 2],$CU7,tblActuals354[Team 1],EX$3)+SUMIFS(tblActuals354[Team 1 GD],tblActuals354[Team 1],$CU7,tblActuals354[Team 2],EX$3)</f>
        <v>0</v>
      </c>
      <c r="EY7" s="56">
        <f>SUMIFS(tblActuals354[Team 2 GD],tblActuals354[Team 2],$CU7,tblActuals354[Team 1],EY$3)+SUMIFS(tblActuals354[Team 1 GD],tblActuals354[Team 1],$CU7,tblActuals354[Team 2],EY$3)</f>
        <v>0</v>
      </c>
      <c r="EZ7" s="56">
        <f>SUMIFS(tblActuals354[Team 2 GD],tblActuals354[Team 2],$CU7,tblActuals354[Team 1],EZ$3)+SUMIFS(tblActuals354[Team 1 GD],tblActuals354[Team 1],$CU7,tblActuals354[Team 2],EZ$3)</f>
        <v>0</v>
      </c>
      <c r="FA7" s="56">
        <f>SUMIFS(tblActuals354[Team 2 GD],tblActuals354[Team 2],$CU7,tblActuals354[Team 1],FA$3)+SUMIFS(tblActuals354[Team 1 GD],tblActuals354[Team 1],$CU7,tblActuals354[Team 2],FA$3)</f>
        <v>0</v>
      </c>
      <c r="FB7" s="57"/>
      <c r="FC7" s="57"/>
      <c r="FD7" s="57"/>
      <c r="FE7" s="57"/>
      <c r="FF7" s="57"/>
      <c r="FG7" s="57"/>
      <c r="FH7" s="57"/>
      <c r="FI7" s="57"/>
      <c r="FJ7" s="4"/>
      <c r="FK7" s="4" t="s">
        <v>31</v>
      </c>
      <c r="FL7" s="56">
        <f>SUMIFS(tblActuals354[Team 2 Goals],tblActuals354[Team 2],$CU7,tblActuals354[Team 1],FL$3)+SUMIFS(tblActuals354[Team 1 Goals],tblActuals354[Team 1],$CU7,tblActuals354[Team 2],FL$3)</f>
        <v>0</v>
      </c>
      <c r="FM7" s="56">
        <f>SUMIFS(tblActuals354[Team 2 Goals],tblActuals354[Team 2],$CU7,tblActuals354[Team 1],FM$3)+SUMIFS(tblActuals354[Team 1 Goals],tblActuals354[Team 1],$CU7,tblActuals354[Team 2],FM$3)</f>
        <v>0</v>
      </c>
      <c r="FN7" s="56">
        <f>SUMIFS(tblActuals354[Team 2 Goals],tblActuals354[Team 2],$CU7,tblActuals354[Team 1],FN$3)+SUMIFS(tblActuals354[Team 1 Goals],tblActuals354[Team 1],$CU7,tblActuals354[Team 2],FN$3)</f>
        <v>0</v>
      </c>
      <c r="FO7" s="56">
        <f>SUMIFS(tblActuals354[Team 2 Goals],tblActuals354[Team 2],$CU7,tblActuals354[Team 1],FO$3)+SUMIFS(tblActuals354[Team 1 Goals],tblActuals354[Team 1],$CU7,tblActuals354[Team 2],FO$3)</f>
        <v>0</v>
      </c>
      <c r="FP7" s="56">
        <f>SUMIFS(tblActuals354[Team 2 Goals],tblActuals354[Team 2],$CU7,tblActuals354[Team 1],FP$3)+SUMIFS(tblActuals354[Team 1 Goals],tblActuals354[Team 1],$CU7,tblActuals354[Team 2],FP$3)</f>
        <v>0</v>
      </c>
      <c r="FQ7" s="56">
        <f>SUMIFS(tblActuals354[Team 2 Goals],tblActuals354[Team 2],$CU7,tblActuals354[Team 1],FQ$3)+SUMIFS(tblActuals354[Team 1 Goals],tblActuals354[Team 1],$CU7,tblActuals354[Team 2],FQ$3)</f>
        <v>0</v>
      </c>
      <c r="FR7" s="56">
        <f>SUMIFS(tblActuals354[Team 2 Goals],tblActuals354[Team 2],$CU7,tblActuals354[Team 1],FR$3)+SUMIFS(tblActuals354[Team 1 Goals],tblActuals354[Team 1],$CU7,tblActuals354[Team 2],FR$3)</f>
        <v>0</v>
      </c>
      <c r="FS7" s="56">
        <f>SUMIFS(tblActuals354[Team 2 Goals],tblActuals354[Team 2],$CU7,tblActuals354[Team 1],FS$3)+SUMIFS(tblActuals354[Team 1 Goals],tblActuals354[Team 1],$CU7,tblActuals354[Team 2],FS$3)</f>
        <v>0</v>
      </c>
      <c r="FT7" s="56">
        <f>SUMIFS(tblActuals354[Team 2 Goals],tblActuals354[Team 2],$CU7,tblActuals354[Team 1],FT$3)+SUMIFS(tblActuals354[Team 1 Goals],tblActuals354[Team 1],$CU7,tblActuals354[Team 2],FT$3)</f>
        <v>0</v>
      </c>
      <c r="FU7" s="56">
        <f>SUMIFS(tblActuals354[Team 2 Goals],tblActuals354[Team 2],$CU7,tblActuals354[Team 1],FU$3)+SUMIFS(tblActuals354[Team 1 Goals],tblActuals354[Team 1],$CU7,tblActuals354[Team 2],FU$3)</f>
        <v>0</v>
      </c>
      <c r="FV7" s="56">
        <f>SUMIFS(tblActuals354[Team 2 Goals],tblActuals354[Team 2],$CU7,tblActuals354[Team 1],FV$3)+SUMIFS(tblActuals354[Team 1 Goals],tblActuals354[Team 1],$CU7,tblActuals354[Team 2],FV$3)</f>
        <v>0</v>
      </c>
      <c r="FW7" s="56">
        <f>SUMIFS(tblActuals354[Team 2 Goals],tblActuals354[Team 2],$CU7,tblActuals354[Team 1],FW$3)+SUMIFS(tblActuals354[Team 1 Goals],tblActuals354[Team 1],$CU7,tblActuals354[Team 2],FW$3)</f>
        <v>0</v>
      </c>
      <c r="FX7" s="56">
        <f>SUMIFS(tblActuals354[Team 2 Goals],tblActuals354[Team 2],$CU7,tblActuals354[Team 1],FX$3)+SUMIFS(tblActuals354[Team 1 Goals],tblActuals354[Team 1],$CU7,tblActuals354[Team 2],FX$3)</f>
        <v>0</v>
      </c>
      <c r="FY7" s="56">
        <f>SUMIFS(tblActuals354[Team 2 Goals],tblActuals354[Team 2],$CU7,tblActuals354[Team 1],FY$3)+SUMIFS(tblActuals354[Team 1 Goals],tblActuals354[Team 1],$CU7,tblActuals354[Team 2],FY$3)</f>
        <v>0</v>
      </c>
      <c r="FZ7" s="56">
        <f>SUMIFS(tblActuals354[Team 2 Goals],tblActuals354[Team 2],$CU7,tblActuals354[Team 1],FZ$3)+SUMIFS(tblActuals354[Team 1 Goals],tblActuals354[Team 1],$CU7,tblActuals354[Team 2],FZ$3)</f>
        <v>0</v>
      </c>
      <c r="GA7" s="56">
        <f>SUMIFS(tblActuals354[Team 2 Goals],tblActuals354[Team 2],$CU7,tblActuals354[Team 1],GA$3)+SUMIFS(tblActuals354[Team 1 Goals],tblActuals354[Team 1],$CU7,tblActuals354[Team 2],GA$3)</f>
        <v>0</v>
      </c>
      <c r="GB7" s="56">
        <f>SUMIFS(tblActuals354[Team 2 Goals],tblActuals354[Team 2],$CU7,tblActuals354[Team 1],GB$3)+SUMIFS(tblActuals354[Team 1 Goals],tblActuals354[Team 1],$CU7,tblActuals354[Team 2],GB$3)</f>
        <v>0</v>
      </c>
      <c r="GC7" s="56">
        <f>SUMIFS(tblActuals354[Team 2 Goals],tblActuals354[Team 2],$CU7,tblActuals354[Team 1],GC$3)+SUMIFS(tblActuals354[Team 1 Goals],tblActuals354[Team 1],$CU7,tblActuals354[Team 2],GC$3)</f>
        <v>0</v>
      </c>
      <c r="GD7" s="56">
        <f>SUMIFS(tblActuals354[Team 2 Goals],tblActuals354[Team 2],$CU7,tblActuals354[Team 1],GD$3)+SUMIFS(tblActuals354[Team 1 Goals],tblActuals354[Team 1],$CU7,tblActuals354[Team 2],GD$3)</f>
        <v>0</v>
      </c>
      <c r="GE7" s="56">
        <f>SUMIFS(tblActuals354[Team 2 Goals],tblActuals354[Team 2],$CU7,tblActuals354[Team 1],GE$3)+SUMIFS(tblActuals354[Team 1 Goals],tblActuals354[Team 1],$CU7,tblActuals354[Team 2],GE$3)</f>
        <v>0</v>
      </c>
      <c r="GF7" s="56">
        <f>SUMIFS(tblActuals354[Team 2 Goals],tblActuals354[Team 2],$CU7,tblActuals354[Team 1],GF$3)+SUMIFS(tblActuals354[Team 1 Goals],tblActuals354[Team 1],$CU7,tblActuals354[Team 2],GF$3)</f>
        <v>0</v>
      </c>
      <c r="GG7" s="56">
        <f>SUMIFS(tblActuals354[Team 2 Goals],tblActuals354[Team 2],$CU7,tblActuals354[Team 1],GG$3)+SUMIFS(tblActuals354[Team 1 Goals],tblActuals354[Team 1],$CU7,tblActuals354[Team 2],GG$3)</f>
        <v>0</v>
      </c>
      <c r="GH7" s="56">
        <f>SUMIFS(tblActuals354[Team 2 Goals],tblActuals354[Team 2],$CU7,tblActuals354[Team 1],GH$3)+SUMIFS(tblActuals354[Team 1 Goals],tblActuals354[Team 1],$CU7,tblActuals354[Team 2],GH$3)</f>
        <v>0</v>
      </c>
      <c r="GI7" s="56">
        <f>SUMIFS(tblActuals354[Team 2 Goals],tblActuals354[Team 2],$CU7,tblActuals354[Team 1],GI$3)+SUMIFS(tblActuals354[Team 1 Goals],tblActuals354[Team 1],$CU7,tblActuals354[Team 2],GI$3)</f>
        <v>0</v>
      </c>
      <c r="GJ7" s="57"/>
      <c r="GK7" s="57"/>
      <c r="GL7" s="37"/>
      <c r="GM7" s="37"/>
      <c r="GN7" s="37"/>
      <c r="GO7" s="37"/>
      <c r="GP7" s="37"/>
      <c r="GQ7" s="37"/>
      <c r="GR7" s="75"/>
      <c r="GS7" s="156"/>
      <c r="GT7" s="156"/>
      <c r="GU7" s="75"/>
      <c r="GV7" s="22"/>
      <c r="GW7" s="75"/>
      <c r="GX7" s="75"/>
      <c r="GY7" s="75"/>
      <c r="GZ7" s="75"/>
      <c r="HB7" s="4" t="str">
        <f t="shared" si="12"/>
        <v>ABCF</v>
      </c>
      <c r="HC7" s="44" t="s">
        <v>1</v>
      </c>
      <c r="HD7" s="44" t="s">
        <v>5</v>
      </c>
      <c r="HE7" s="44" t="s">
        <v>6</v>
      </c>
      <c r="HF7" s="45"/>
      <c r="HG7" s="45"/>
      <c r="HH7" s="44" t="s">
        <v>45</v>
      </c>
      <c r="HI7" s="178"/>
      <c r="HJ7" s="45" t="s">
        <v>149</v>
      </c>
      <c r="HK7" s="45" t="s">
        <v>154</v>
      </c>
      <c r="HL7" s="45" t="s">
        <v>151</v>
      </c>
      <c r="HM7" s="45" t="s">
        <v>152</v>
      </c>
    </row>
    <row r="8" spans="1:221" s="11" customFormat="1" ht="30" customHeight="1" x14ac:dyDescent="0.2">
      <c r="A8" s="30" t="s">
        <v>49</v>
      </c>
      <c r="B8" s="122">
        <v>5</v>
      </c>
      <c r="C8" s="122" t="s">
        <v>6</v>
      </c>
      <c r="D8" s="123">
        <v>45459</v>
      </c>
      <c r="E8" s="122" t="s">
        <v>82</v>
      </c>
      <c r="F8" s="124">
        <v>0.875</v>
      </c>
      <c r="G8" s="125">
        <f t="shared" si="11"/>
        <v>45459.625</v>
      </c>
      <c r="H8" s="122" t="s">
        <v>93</v>
      </c>
      <c r="I8" s="126"/>
      <c r="J8" s="118"/>
      <c r="K8" s="118"/>
      <c r="L8" s="174">
        <f>IF(I8="",0,IFERROR(IF(SCORING.RULES!$C$8="No",1,((VLOOKUP($B8,ACTUALS!$B$4:$L$100,7,FALSE)=$H8)+(VLOOKUP($B8,ACTUALS!$B$4:$L$100,7,FALSE)=S8)))*(M8+N8+O8+P8+Q8),0))+$R8</f>
        <v>0</v>
      </c>
      <c r="M8" s="168">
        <f>IFERROR(IF($B8="","",IF(U8=INDEX(ACTUALS!$AA$4:$AA$100,MATCH($B8,ACTUALS!$B$4:$B$100,0),1),CorrectScore,0)),0)</f>
        <v>0</v>
      </c>
      <c r="N8" s="157" t="str">
        <f>IFERROR(IF(I8="","",IF(INDEX(ACTUALS!$AB$4:$AB$100,MATCH($B8,ACTUALS!$B$4:$B$100,0),1)=(AB8+AC8+AH8+AI8),CorrectNumberofGoals,0)),0)</f>
        <v/>
      </c>
      <c r="O8" s="157"/>
      <c r="P8" s="157">
        <f>IFERROR(IF(B8="","",IF(INDEX(ACTUALS!$L$4:$L$100,MATCH($B8,ACTUALS!$B$4:$B$100,0),1)=W8,CorrectResult,0)),0)</f>
        <v>3</v>
      </c>
      <c r="Q8" s="157"/>
      <c r="R8" s="157"/>
      <c r="S8" s="157" t="str">
        <f t="shared" si="0"/>
        <v/>
      </c>
      <c r="T8" s="157"/>
      <c r="U8" s="157" t="str">
        <f t="shared" si="1"/>
        <v/>
      </c>
      <c r="V8" s="157" t="str">
        <f t="shared" si="2"/>
        <v/>
      </c>
      <c r="W8" s="119" t="str">
        <f>IF(tblActuals354[[#This Row],[SCORE]]="","",IF(AB8=AC8,"Draw",IF(AB8&gt;AC8,X8,Y8)))</f>
        <v/>
      </c>
      <c r="X8" s="120" t="str">
        <f>IF(tblActuals354[[#This Row],[TEAMS]]="","",LEFT(H8,FIND(" -",H8,1)-1))</f>
        <v>Serbia</v>
      </c>
      <c r="Y8" s="120" t="str">
        <f>IF(tblActuals354[[#This Row],[TEAMS]]="","",MID(H8,FIND("-",H8,1)+2,LEN(H8)-FIND("-",H8,1)+2))</f>
        <v>England</v>
      </c>
      <c r="Z8" s="120" t="str">
        <f>IF(tblActuals354[[#This Row],[Team 1 Goals]]&gt;tblActuals354[[#This Row],[Team 2 Goals]],tblActuals354[[#This Row],[Team 1]],IF(tblActuals354[[#This Row],[Team 2 Goals]]&gt;tblActuals354[[#This Row],[Team 1 Goals]],tblActuals354[[#This Row],[Team 2]],""))</f>
        <v/>
      </c>
      <c r="AA8" s="120" t="str">
        <f>IF(tblActuals354[[#This Row],[Winner]]=tblActuals354[[#This Row],[Team 1]],tblActuals354[[#This Row],[Team 2]],IF(tblActuals354[[#This Row],[Winner]]=tblActuals354[[#This Row],[Team 2]],tblActuals354[[#This Row],[Team 1]],""))</f>
        <v/>
      </c>
      <c r="AB8" s="120" t="str">
        <f>IF(tblActuals354[[#This Row],[SCORE]]="","",LEFT(I8,FIND(":",I8,1)-1)*1)</f>
        <v/>
      </c>
      <c r="AC8" s="120" t="str">
        <f>IF(tblActuals354[[#This Row],[SCORE]]="","",MID(I8,FIND(":",I8,1)+1,LEN(I8)-FIND(":",I8,1)+1)*1)</f>
        <v/>
      </c>
      <c r="AD8" s="120" t="str">
        <f>IF(OR(tblActuals354[[#This Row],[Team 1 Goals]]="",tblActuals354[[#This Row],[Team 2 Goals]]=""),"",tblActuals354[[#This Row],[Team 1 Goals]]-tblActuals354[[#This Row],[Team 2 Goals]])</f>
        <v/>
      </c>
      <c r="AE8" s="120" t="str">
        <f>IF(OR(tblActuals354[[#This Row],[Team 1 Goals]]="",tblActuals354[[#This Row],[Team 2 Goals]]=""),"",tblActuals354[[#This Row],[Team 2 Goals]]-tblActuals354[[#This Row],[Team 1 Goals]])</f>
        <v/>
      </c>
      <c r="AF8" s="120" t="str">
        <f>IF(tblActuals354[[#This Row],[SCORE]]="","",IF(tblActuals354[[#This Row],[WINNER / RESULT]]="Draw",1,IF(tblActuals354[[#This Row],[WINNER / RESULT]]=tblActuals354[[#This Row],[Team 1]],3,0)))</f>
        <v/>
      </c>
      <c r="AG8" s="120" t="str">
        <f>IF(tblActuals354[[#This Row],[SCORE]]="","",IF(tblActuals354[[#This Row],[WINNER / RESULT]]="Draw",1,IF(tblActuals354[[#This Row],[WINNER / RESULT]]=tblActuals354[[#This Row],[Team 2]],3,0)))</f>
        <v/>
      </c>
      <c r="AH8" s="121"/>
      <c r="AI8" s="121"/>
      <c r="AJ8" s="121"/>
      <c r="AK8" s="121"/>
      <c r="AL8" s="120" t="e">
        <f>tblActuals354[[#This Row],[Team 1 Goals]]+tblActuals354[[#This Row],[Team 1 ET Goals]]&amp;":"&amp;tblActuals354[[#This Row],[Team 2 Goals]]+tblActuals354[[#This Row],[Team 2 ET Goals]]</f>
        <v>#VALUE!</v>
      </c>
      <c r="AM8" s="120" t="e">
        <f>+tblActuals354[[#This Row],[Team 1 Goals]]+tblActuals354[[#This Row],[Team 2 Goals]]</f>
        <v>#VALUE!</v>
      </c>
      <c r="AN8" s="161">
        <f t="shared" si="3"/>
        <v>45459</v>
      </c>
      <c r="AP8" s="38" t="s">
        <v>85</v>
      </c>
      <c r="AT8" s="77" t="s">
        <v>1</v>
      </c>
      <c r="AU8" s="142">
        <v>3</v>
      </c>
      <c r="AV8" s="143" t="str">
        <f ca="1">IFERROR(INDEX(BD:BD,MATCH("3"&amp;AT8,BN:BN,0),1),"")</f>
        <v>Scotland</v>
      </c>
      <c r="AW8" s="143" t="str">
        <f ca="1">IF(AV8="","",VLOOKUP(AV8,BD:BI,2,FALSE)&amp;"-"&amp;VLOOKUP(AV8,BD:BI,3,FALSE)&amp;"-"&amp;VLOOKUP(AV8,BD:BI,4,FALSE))</f>
        <v>0-0-0</v>
      </c>
      <c r="AX8" s="143">
        <f ca="1">IF(AV8="","",VLOOKUP(AV8,BD:BK,8,FALSE))</f>
        <v>0</v>
      </c>
      <c r="AY8" s="144">
        <f ca="1">IF(AV8="","",VLOOKUP(AV8,BD:BN,5,FALSE))</f>
        <v>0</v>
      </c>
      <c r="AZ8" s="75" t="str">
        <f ca="1">IF(INDEX($AU$43:$AU$48,MATCH(AV8,$AV$43:$AV$48,0),1)&lt;=4,"X","")</f>
        <v/>
      </c>
      <c r="BA8" s="42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 t="str">
        <f t="shared" si="4"/>
        <v/>
      </c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 t="s">
        <v>12</v>
      </c>
      <c r="CB8" s="4" t="str">
        <f ca="1">AV32</f>
        <v>Slovakia</v>
      </c>
      <c r="CC8" s="4">
        <f t="shared" ca="1" si="5"/>
        <v>0</v>
      </c>
      <c r="CD8" s="4">
        <f t="shared" ca="1" si="6"/>
        <v>0</v>
      </c>
      <c r="CE8" s="4">
        <f t="shared" ca="1" si="7"/>
        <v>0</v>
      </c>
      <c r="CF8" s="4">
        <f t="shared" ca="1" si="8"/>
        <v>0</v>
      </c>
      <c r="CG8" s="4">
        <f t="shared" ca="1" si="9"/>
        <v>7.9999999999999996E-7</v>
      </c>
      <c r="CH8" s="4">
        <f t="shared" ca="1" si="10"/>
        <v>2</v>
      </c>
      <c r="CI8" s="4"/>
      <c r="CJ8" s="4"/>
      <c r="CK8" s="4"/>
      <c r="CL8" s="4"/>
      <c r="CM8" s="4"/>
      <c r="CN8" s="4"/>
      <c r="CO8" s="4"/>
      <c r="CP8" s="4"/>
      <c r="CQ8" s="4"/>
      <c r="CR8" s="4"/>
      <c r="CU8" s="4" t="s">
        <v>28</v>
      </c>
      <c r="CV8" s="56">
        <f>SUMIFS(tblActuals354[Team 2 Points],tblActuals354[Team 2],$CU8,tblActuals354[Team 1],CV$3)+SUMIFS(tblActuals354[Team 1 Points],tblActuals354[Team 1],$CU8,tblActuals354[Team 2],CV$3)</f>
        <v>0</v>
      </c>
      <c r="CW8" s="56">
        <f>SUMIFS(tblActuals354[Team 2 Points],tblActuals354[Team 2],$CU8,tblActuals354[Team 1],CW$3)+SUMIFS(tblActuals354[Team 1 Points],tblActuals354[Team 1],$CU8,tblActuals354[Team 2],CW$3)</f>
        <v>0</v>
      </c>
      <c r="CX8" s="56">
        <f>SUMIFS(tblActuals354[Team 2 Points],tblActuals354[Team 2],$CU8,tblActuals354[Team 1],CX$3)+SUMIFS(tblActuals354[Team 1 Points],tblActuals354[Team 1],$CU8,tblActuals354[Team 2],CX$3)</f>
        <v>0</v>
      </c>
      <c r="CY8" s="56">
        <f>SUMIFS(tblActuals354[Team 2 Points],tblActuals354[Team 2],$CU8,tblActuals354[Team 1],CY$3)+SUMIFS(tblActuals354[Team 1 Points],tblActuals354[Team 1],$CU8,tblActuals354[Team 2],CY$3)</f>
        <v>0</v>
      </c>
      <c r="CZ8" s="56">
        <f>SUMIFS(tblActuals354[Team 2 Points],tblActuals354[Team 2],$CU8,tblActuals354[Team 1],CZ$3)+SUMIFS(tblActuals354[Team 1 Points],tblActuals354[Team 1],$CU8,tblActuals354[Team 2],CZ$3)</f>
        <v>0</v>
      </c>
      <c r="DA8" s="56">
        <f>SUMIFS(tblActuals354[Team 2 Points],tblActuals354[Team 2],$CU8,tblActuals354[Team 1],DA$3)+SUMIFS(tblActuals354[Team 1 Points],tblActuals354[Team 1],$CU8,tblActuals354[Team 2],DA$3)</f>
        <v>0</v>
      </c>
      <c r="DB8" s="56">
        <f>SUMIFS(tblActuals354[Team 2 Points],tblActuals354[Team 2],$CU8,tblActuals354[Team 1],DB$3)+SUMIFS(tblActuals354[Team 1 Points],tblActuals354[Team 1],$CU8,tblActuals354[Team 2],DB$3)</f>
        <v>0</v>
      </c>
      <c r="DC8" s="56">
        <f>SUMIFS(tblActuals354[Team 2 Points],tblActuals354[Team 2],$CU8,tblActuals354[Team 1],DC$3)+SUMIFS(tblActuals354[Team 1 Points],tblActuals354[Team 1],$CU8,tblActuals354[Team 2],DC$3)</f>
        <v>0</v>
      </c>
      <c r="DD8" s="56">
        <f>SUMIFS(tblActuals354[Team 2 Points],tblActuals354[Team 2],$CU8,tblActuals354[Team 1],DD$3)+SUMIFS(tblActuals354[Team 1 Points],tblActuals354[Team 1],$CU8,tblActuals354[Team 2],DD$3)</f>
        <v>0</v>
      </c>
      <c r="DE8" s="56">
        <f>SUMIFS(tblActuals354[Team 2 Points],tblActuals354[Team 2],$CU8,tblActuals354[Team 1],DE$3)+SUMIFS(tblActuals354[Team 1 Points],tblActuals354[Team 1],$CU8,tblActuals354[Team 2],DE$3)</f>
        <v>0</v>
      </c>
      <c r="DF8" s="56">
        <f>SUMIFS(tblActuals354[Team 2 Points],tblActuals354[Team 2],$CU8,tblActuals354[Team 1],DF$3)+SUMIFS(tblActuals354[Team 1 Points],tblActuals354[Team 1],$CU8,tblActuals354[Team 2],DF$3)</f>
        <v>0</v>
      </c>
      <c r="DG8" s="56">
        <f>SUMIFS(tblActuals354[Team 2 Points],tblActuals354[Team 2],$CU8,tblActuals354[Team 1],DG$3)+SUMIFS(tblActuals354[Team 1 Points],tblActuals354[Team 1],$CU8,tblActuals354[Team 2],DG$3)</f>
        <v>0</v>
      </c>
      <c r="DH8" s="56">
        <f>SUMIFS(tblActuals354[Team 2 Points],tblActuals354[Team 2],$CU8,tblActuals354[Team 1],DH$3)+SUMIFS(tblActuals354[Team 1 Points],tblActuals354[Team 1],$CU8,tblActuals354[Team 2],DH$3)</f>
        <v>0</v>
      </c>
      <c r="DI8" s="56">
        <f>SUMIFS(tblActuals354[Team 2 Points],tblActuals354[Team 2],$CU8,tblActuals354[Team 1],DI$3)+SUMIFS(tblActuals354[Team 1 Points],tblActuals354[Team 1],$CU8,tblActuals354[Team 2],DI$3)</f>
        <v>0</v>
      </c>
      <c r="DJ8" s="56">
        <f>SUMIFS(tblActuals354[Team 2 Points],tblActuals354[Team 2],$CU8,tblActuals354[Team 1],DJ$3)+SUMIFS(tblActuals354[Team 1 Points],tblActuals354[Team 1],$CU8,tblActuals354[Team 2],DJ$3)</f>
        <v>0</v>
      </c>
      <c r="DK8" s="56">
        <f>SUMIFS(tblActuals354[Team 2 Points],tblActuals354[Team 2],$CU8,tblActuals354[Team 1],DK$3)+SUMIFS(tblActuals354[Team 1 Points],tblActuals354[Team 1],$CU8,tblActuals354[Team 2],DK$3)</f>
        <v>0</v>
      </c>
      <c r="DL8" s="56">
        <f>SUMIFS(tblActuals354[Team 2 Points],tblActuals354[Team 2],$CU8,tblActuals354[Team 1],DL$3)+SUMIFS(tblActuals354[Team 1 Points],tblActuals354[Team 1],$CU8,tblActuals354[Team 2],DL$3)</f>
        <v>0</v>
      </c>
      <c r="DM8" s="56">
        <f>SUMIFS(tblActuals354[Team 2 Points],tblActuals354[Team 2],$CU8,tblActuals354[Team 1],DM$3)+SUMIFS(tblActuals354[Team 1 Points],tblActuals354[Team 1],$CU8,tblActuals354[Team 2],DM$3)</f>
        <v>0</v>
      </c>
      <c r="DN8" s="56">
        <f>SUMIFS(tblActuals354[Team 2 Points],tblActuals354[Team 2],$CU8,tblActuals354[Team 1],DN$3)+SUMIFS(tblActuals354[Team 1 Points],tblActuals354[Team 1],$CU8,tblActuals354[Team 2],DN$3)</f>
        <v>0</v>
      </c>
      <c r="DO8" s="56">
        <f>SUMIFS(tblActuals354[Team 2 Points],tblActuals354[Team 2],$CU8,tblActuals354[Team 1],DO$3)+SUMIFS(tblActuals354[Team 1 Points],tblActuals354[Team 1],$CU8,tblActuals354[Team 2],DO$3)</f>
        <v>0</v>
      </c>
      <c r="DP8" s="56">
        <f>SUMIFS(tblActuals354[Team 2 Points],tblActuals354[Team 2],$CU8,tblActuals354[Team 1],DP$3)+SUMIFS(tblActuals354[Team 1 Points],tblActuals354[Team 1],$CU8,tblActuals354[Team 2],DP$3)</f>
        <v>0</v>
      </c>
      <c r="DQ8" s="56">
        <f>SUMIFS(tblActuals354[Team 2 Points],tblActuals354[Team 2],$CU8,tblActuals354[Team 1],DQ$3)+SUMIFS(tblActuals354[Team 1 Points],tblActuals354[Team 1],$CU8,tblActuals354[Team 2],DQ$3)</f>
        <v>0</v>
      </c>
      <c r="DR8" s="56">
        <f>SUMIFS(tblActuals354[Team 2 Points],tblActuals354[Team 2],$CU8,tblActuals354[Team 1],DR$3)+SUMIFS(tblActuals354[Team 1 Points],tblActuals354[Team 1],$CU8,tblActuals354[Team 2],DR$3)</f>
        <v>0</v>
      </c>
      <c r="DS8" s="56">
        <f>SUMIFS(tblActuals354[Team 2 Points],tblActuals354[Team 2],$CU8,tblActuals354[Team 1],DS$3)+SUMIFS(tblActuals354[Team 1 Points],tblActuals354[Team 1],$CU8,tblActuals354[Team 2],DS$3)</f>
        <v>0</v>
      </c>
      <c r="DT8" s="57"/>
      <c r="DU8" s="57"/>
      <c r="DV8" s="57"/>
      <c r="DW8" s="57"/>
      <c r="DX8" s="57"/>
      <c r="DY8" s="57"/>
      <c r="DZ8" s="57"/>
      <c r="EA8" s="57"/>
      <c r="EB8" s="4"/>
      <c r="EC8" s="4" t="s">
        <v>28</v>
      </c>
      <c r="ED8" s="56">
        <f>SUMIFS(tblActuals354[Team 2 GD],tblActuals354[Team 2],$CU8,tblActuals354[Team 1],ED$3)+SUMIFS(tblActuals354[Team 1 GD],tblActuals354[Team 1],$CU8,tblActuals354[Team 2],ED$3)</f>
        <v>0</v>
      </c>
      <c r="EE8" s="56">
        <f>SUMIFS(tblActuals354[Team 2 GD],tblActuals354[Team 2],$CU8,tblActuals354[Team 1],EE$3)+SUMIFS(tblActuals354[Team 1 GD],tblActuals354[Team 1],$CU8,tblActuals354[Team 2],EE$3)</f>
        <v>0</v>
      </c>
      <c r="EF8" s="56">
        <f>SUMIFS(tblActuals354[Team 2 GD],tblActuals354[Team 2],$CU8,tblActuals354[Team 1],EF$3)+SUMIFS(tblActuals354[Team 1 GD],tblActuals354[Team 1],$CU8,tblActuals354[Team 2],EF$3)</f>
        <v>0</v>
      </c>
      <c r="EG8" s="56">
        <f>SUMIFS(tblActuals354[Team 2 GD],tblActuals354[Team 2],$CU8,tblActuals354[Team 1],EG$3)+SUMIFS(tblActuals354[Team 1 GD],tblActuals354[Team 1],$CU8,tblActuals354[Team 2],EG$3)</f>
        <v>0</v>
      </c>
      <c r="EH8" s="56">
        <f>SUMIFS(tblActuals354[Team 2 GD],tblActuals354[Team 2],$CU8,tblActuals354[Team 1],EH$3)+SUMIFS(tblActuals354[Team 1 GD],tblActuals354[Team 1],$CU8,tblActuals354[Team 2],EH$3)</f>
        <v>0</v>
      </c>
      <c r="EI8" s="56">
        <f>SUMIFS(tblActuals354[Team 2 GD],tblActuals354[Team 2],$CU8,tblActuals354[Team 1],EI$3)+SUMIFS(tblActuals354[Team 1 GD],tblActuals354[Team 1],$CU8,tblActuals354[Team 2],EI$3)</f>
        <v>0</v>
      </c>
      <c r="EJ8" s="56">
        <f>SUMIFS(tblActuals354[Team 2 GD],tblActuals354[Team 2],$CU8,tblActuals354[Team 1],EJ$3)+SUMIFS(tblActuals354[Team 1 GD],tblActuals354[Team 1],$CU8,tblActuals354[Team 2],EJ$3)</f>
        <v>0</v>
      </c>
      <c r="EK8" s="56">
        <f>SUMIFS(tblActuals354[Team 2 GD],tblActuals354[Team 2],$CU8,tblActuals354[Team 1],EK$3)+SUMIFS(tblActuals354[Team 1 GD],tblActuals354[Team 1],$CU8,tblActuals354[Team 2],EK$3)</f>
        <v>0</v>
      </c>
      <c r="EL8" s="56">
        <f>SUMIFS(tblActuals354[Team 2 GD],tblActuals354[Team 2],$CU8,tblActuals354[Team 1],EL$3)+SUMIFS(tblActuals354[Team 1 GD],tblActuals354[Team 1],$CU8,tblActuals354[Team 2],EL$3)</f>
        <v>0</v>
      </c>
      <c r="EM8" s="56">
        <f>SUMIFS(tblActuals354[Team 2 GD],tblActuals354[Team 2],$CU8,tblActuals354[Team 1],EM$3)+SUMIFS(tblActuals354[Team 1 GD],tblActuals354[Team 1],$CU8,tblActuals354[Team 2],EM$3)</f>
        <v>0</v>
      </c>
      <c r="EN8" s="56">
        <f>SUMIFS(tblActuals354[Team 2 GD],tblActuals354[Team 2],$CU8,tblActuals354[Team 1],EN$3)+SUMIFS(tblActuals354[Team 1 GD],tblActuals354[Team 1],$CU8,tblActuals354[Team 2],EN$3)</f>
        <v>0</v>
      </c>
      <c r="EO8" s="56">
        <f>SUMIFS(tblActuals354[Team 2 GD],tblActuals354[Team 2],$CU8,tblActuals354[Team 1],EO$3)+SUMIFS(tblActuals354[Team 1 GD],tblActuals354[Team 1],$CU8,tblActuals354[Team 2],EO$3)</f>
        <v>0</v>
      </c>
      <c r="EP8" s="56">
        <f>SUMIFS(tblActuals354[Team 2 GD],tblActuals354[Team 2],$CU8,tblActuals354[Team 1],EP$3)+SUMIFS(tblActuals354[Team 1 GD],tblActuals354[Team 1],$CU8,tblActuals354[Team 2],EP$3)</f>
        <v>0</v>
      </c>
      <c r="EQ8" s="56">
        <f>SUMIFS(tblActuals354[Team 2 GD],tblActuals354[Team 2],$CU8,tblActuals354[Team 1],EQ$3)+SUMIFS(tblActuals354[Team 1 GD],tblActuals354[Team 1],$CU8,tblActuals354[Team 2],EQ$3)</f>
        <v>0</v>
      </c>
      <c r="ER8" s="56">
        <f>SUMIFS(tblActuals354[Team 2 GD],tblActuals354[Team 2],$CU8,tblActuals354[Team 1],ER$3)+SUMIFS(tblActuals354[Team 1 GD],tblActuals354[Team 1],$CU8,tblActuals354[Team 2],ER$3)</f>
        <v>0</v>
      </c>
      <c r="ES8" s="56">
        <f>SUMIFS(tblActuals354[Team 2 GD],tblActuals354[Team 2],$CU8,tblActuals354[Team 1],ES$3)+SUMIFS(tblActuals354[Team 1 GD],tblActuals354[Team 1],$CU8,tblActuals354[Team 2],ES$3)</f>
        <v>0</v>
      </c>
      <c r="ET8" s="56">
        <f>SUMIFS(tblActuals354[Team 2 GD],tblActuals354[Team 2],$CU8,tblActuals354[Team 1],ET$3)+SUMIFS(tblActuals354[Team 1 GD],tblActuals354[Team 1],$CU8,tblActuals354[Team 2],ET$3)</f>
        <v>0</v>
      </c>
      <c r="EU8" s="56">
        <f>SUMIFS(tblActuals354[Team 2 GD],tblActuals354[Team 2],$CU8,tblActuals354[Team 1],EU$3)+SUMIFS(tblActuals354[Team 1 GD],tblActuals354[Team 1],$CU8,tblActuals354[Team 2],EU$3)</f>
        <v>0</v>
      </c>
      <c r="EV8" s="56">
        <f>SUMIFS(tblActuals354[Team 2 GD],tblActuals354[Team 2],$CU8,tblActuals354[Team 1],EV$3)+SUMIFS(tblActuals354[Team 1 GD],tblActuals354[Team 1],$CU8,tblActuals354[Team 2],EV$3)</f>
        <v>0</v>
      </c>
      <c r="EW8" s="56">
        <f>SUMIFS(tblActuals354[Team 2 GD],tblActuals354[Team 2],$CU8,tblActuals354[Team 1],EW$3)+SUMIFS(tblActuals354[Team 1 GD],tblActuals354[Team 1],$CU8,tblActuals354[Team 2],EW$3)</f>
        <v>0</v>
      </c>
      <c r="EX8" s="56">
        <f>SUMIFS(tblActuals354[Team 2 GD],tblActuals354[Team 2],$CU8,tblActuals354[Team 1],EX$3)+SUMIFS(tblActuals354[Team 1 GD],tblActuals354[Team 1],$CU8,tblActuals354[Team 2],EX$3)</f>
        <v>0</v>
      </c>
      <c r="EY8" s="56">
        <f>SUMIFS(tblActuals354[Team 2 GD],tblActuals354[Team 2],$CU8,tblActuals354[Team 1],EY$3)+SUMIFS(tblActuals354[Team 1 GD],tblActuals354[Team 1],$CU8,tblActuals354[Team 2],EY$3)</f>
        <v>0</v>
      </c>
      <c r="EZ8" s="56">
        <f>SUMIFS(tblActuals354[Team 2 GD],tblActuals354[Team 2],$CU8,tblActuals354[Team 1],EZ$3)+SUMIFS(tblActuals354[Team 1 GD],tblActuals354[Team 1],$CU8,tblActuals354[Team 2],EZ$3)</f>
        <v>0</v>
      </c>
      <c r="FA8" s="56">
        <f>SUMIFS(tblActuals354[Team 2 GD],tblActuals354[Team 2],$CU8,tblActuals354[Team 1],FA$3)+SUMIFS(tblActuals354[Team 1 GD],tblActuals354[Team 1],$CU8,tblActuals354[Team 2],FA$3)</f>
        <v>0</v>
      </c>
      <c r="FB8" s="57"/>
      <c r="FC8" s="57"/>
      <c r="FD8" s="57"/>
      <c r="FE8" s="57"/>
      <c r="FF8" s="57"/>
      <c r="FG8" s="57"/>
      <c r="FH8" s="57"/>
      <c r="FI8" s="57"/>
      <c r="FJ8" s="4"/>
      <c r="FK8" s="4" t="s">
        <v>28</v>
      </c>
      <c r="FL8" s="56">
        <f>SUMIFS(tblActuals354[Team 2 Goals],tblActuals354[Team 2],$CU8,tblActuals354[Team 1],FL$3)+SUMIFS(tblActuals354[Team 1 Goals],tblActuals354[Team 1],$CU8,tblActuals354[Team 2],FL$3)</f>
        <v>0</v>
      </c>
      <c r="FM8" s="56">
        <f>SUMIFS(tblActuals354[Team 2 Goals],tblActuals354[Team 2],$CU8,tblActuals354[Team 1],FM$3)+SUMIFS(tblActuals354[Team 1 Goals],tblActuals354[Team 1],$CU8,tblActuals354[Team 2],FM$3)</f>
        <v>0</v>
      </c>
      <c r="FN8" s="56">
        <f>SUMIFS(tblActuals354[Team 2 Goals],tblActuals354[Team 2],$CU8,tblActuals354[Team 1],FN$3)+SUMIFS(tblActuals354[Team 1 Goals],tblActuals354[Team 1],$CU8,tblActuals354[Team 2],FN$3)</f>
        <v>0</v>
      </c>
      <c r="FO8" s="56">
        <f>SUMIFS(tblActuals354[Team 2 Goals],tblActuals354[Team 2],$CU8,tblActuals354[Team 1],FO$3)+SUMIFS(tblActuals354[Team 1 Goals],tblActuals354[Team 1],$CU8,tblActuals354[Team 2],FO$3)</f>
        <v>0</v>
      </c>
      <c r="FP8" s="56">
        <f>SUMIFS(tblActuals354[Team 2 Goals],tblActuals354[Team 2],$CU8,tblActuals354[Team 1],FP$3)+SUMIFS(tblActuals354[Team 1 Goals],tblActuals354[Team 1],$CU8,tblActuals354[Team 2],FP$3)</f>
        <v>0</v>
      </c>
      <c r="FQ8" s="56">
        <f>SUMIFS(tblActuals354[Team 2 Goals],tblActuals354[Team 2],$CU8,tblActuals354[Team 1],FQ$3)+SUMIFS(tblActuals354[Team 1 Goals],tblActuals354[Team 1],$CU8,tblActuals354[Team 2],FQ$3)</f>
        <v>0</v>
      </c>
      <c r="FR8" s="56">
        <f>SUMIFS(tblActuals354[Team 2 Goals],tblActuals354[Team 2],$CU8,tblActuals354[Team 1],FR$3)+SUMIFS(tblActuals354[Team 1 Goals],tblActuals354[Team 1],$CU8,tblActuals354[Team 2],FR$3)</f>
        <v>0</v>
      </c>
      <c r="FS8" s="56">
        <f>SUMIFS(tblActuals354[Team 2 Goals],tblActuals354[Team 2],$CU8,tblActuals354[Team 1],FS$3)+SUMIFS(tblActuals354[Team 1 Goals],tblActuals354[Team 1],$CU8,tblActuals354[Team 2],FS$3)</f>
        <v>0</v>
      </c>
      <c r="FT8" s="56">
        <f>SUMIFS(tblActuals354[Team 2 Goals],tblActuals354[Team 2],$CU8,tblActuals354[Team 1],FT$3)+SUMIFS(tblActuals354[Team 1 Goals],tblActuals354[Team 1],$CU8,tblActuals354[Team 2],FT$3)</f>
        <v>0</v>
      </c>
      <c r="FU8" s="56">
        <f>SUMIFS(tblActuals354[Team 2 Goals],tblActuals354[Team 2],$CU8,tblActuals354[Team 1],FU$3)+SUMIFS(tblActuals354[Team 1 Goals],tblActuals354[Team 1],$CU8,tblActuals354[Team 2],FU$3)</f>
        <v>0</v>
      </c>
      <c r="FV8" s="56">
        <f>SUMIFS(tblActuals354[Team 2 Goals],tblActuals354[Team 2],$CU8,tblActuals354[Team 1],FV$3)+SUMIFS(tblActuals354[Team 1 Goals],tblActuals354[Team 1],$CU8,tblActuals354[Team 2],FV$3)</f>
        <v>0</v>
      </c>
      <c r="FW8" s="56">
        <f>SUMIFS(tblActuals354[Team 2 Goals],tblActuals354[Team 2],$CU8,tblActuals354[Team 1],FW$3)+SUMIFS(tblActuals354[Team 1 Goals],tblActuals354[Team 1],$CU8,tblActuals354[Team 2],FW$3)</f>
        <v>0</v>
      </c>
      <c r="FX8" s="56">
        <f>SUMIFS(tblActuals354[Team 2 Goals],tblActuals354[Team 2],$CU8,tblActuals354[Team 1],FX$3)+SUMIFS(tblActuals354[Team 1 Goals],tblActuals354[Team 1],$CU8,tblActuals354[Team 2],FX$3)</f>
        <v>0</v>
      </c>
      <c r="FY8" s="56">
        <f>SUMIFS(tblActuals354[Team 2 Goals],tblActuals354[Team 2],$CU8,tblActuals354[Team 1],FY$3)+SUMIFS(tblActuals354[Team 1 Goals],tblActuals354[Team 1],$CU8,tblActuals354[Team 2],FY$3)</f>
        <v>0</v>
      </c>
      <c r="FZ8" s="56">
        <f>SUMIFS(tblActuals354[Team 2 Goals],tblActuals354[Team 2],$CU8,tblActuals354[Team 1],FZ$3)+SUMIFS(tblActuals354[Team 1 Goals],tblActuals354[Team 1],$CU8,tblActuals354[Team 2],FZ$3)</f>
        <v>0</v>
      </c>
      <c r="GA8" s="56">
        <f>SUMIFS(tblActuals354[Team 2 Goals],tblActuals354[Team 2],$CU8,tblActuals354[Team 1],GA$3)+SUMIFS(tblActuals354[Team 1 Goals],tblActuals354[Team 1],$CU8,tblActuals354[Team 2],GA$3)</f>
        <v>0</v>
      </c>
      <c r="GB8" s="56">
        <f>SUMIFS(tblActuals354[Team 2 Goals],tblActuals354[Team 2],$CU8,tblActuals354[Team 1],GB$3)+SUMIFS(tblActuals354[Team 1 Goals],tblActuals354[Team 1],$CU8,tblActuals354[Team 2],GB$3)</f>
        <v>0</v>
      </c>
      <c r="GC8" s="56">
        <f>SUMIFS(tblActuals354[Team 2 Goals],tblActuals354[Team 2],$CU8,tblActuals354[Team 1],GC$3)+SUMIFS(tblActuals354[Team 1 Goals],tblActuals354[Team 1],$CU8,tblActuals354[Team 2],GC$3)</f>
        <v>0</v>
      </c>
      <c r="GD8" s="56">
        <f>SUMIFS(tblActuals354[Team 2 Goals],tblActuals354[Team 2],$CU8,tblActuals354[Team 1],GD$3)+SUMIFS(tblActuals354[Team 1 Goals],tblActuals354[Team 1],$CU8,tblActuals354[Team 2],GD$3)</f>
        <v>0</v>
      </c>
      <c r="GE8" s="56">
        <f>SUMIFS(tblActuals354[Team 2 Goals],tblActuals354[Team 2],$CU8,tblActuals354[Team 1],GE$3)+SUMIFS(tblActuals354[Team 1 Goals],tblActuals354[Team 1],$CU8,tblActuals354[Team 2],GE$3)</f>
        <v>0</v>
      </c>
      <c r="GF8" s="56">
        <f>SUMIFS(tblActuals354[Team 2 Goals],tblActuals354[Team 2],$CU8,tblActuals354[Team 1],GF$3)+SUMIFS(tblActuals354[Team 1 Goals],tblActuals354[Team 1],$CU8,tblActuals354[Team 2],GF$3)</f>
        <v>0</v>
      </c>
      <c r="GG8" s="56">
        <f>SUMIFS(tblActuals354[Team 2 Goals],tblActuals354[Team 2],$CU8,tblActuals354[Team 1],GG$3)+SUMIFS(tblActuals354[Team 1 Goals],tblActuals354[Team 1],$CU8,tblActuals354[Team 2],GG$3)</f>
        <v>0</v>
      </c>
      <c r="GH8" s="56">
        <f>SUMIFS(tblActuals354[Team 2 Goals],tblActuals354[Team 2],$CU8,tblActuals354[Team 1],GH$3)+SUMIFS(tblActuals354[Team 1 Goals],tblActuals354[Team 1],$CU8,tblActuals354[Team 2],GH$3)</f>
        <v>0</v>
      </c>
      <c r="GI8" s="56">
        <f>SUMIFS(tblActuals354[Team 2 Goals],tblActuals354[Team 2],$CU8,tblActuals354[Team 1],GI$3)+SUMIFS(tblActuals354[Team 1 Goals],tblActuals354[Team 1],$CU8,tblActuals354[Team 2],GI$3)</f>
        <v>0</v>
      </c>
      <c r="GJ8" s="57"/>
      <c r="GK8" s="57"/>
      <c r="GL8" s="37"/>
      <c r="GM8" s="37"/>
      <c r="GN8" s="37"/>
      <c r="GO8" s="37"/>
      <c r="GP8" s="37"/>
      <c r="GQ8" s="37"/>
      <c r="GR8" s="75"/>
      <c r="GS8" s="156"/>
      <c r="GT8" s="156"/>
      <c r="GU8" s="75"/>
      <c r="GV8" s="22"/>
      <c r="GW8" s="75"/>
      <c r="GX8" s="75"/>
      <c r="GY8" s="75"/>
      <c r="GZ8" s="75"/>
      <c r="HB8" s="4" t="str">
        <f t="shared" si="12"/>
        <v>ABDE</v>
      </c>
      <c r="HC8" s="44" t="s">
        <v>1</v>
      </c>
      <c r="HD8" s="44" t="s">
        <v>5</v>
      </c>
      <c r="HE8" s="45"/>
      <c r="HF8" s="44" t="s">
        <v>7</v>
      </c>
      <c r="HG8" s="44" t="s">
        <v>12</v>
      </c>
      <c r="HH8" s="45"/>
      <c r="HI8" s="178"/>
      <c r="HJ8" s="45" t="s">
        <v>150</v>
      </c>
      <c r="HK8" s="45" t="s">
        <v>153</v>
      </c>
      <c r="HL8" s="45" t="s">
        <v>149</v>
      </c>
      <c r="HM8" s="45" t="s">
        <v>151</v>
      </c>
    </row>
    <row r="9" spans="1:221" s="11" customFormat="1" ht="30" customHeight="1" thickBot="1" x14ac:dyDescent="0.25">
      <c r="A9" s="20"/>
      <c r="B9" s="122">
        <v>6</v>
      </c>
      <c r="C9" s="122" t="s">
        <v>6</v>
      </c>
      <c r="D9" s="123">
        <v>45459</v>
      </c>
      <c r="E9" s="122" t="s">
        <v>83</v>
      </c>
      <c r="F9" s="124">
        <v>0.75</v>
      </c>
      <c r="G9" s="125">
        <f t="shared" si="11"/>
        <v>45459.5</v>
      </c>
      <c r="H9" s="122" t="s">
        <v>94</v>
      </c>
      <c r="I9" s="126"/>
      <c r="J9" s="118"/>
      <c r="K9" s="118"/>
      <c r="L9" s="174">
        <f>IF(I9="",0,IFERROR(IF(SCORING.RULES!$C$8="No",1,((VLOOKUP($B9,ACTUALS!$B$4:$L$100,7,FALSE)=$H9)+(VLOOKUP($B9,ACTUALS!$B$4:$L$100,7,FALSE)=S9)))*(M9+N9+O9+P9+Q9),0))+$R9</f>
        <v>0</v>
      </c>
      <c r="M9" s="168">
        <f>IFERROR(IF($B9="","",IF(U9=INDEX(ACTUALS!$AA$4:$AA$100,MATCH($B9,ACTUALS!$B$4:$B$100,0),1),CorrectScore,0)),0)</f>
        <v>0</v>
      </c>
      <c r="N9" s="157" t="str">
        <f>IFERROR(IF(I9="","",IF(INDEX(ACTUALS!$AB$4:$AB$100,MATCH($B9,ACTUALS!$B$4:$B$100,0),1)=(AB9+AC9+AH9+AI9),CorrectNumberofGoals,0)),0)</f>
        <v/>
      </c>
      <c r="O9" s="157"/>
      <c r="P9" s="157">
        <f>IFERROR(IF(B9="","",IF(INDEX(ACTUALS!$L$4:$L$100,MATCH($B9,ACTUALS!$B$4:$B$100,0),1)=W9,CorrectResult,0)),0)</f>
        <v>3</v>
      </c>
      <c r="Q9" s="157"/>
      <c r="R9" s="157"/>
      <c r="S9" s="157" t="str">
        <f t="shared" si="0"/>
        <v/>
      </c>
      <c r="T9" s="157"/>
      <c r="U9" s="157" t="str">
        <f t="shared" si="1"/>
        <v/>
      </c>
      <c r="V9" s="157" t="str">
        <f t="shared" si="2"/>
        <v/>
      </c>
      <c r="W9" s="119" t="str">
        <f>IF(tblActuals354[[#This Row],[SCORE]]="","",IF(AB9=AC9,"Draw",IF(AB9&gt;AC9,X9,Y9)))</f>
        <v/>
      </c>
      <c r="X9" s="120" t="str">
        <f>IF(tblActuals354[[#This Row],[TEAMS]]="","",LEFT(H9,FIND(" -",H9,1)-1))</f>
        <v>Slovenia</v>
      </c>
      <c r="Y9" s="120" t="str">
        <f>IF(tblActuals354[[#This Row],[TEAMS]]="","",MID(H9,FIND("-",H9,1)+2,LEN(H9)-FIND("-",H9,1)+2))</f>
        <v>Denmark</v>
      </c>
      <c r="Z9" s="120" t="str">
        <f>IF(tblActuals354[[#This Row],[Team 1 Goals]]&gt;tblActuals354[[#This Row],[Team 2 Goals]],tblActuals354[[#This Row],[Team 1]],IF(tblActuals354[[#This Row],[Team 2 Goals]]&gt;tblActuals354[[#This Row],[Team 1 Goals]],tblActuals354[[#This Row],[Team 2]],""))</f>
        <v/>
      </c>
      <c r="AA9" s="120" t="str">
        <f>IF(tblActuals354[[#This Row],[Winner]]=tblActuals354[[#This Row],[Team 1]],tblActuals354[[#This Row],[Team 2]],IF(tblActuals354[[#This Row],[Winner]]=tblActuals354[[#This Row],[Team 2]],tblActuals354[[#This Row],[Team 1]],""))</f>
        <v/>
      </c>
      <c r="AB9" s="120" t="str">
        <f>IF(tblActuals354[[#This Row],[SCORE]]="","",LEFT(I9,FIND(":",I9,1)-1)*1)</f>
        <v/>
      </c>
      <c r="AC9" s="120" t="str">
        <f>IF(tblActuals354[[#This Row],[SCORE]]="","",MID(I9,FIND(":",I9,1)+1,LEN(I9)-FIND(":",I9,1)+1)*1)</f>
        <v/>
      </c>
      <c r="AD9" s="120" t="str">
        <f>IF(OR(tblActuals354[[#This Row],[Team 1 Goals]]="",tblActuals354[[#This Row],[Team 2 Goals]]=""),"",tblActuals354[[#This Row],[Team 1 Goals]]-tblActuals354[[#This Row],[Team 2 Goals]])</f>
        <v/>
      </c>
      <c r="AE9" s="120" t="str">
        <f>IF(OR(tblActuals354[[#This Row],[Team 1 Goals]]="",tblActuals354[[#This Row],[Team 2 Goals]]=""),"",tblActuals354[[#This Row],[Team 2 Goals]]-tblActuals354[[#This Row],[Team 1 Goals]])</f>
        <v/>
      </c>
      <c r="AF9" s="120" t="str">
        <f>IF(tblActuals354[[#This Row],[SCORE]]="","",IF(tblActuals354[[#This Row],[WINNER / RESULT]]="Draw",1,IF(tblActuals354[[#This Row],[WINNER / RESULT]]=tblActuals354[[#This Row],[Team 1]],3,0)))</f>
        <v/>
      </c>
      <c r="AG9" s="120" t="str">
        <f>IF(tblActuals354[[#This Row],[SCORE]]="","",IF(tblActuals354[[#This Row],[WINNER / RESULT]]="Draw",1,IF(tblActuals354[[#This Row],[WINNER / RESULT]]=tblActuals354[[#This Row],[Team 2]],3,0)))</f>
        <v/>
      </c>
      <c r="AH9" s="121"/>
      <c r="AI9" s="121"/>
      <c r="AJ9" s="121"/>
      <c r="AK9" s="121"/>
      <c r="AL9" s="120" t="e">
        <f>tblActuals354[[#This Row],[Team 1 Goals]]+tblActuals354[[#This Row],[Team 1 ET Goals]]&amp;":"&amp;tblActuals354[[#This Row],[Team 2 Goals]]+tblActuals354[[#This Row],[Team 2 ET Goals]]</f>
        <v>#VALUE!</v>
      </c>
      <c r="AM9" s="120" t="e">
        <f>+tblActuals354[[#This Row],[Team 1 Goals]]+tblActuals354[[#This Row],[Team 2 Goals]]</f>
        <v>#VALUE!</v>
      </c>
      <c r="AN9" s="161">
        <f t="shared" si="3"/>
        <v>45459</v>
      </c>
      <c r="AP9" s="38" t="s">
        <v>86</v>
      </c>
      <c r="AT9" s="77" t="s">
        <v>1</v>
      </c>
      <c r="AU9" s="145">
        <v>4</v>
      </c>
      <c r="AV9" s="146" t="str">
        <f ca="1">IFERROR(INDEX(BD:BD,MATCH("4"&amp;AT9,BN:BN,0),1),"")</f>
        <v>Switzerland</v>
      </c>
      <c r="AW9" s="146" t="str">
        <f ca="1">IF(AV9="","",VLOOKUP(AV9,BD:BI,2,FALSE)&amp;"-"&amp;VLOOKUP(AV9,BD:BI,3,FALSE)&amp;"-"&amp;VLOOKUP(AV9,BD:BI,4,FALSE))</f>
        <v>0-0-0</v>
      </c>
      <c r="AX9" s="146">
        <f ca="1">IF(AV9="","",VLOOKUP(AV9,BD:BK,8,FALSE))</f>
        <v>0</v>
      </c>
      <c r="AY9" s="147">
        <f ca="1">IF(AV9="","",VLOOKUP(AV9,BD:BN,5,FALSE))</f>
        <v>0</v>
      </c>
      <c r="AZ9" s="75"/>
      <c r="BA9" s="42"/>
      <c r="BB9" s="4"/>
      <c r="BC9" s="4" t="s">
        <v>5</v>
      </c>
      <c r="BD9" s="4" t="s">
        <v>127</v>
      </c>
      <c r="BE9" s="4">
        <f>COUNTIF(tblActuals354[Winner],BD9)</f>
        <v>0</v>
      </c>
      <c r="BF9" s="4">
        <f>COUNTIFS(tblActuals354[Team 2],BD9,tblActuals354[WINNER / RESULT],"Draw")+COUNTIFS(tblActuals354[Team 1],BD9,tblActuals354[WINNER / RESULT],"Draw")</f>
        <v>0</v>
      </c>
      <c r="BG9" s="4">
        <f>COUNTIF(tblActuals354[Loser],BD9)</f>
        <v>0</v>
      </c>
      <c r="BH9" s="4">
        <f>BF9+(3*BE9)</f>
        <v>0</v>
      </c>
      <c r="BI9" s="4">
        <f>SUMIFS(tblActuals354[Team 1 Goals],tblActuals354[Team 1],BD9)+SUMIFS(tblActuals354[Team 2 Goals],tblActuals354[Team 2],BD9)</f>
        <v>0</v>
      </c>
      <c r="BJ9" s="4">
        <f>SUMIFS(tblActuals354[Team 2 Goals],tblActuals354[Team 1],BD9)+SUMIFS(tblActuals354[Team 1 Goals],tblActuals354[Team 2],BD9)</f>
        <v>0</v>
      </c>
      <c r="BK9" s="4">
        <f>BI9-BJ9</f>
        <v>0</v>
      </c>
      <c r="BL9" s="4">
        <f ca="1">RANK(BY9,$BY$9:$BY$12,1)</f>
        <v>1</v>
      </c>
      <c r="BM9" s="4" t="str">
        <f t="shared" si="4"/>
        <v/>
      </c>
      <c r="BN9" s="4" t="str">
        <f ca="1">IF(BM9="",BL9&amp;BC9,BM9&amp;BC9)</f>
        <v>1B</v>
      </c>
      <c r="BO9" s="4">
        <f>RANK(BH9,$BH$9:$BH$12,0)</f>
        <v>1</v>
      </c>
      <c r="BP9" s="4" cm="1">
        <f t="array" aca="1" ref="BP9" ca="1">SUMPRODUCT((OFFSET($CV$3:$EA$3,MATCH($BD9,$CU$4:$CU$35,0),0))*((IF($BO11=$BO9,$CV$3:$EA$3=$BD11,0))+(IF($BO12=$BO9,$CV$3:$EA$3=$BD12,0))+(IF($BO10=$BO9,$CV$3:$EA$3=$BD10,0))))</f>
        <v>0</v>
      </c>
      <c r="BQ9" s="4" cm="1">
        <f t="array" aca="1" ref="BQ9" ca="1">SUMPRODUCT((OFFSET($ED$3:$FI$3,MATCH($BD9,$EC$4:$EC$35,0),0))*((IF($BO11=$BO9,$ED$3:$FI$3=$BD11,0))+(IF($BO12=$BO9,$ED$3:$FI$3=$BD12,0))+(IF($BO10=$BO9,$ED$3:$FI$3=$BD10,0))))</f>
        <v>0</v>
      </c>
      <c r="BR9" s="4" cm="1">
        <f t="array" aca="1" ref="BR9" ca="1">SUMPRODUCT((OFFSET($FL$3:$GQ$3,MATCH($BD9,$FK$4:$FK$35,0),0))*((IF($BO11=$BO9,$FL$3:$GQ$3=$BD11,0))+(IF($BO12=$BO9,$FL$3:$GQ$3=$BD12,0))+(IF($BO10=$BO9,$FL$3:$GQ$3=$BD10,0))))</f>
        <v>0</v>
      </c>
      <c r="BS9" s="4" cm="1">
        <f t="array" aca="1" ref="BS9" ca="1">SUMPRODUCT((OFFSET($CV$3:$EA$3,MATCH($BD9,$CU$4:$CU$35,0),0))*((IF($BO11&lt;&gt;$BO9,$CV$3:$EA$3=$BD11,0))+(IF($BO12&lt;&gt;$BO9,$CV$3:$EA$3=$BD12,0))+(IF($BO10&lt;&gt;$BO9,$CV$3:$EA$3=$BD10,0))))</f>
        <v>0</v>
      </c>
      <c r="BT9" s="4" cm="1">
        <f t="array" aca="1" ref="BT9" ca="1">SUMPRODUCT((OFFSET($ED$3:$FI$3,MATCH($BD9,$EC$4:$EC$35,0),0))*((IF($BO11&lt;&gt;$BO9,$ED$3:$FI$3=$BD11,0))+(IF($BO12&lt;&gt;$BO9,$ED$3:$FI$3=$BD12,0))+(IF($BO10&lt;&gt;$BO9,$ED$3:$FI$3=$BD10,0))))</f>
        <v>0</v>
      </c>
      <c r="BU9" s="4" cm="1">
        <f t="array" aca="1" ref="BU9" ca="1">SUMPRODUCT((OFFSET($FL$3:$GQ$3,MATCH($BD9,$FK$4:$FK$35,0),0))*((IF($BO11&lt;&gt;$BO9,$FL$3:$GQ$3=$BD11,0))+(IF($BO12&lt;&gt;$BO9,$FL$3:$GQ$3=$BD12,0))+(IF($BO10&lt;&gt;$BO9,$FL$3:$GQ$3=$BD10,0))))</f>
        <v>0</v>
      </c>
      <c r="BV9" s="4">
        <f>BK9</f>
        <v>0</v>
      </c>
      <c r="BW9" s="4">
        <f>BI9</f>
        <v>0</v>
      </c>
      <c r="BX9" s="4">
        <f ca="1">(BP9/10)+(BQ9/100)+(BR9/1000)+(BT9/10000)+(BU9/100000)+(BV9/1000000)+(BW9/10000000)+(ROW(BS12)/100000000)</f>
        <v>1.1999999999999999E-7</v>
      </c>
      <c r="BY9" s="4">
        <f ca="1">+BO9-BX9</f>
        <v>0.99999987999999995</v>
      </c>
      <c r="BZ9" s="4"/>
      <c r="CA9" s="4" t="s">
        <v>45</v>
      </c>
      <c r="CB9" s="4" t="str">
        <f ca="1">AV38</f>
        <v>Portugal</v>
      </c>
      <c r="CC9" s="4">
        <f t="shared" ca="1" si="5"/>
        <v>0</v>
      </c>
      <c r="CD9" s="4">
        <f t="shared" ca="1" si="6"/>
        <v>0</v>
      </c>
      <c r="CE9" s="4">
        <f t="shared" ca="1" si="7"/>
        <v>0</v>
      </c>
      <c r="CF9" s="4">
        <f t="shared" ca="1" si="8"/>
        <v>0</v>
      </c>
      <c r="CG9" s="4">
        <f t="shared" ca="1" si="9"/>
        <v>8.9999999999999996E-7</v>
      </c>
      <c r="CH9" s="4">
        <f t="shared" ca="1" si="10"/>
        <v>1</v>
      </c>
      <c r="CI9" s="4"/>
      <c r="CJ9" s="4"/>
      <c r="CK9" s="4"/>
      <c r="CL9" s="4"/>
      <c r="CM9" s="4"/>
      <c r="CN9" s="4"/>
      <c r="CO9" s="4"/>
      <c r="CP9" s="4"/>
      <c r="CQ9" s="4"/>
      <c r="CR9" s="4"/>
      <c r="CU9" s="4" t="s">
        <v>33</v>
      </c>
      <c r="CV9" s="56">
        <f>SUMIFS(tblActuals354[Team 2 Points],tblActuals354[Team 2],$CU9,tblActuals354[Team 1],CV$3)+SUMIFS(tblActuals354[Team 1 Points],tblActuals354[Team 1],$CU9,tblActuals354[Team 2],CV$3)</f>
        <v>0</v>
      </c>
      <c r="CW9" s="56">
        <f>SUMIFS(tblActuals354[Team 2 Points],tblActuals354[Team 2],$CU9,tblActuals354[Team 1],CW$3)+SUMIFS(tblActuals354[Team 1 Points],tblActuals354[Team 1],$CU9,tblActuals354[Team 2],CW$3)</f>
        <v>0</v>
      </c>
      <c r="CX9" s="56">
        <f>SUMIFS(tblActuals354[Team 2 Points],tblActuals354[Team 2],$CU9,tblActuals354[Team 1],CX$3)+SUMIFS(tblActuals354[Team 1 Points],tblActuals354[Team 1],$CU9,tblActuals354[Team 2],CX$3)</f>
        <v>0</v>
      </c>
      <c r="CY9" s="56">
        <f>SUMIFS(tblActuals354[Team 2 Points],tblActuals354[Team 2],$CU9,tblActuals354[Team 1],CY$3)+SUMIFS(tblActuals354[Team 1 Points],tblActuals354[Team 1],$CU9,tblActuals354[Team 2],CY$3)</f>
        <v>0</v>
      </c>
      <c r="CZ9" s="56">
        <f>SUMIFS(tblActuals354[Team 2 Points],tblActuals354[Team 2],$CU9,tblActuals354[Team 1],CZ$3)+SUMIFS(tblActuals354[Team 1 Points],tblActuals354[Team 1],$CU9,tblActuals354[Team 2],CZ$3)</f>
        <v>0</v>
      </c>
      <c r="DA9" s="56">
        <f>SUMIFS(tblActuals354[Team 2 Points],tblActuals354[Team 2],$CU9,tblActuals354[Team 1],DA$3)+SUMIFS(tblActuals354[Team 1 Points],tblActuals354[Team 1],$CU9,tblActuals354[Team 2],DA$3)</f>
        <v>0</v>
      </c>
      <c r="DB9" s="56">
        <f>SUMIFS(tblActuals354[Team 2 Points],tblActuals354[Team 2],$CU9,tblActuals354[Team 1],DB$3)+SUMIFS(tblActuals354[Team 1 Points],tblActuals354[Team 1],$CU9,tblActuals354[Team 2],DB$3)</f>
        <v>0</v>
      </c>
      <c r="DC9" s="56">
        <f>SUMIFS(tblActuals354[Team 2 Points],tblActuals354[Team 2],$CU9,tblActuals354[Team 1],DC$3)+SUMIFS(tblActuals354[Team 1 Points],tblActuals354[Team 1],$CU9,tblActuals354[Team 2],DC$3)</f>
        <v>0</v>
      </c>
      <c r="DD9" s="56">
        <f>SUMIFS(tblActuals354[Team 2 Points],tblActuals354[Team 2],$CU9,tblActuals354[Team 1],DD$3)+SUMIFS(tblActuals354[Team 1 Points],tblActuals354[Team 1],$CU9,tblActuals354[Team 2],DD$3)</f>
        <v>0</v>
      </c>
      <c r="DE9" s="56">
        <f>SUMIFS(tblActuals354[Team 2 Points],tblActuals354[Team 2],$CU9,tblActuals354[Team 1],DE$3)+SUMIFS(tblActuals354[Team 1 Points],tblActuals354[Team 1],$CU9,tblActuals354[Team 2],DE$3)</f>
        <v>0</v>
      </c>
      <c r="DF9" s="56">
        <f>SUMIFS(tblActuals354[Team 2 Points],tblActuals354[Team 2],$CU9,tblActuals354[Team 1],DF$3)+SUMIFS(tblActuals354[Team 1 Points],tblActuals354[Team 1],$CU9,tblActuals354[Team 2],DF$3)</f>
        <v>0</v>
      </c>
      <c r="DG9" s="56">
        <f>SUMIFS(tblActuals354[Team 2 Points],tblActuals354[Team 2],$CU9,tblActuals354[Team 1],DG$3)+SUMIFS(tblActuals354[Team 1 Points],tblActuals354[Team 1],$CU9,tblActuals354[Team 2],DG$3)</f>
        <v>0</v>
      </c>
      <c r="DH9" s="56">
        <f>SUMIFS(tblActuals354[Team 2 Points],tblActuals354[Team 2],$CU9,tblActuals354[Team 1],DH$3)+SUMIFS(tblActuals354[Team 1 Points],tblActuals354[Team 1],$CU9,tblActuals354[Team 2],DH$3)</f>
        <v>0</v>
      </c>
      <c r="DI9" s="56">
        <f>SUMIFS(tblActuals354[Team 2 Points],tblActuals354[Team 2],$CU9,tblActuals354[Team 1],DI$3)+SUMIFS(tblActuals354[Team 1 Points],tblActuals354[Team 1],$CU9,tblActuals354[Team 2],DI$3)</f>
        <v>0</v>
      </c>
      <c r="DJ9" s="56">
        <f>SUMIFS(tblActuals354[Team 2 Points],tblActuals354[Team 2],$CU9,tblActuals354[Team 1],DJ$3)+SUMIFS(tblActuals354[Team 1 Points],tblActuals354[Team 1],$CU9,tblActuals354[Team 2],DJ$3)</f>
        <v>0</v>
      </c>
      <c r="DK9" s="56">
        <f>SUMIFS(tblActuals354[Team 2 Points],tblActuals354[Team 2],$CU9,tblActuals354[Team 1],DK$3)+SUMIFS(tblActuals354[Team 1 Points],tblActuals354[Team 1],$CU9,tblActuals354[Team 2],DK$3)</f>
        <v>0</v>
      </c>
      <c r="DL9" s="56">
        <f>SUMIFS(tblActuals354[Team 2 Points],tblActuals354[Team 2],$CU9,tblActuals354[Team 1],DL$3)+SUMIFS(tblActuals354[Team 1 Points],tblActuals354[Team 1],$CU9,tblActuals354[Team 2],DL$3)</f>
        <v>0</v>
      </c>
      <c r="DM9" s="56">
        <f>SUMIFS(tblActuals354[Team 2 Points],tblActuals354[Team 2],$CU9,tblActuals354[Team 1],DM$3)+SUMIFS(tblActuals354[Team 1 Points],tblActuals354[Team 1],$CU9,tblActuals354[Team 2],DM$3)</f>
        <v>0</v>
      </c>
      <c r="DN9" s="56">
        <f>SUMIFS(tblActuals354[Team 2 Points],tblActuals354[Team 2],$CU9,tblActuals354[Team 1],DN$3)+SUMIFS(tblActuals354[Team 1 Points],tblActuals354[Team 1],$CU9,tblActuals354[Team 2],DN$3)</f>
        <v>0</v>
      </c>
      <c r="DO9" s="56">
        <f>SUMIFS(tblActuals354[Team 2 Points],tblActuals354[Team 2],$CU9,tblActuals354[Team 1],DO$3)+SUMIFS(tblActuals354[Team 1 Points],tblActuals354[Team 1],$CU9,tblActuals354[Team 2],DO$3)</f>
        <v>0</v>
      </c>
      <c r="DP9" s="56">
        <f>SUMIFS(tblActuals354[Team 2 Points],tblActuals354[Team 2],$CU9,tblActuals354[Team 1],DP$3)+SUMIFS(tblActuals354[Team 1 Points],tblActuals354[Team 1],$CU9,tblActuals354[Team 2],DP$3)</f>
        <v>0</v>
      </c>
      <c r="DQ9" s="56">
        <f>SUMIFS(tblActuals354[Team 2 Points],tblActuals354[Team 2],$CU9,tblActuals354[Team 1],DQ$3)+SUMIFS(tblActuals354[Team 1 Points],tblActuals354[Team 1],$CU9,tblActuals354[Team 2],DQ$3)</f>
        <v>0</v>
      </c>
      <c r="DR9" s="56">
        <f>SUMIFS(tblActuals354[Team 2 Points],tblActuals354[Team 2],$CU9,tblActuals354[Team 1],DR$3)+SUMIFS(tblActuals354[Team 1 Points],tblActuals354[Team 1],$CU9,tblActuals354[Team 2],DR$3)</f>
        <v>0</v>
      </c>
      <c r="DS9" s="56">
        <f>SUMIFS(tblActuals354[Team 2 Points],tblActuals354[Team 2],$CU9,tblActuals354[Team 1],DS$3)+SUMIFS(tblActuals354[Team 1 Points],tblActuals354[Team 1],$CU9,tblActuals354[Team 2],DS$3)</f>
        <v>0</v>
      </c>
      <c r="DT9" s="57"/>
      <c r="DU9" s="57"/>
      <c r="DV9" s="57"/>
      <c r="DW9" s="57"/>
      <c r="DX9" s="57"/>
      <c r="DY9" s="57"/>
      <c r="DZ9" s="57"/>
      <c r="EA9" s="57"/>
      <c r="EB9" s="4"/>
      <c r="EC9" s="4" t="s">
        <v>33</v>
      </c>
      <c r="ED9" s="56">
        <f>SUMIFS(tblActuals354[Team 2 GD],tblActuals354[Team 2],$CU9,tblActuals354[Team 1],ED$3)+SUMIFS(tblActuals354[Team 1 GD],tblActuals354[Team 1],$CU9,tblActuals354[Team 2],ED$3)</f>
        <v>0</v>
      </c>
      <c r="EE9" s="56">
        <f>SUMIFS(tblActuals354[Team 2 GD],tblActuals354[Team 2],$CU9,tblActuals354[Team 1],EE$3)+SUMIFS(tblActuals354[Team 1 GD],tblActuals354[Team 1],$CU9,tblActuals354[Team 2],EE$3)</f>
        <v>0</v>
      </c>
      <c r="EF9" s="56">
        <f>SUMIFS(tblActuals354[Team 2 GD],tblActuals354[Team 2],$CU9,tblActuals354[Team 1],EF$3)+SUMIFS(tblActuals354[Team 1 GD],tblActuals354[Team 1],$CU9,tblActuals354[Team 2],EF$3)</f>
        <v>0</v>
      </c>
      <c r="EG9" s="56">
        <f>SUMIFS(tblActuals354[Team 2 GD],tblActuals354[Team 2],$CU9,tblActuals354[Team 1],EG$3)+SUMIFS(tblActuals354[Team 1 GD],tblActuals354[Team 1],$CU9,tblActuals354[Team 2],EG$3)</f>
        <v>0</v>
      </c>
      <c r="EH9" s="56">
        <f>SUMIFS(tblActuals354[Team 2 GD],tblActuals354[Team 2],$CU9,tblActuals354[Team 1],EH$3)+SUMIFS(tblActuals354[Team 1 GD],tblActuals354[Team 1],$CU9,tblActuals354[Team 2],EH$3)</f>
        <v>0</v>
      </c>
      <c r="EI9" s="56">
        <f>SUMIFS(tblActuals354[Team 2 GD],tblActuals354[Team 2],$CU9,tblActuals354[Team 1],EI$3)+SUMIFS(tblActuals354[Team 1 GD],tblActuals354[Team 1],$CU9,tblActuals354[Team 2],EI$3)</f>
        <v>0</v>
      </c>
      <c r="EJ9" s="56">
        <f>SUMIFS(tblActuals354[Team 2 GD],tblActuals354[Team 2],$CU9,tblActuals354[Team 1],EJ$3)+SUMIFS(tblActuals354[Team 1 GD],tblActuals354[Team 1],$CU9,tblActuals354[Team 2],EJ$3)</f>
        <v>0</v>
      </c>
      <c r="EK9" s="56">
        <f>SUMIFS(tblActuals354[Team 2 GD],tblActuals354[Team 2],$CU9,tblActuals354[Team 1],EK$3)+SUMIFS(tblActuals354[Team 1 GD],tblActuals354[Team 1],$CU9,tblActuals354[Team 2],EK$3)</f>
        <v>0</v>
      </c>
      <c r="EL9" s="56">
        <f>SUMIFS(tblActuals354[Team 2 GD],tblActuals354[Team 2],$CU9,tblActuals354[Team 1],EL$3)+SUMIFS(tblActuals354[Team 1 GD],tblActuals354[Team 1],$CU9,tblActuals354[Team 2],EL$3)</f>
        <v>0</v>
      </c>
      <c r="EM9" s="56">
        <f>SUMIFS(tblActuals354[Team 2 GD],tblActuals354[Team 2],$CU9,tblActuals354[Team 1],EM$3)+SUMIFS(tblActuals354[Team 1 GD],tblActuals354[Team 1],$CU9,tblActuals354[Team 2],EM$3)</f>
        <v>0</v>
      </c>
      <c r="EN9" s="56">
        <f>SUMIFS(tblActuals354[Team 2 GD],tblActuals354[Team 2],$CU9,tblActuals354[Team 1],EN$3)+SUMIFS(tblActuals354[Team 1 GD],tblActuals354[Team 1],$CU9,tblActuals354[Team 2],EN$3)</f>
        <v>0</v>
      </c>
      <c r="EO9" s="56">
        <f>SUMIFS(tblActuals354[Team 2 GD],tblActuals354[Team 2],$CU9,tblActuals354[Team 1],EO$3)+SUMIFS(tblActuals354[Team 1 GD],tblActuals354[Team 1],$CU9,tblActuals354[Team 2],EO$3)</f>
        <v>0</v>
      </c>
      <c r="EP9" s="56">
        <f>SUMIFS(tblActuals354[Team 2 GD],tblActuals354[Team 2],$CU9,tblActuals354[Team 1],EP$3)+SUMIFS(tblActuals354[Team 1 GD],tblActuals354[Team 1],$CU9,tblActuals354[Team 2],EP$3)</f>
        <v>0</v>
      </c>
      <c r="EQ9" s="56">
        <f>SUMIFS(tblActuals354[Team 2 GD],tblActuals354[Team 2],$CU9,tblActuals354[Team 1],EQ$3)+SUMIFS(tblActuals354[Team 1 GD],tblActuals354[Team 1],$CU9,tblActuals354[Team 2],EQ$3)</f>
        <v>0</v>
      </c>
      <c r="ER9" s="56">
        <f>SUMIFS(tblActuals354[Team 2 GD],tblActuals354[Team 2],$CU9,tblActuals354[Team 1],ER$3)+SUMIFS(tblActuals354[Team 1 GD],tblActuals354[Team 1],$CU9,tblActuals354[Team 2],ER$3)</f>
        <v>0</v>
      </c>
      <c r="ES9" s="56">
        <f>SUMIFS(tblActuals354[Team 2 GD],tblActuals354[Team 2],$CU9,tblActuals354[Team 1],ES$3)+SUMIFS(tblActuals354[Team 1 GD],tblActuals354[Team 1],$CU9,tblActuals354[Team 2],ES$3)</f>
        <v>0</v>
      </c>
      <c r="ET9" s="56">
        <f>SUMIFS(tblActuals354[Team 2 GD],tblActuals354[Team 2],$CU9,tblActuals354[Team 1],ET$3)+SUMIFS(tblActuals354[Team 1 GD],tblActuals354[Team 1],$CU9,tblActuals354[Team 2],ET$3)</f>
        <v>0</v>
      </c>
      <c r="EU9" s="56">
        <f>SUMIFS(tblActuals354[Team 2 GD],tblActuals354[Team 2],$CU9,tblActuals354[Team 1],EU$3)+SUMIFS(tblActuals354[Team 1 GD],tblActuals354[Team 1],$CU9,tblActuals354[Team 2],EU$3)</f>
        <v>0</v>
      </c>
      <c r="EV9" s="56">
        <f>SUMIFS(tblActuals354[Team 2 GD],tblActuals354[Team 2],$CU9,tblActuals354[Team 1],EV$3)+SUMIFS(tblActuals354[Team 1 GD],tblActuals354[Team 1],$CU9,tblActuals354[Team 2],EV$3)</f>
        <v>0</v>
      </c>
      <c r="EW9" s="56">
        <f>SUMIFS(tblActuals354[Team 2 GD],tblActuals354[Team 2],$CU9,tblActuals354[Team 1],EW$3)+SUMIFS(tblActuals354[Team 1 GD],tblActuals354[Team 1],$CU9,tblActuals354[Team 2],EW$3)</f>
        <v>0</v>
      </c>
      <c r="EX9" s="56">
        <f>SUMIFS(tblActuals354[Team 2 GD],tblActuals354[Team 2],$CU9,tblActuals354[Team 1],EX$3)+SUMIFS(tblActuals354[Team 1 GD],tblActuals354[Team 1],$CU9,tblActuals354[Team 2],EX$3)</f>
        <v>0</v>
      </c>
      <c r="EY9" s="56">
        <f>SUMIFS(tblActuals354[Team 2 GD],tblActuals354[Team 2],$CU9,tblActuals354[Team 1],EY$3)+SUMIFS(tblActuals354[Team 1 GD],tblActuals354[Team 1],$CU9,tblActuals354[Team 2],EY$3)</f>
        <v>0</v>
      </c>
      <c r="EZ9" s="56">
        <f>SUMIFS(tblActuals354[Team 2 GD],tblActuals354[Team 2],$CU9,tblActuals354[Team 1],EZ$3)+SUMIFS(tblActuals354[Team 1 GD],tblActuals354[Team 1],$CU9,tblActuals354[Team 2],EZ$3)</f>
        <v>0</v>
      </c>
      <c r="FA9" s="56">
        <f>SUMIFS(tblActuals354[Team 2 GD],tblActuals354[Team 2],$CU9,tblActuals354[Team 1],FA$3)+SUMIFS(tblActuals354[Team 1 GD],tblActuals354[Team 1],$CU9,tblActuals354[Team 2],FA$3)</f>
        <v>0</v>
      </c>
      <c r="FB9" s="57"/>
      <c r="FC9" s="57"/>
      <c r="FD9" s="57"/>
      <c r="FE9" s="57"/>
      <c r="FF9" s="57"/>
      <c r="FG9" s="57"/>
      <c r="FH9" s="57"/>
      <c r="FI9" s="57"/>
      <c r="FJ9" s="4"/>
      <c r="FK9" s="4" t="s">
        <v>33</v>
      </c>
      <c r="FL9" s="56">
        <f>SUMIFS(tblActuals354[Team 2 Goals],tblActuals354[Team 2],$CU9,tblActuals354[Team 1],FL$3)+SUMIFS(tblActuals354[Team 1 Goals],tblActuals354[Team 1],$CU9,tblActuals354[Team 2],FL$3)</f>
        <v>0</v>
      </c>
      <c r="FM9" s="56">
        <f>SUMIFS(tblActuals354[Team 2 Goals],tblActuals354[Team 2],$CU9,tblActuals354[Team 1],FM$3)+SUMIFS(tblActuals354[Team 1 Goals],tblActuals354[Team 1],$CU9,tblActuals354[Team 2],FM$3)</f>
        <v>0</v>
      </c>
      <c r="FN9" s="56">
        <f>SUMIFS(tblActuals354[Team 2 Goals],tblActuals354[Team 2],$CU9,tblActuals354[Team 1],FN$3)+SUMIFS(tblActuals354[Team 1 Goals],tblActuals354[Team 1],$CU9,tblActuals354[Team 2],FN$3)</f>
        <v>0</v>
      </c>
      <c r="FO9" s="56">
        <f>SUMIFS(tblActuals354[Team 2 Goals],tblActuals354[Team 2],$CU9,tblActuals354[Team 1],FO$3)+SUMIFS(tblActuals354[Team 1 Goals],tblActuals354[Team 1],$CU9,tblActuals354[Team 2],FO$3)</f>
        <v>0</v>
      </c>
      <c r="FP9" s="56">
        <f>SUMIFS(tblActuals354[Team 2 Goals],tblActuals354[Team 2],$CU9,tblActuals354[Team 1],FP$3)+SUMIFS(tblActuals354[Team 1 Goals],tblActuals354[Team 1],$CU9,tblActuals354[Team 2],FP$3)</f>
        <v>0</v>
      </c>
      <c r="FQ9" s="56">
        <f>SUMIFS(tblActuals354[Team 2 Goals],tblActuals354[Team 2],$CU9,tblActuals354[Team 1],FQ$3)+SUMIFS(tblActuals354[Team 1 Goals],tblActuals354[Team 1],$CU9,tblActuals354[Team 2],FQ$3)</f>
        <v>0</v>
      </c>
      <c r="FR9" s="56">
        <f>SUMIFS(tblActuals354[Team 2 Goals],tblActuals354[Team 2],$CU9,tblActuals354[Team 1],FR$3)+SUMIFS(tblActuals354[Team 1 Goals],tblActuals354[Team 1],$CU9,tblActuals354[Team 2],FR$3)</f>
        <v>0</v>
      </c>
      <c r="FS9" s="56">
        <f>SUMIFS(tblActuals354[Team 2 Goals],tblActuals354[Team 2],$CU9,tblActuals354[Team 1],FS$3)+SUMIFS(tblActuals354[Team 1 Goals],tblActuals354[Team 1],$CU9,tblActuals354[Team 2],FS$3)</f>
        <v>0</v>
      </c>
      <c r="FT9" s="56">
        <f>SUMIFS(tblActuals354[Team 2 Goals],tblActuals354[Team 2],$CU9,tblActuals354[Team 1],FT$3)+SUMIFS(tblActuals354[Team 1 Goals],tblActuals354[Team 1],$CU9,tblActuals354[Team 2],FT$3)</f>
        <v>0</v>
      </c>
      <c r="FU9" s="56">
        <f>SUMIFS(tblActuals354[Team 2 Goals],tblActuals354[Team 2],$CU9,tblActuals354[Team 1],FU$3)+SUMIFS(tblActuals354[Team 1 Goals],tblActuals354[Team 1],$CU9,tblActuals354[Team 2],FU$3)</f>
        <v>0</v>
      </c>
      <c r="FV9" s="56">
        <f>SUMIFS(tblActuals354[Team 2 Goals],tblActuals354[Team 2],$CU9,tblActuals354[Team 1],FV$3)+SUMIFS(tblActuals354[Team 1 Goals],tblActuals354[Team 1],$CU9,tblActuals354[Team 2],FV$3)</f>
        <v>0</v>
      </c>
      <c r="FW9" s="56">
        <f>SUMIFS(tblActuals354[Team 2 Goals],tblActuals354[Team 2],$CU9,tblActuals354[Team 1],FW$3)+SUMIFS(tblActuals354[Team 1 Goals],tblActuals354[Team 1],$CU9,tblActuals354[Team 2],FW$3)</f>
        <v>0</v>
      </c>
      <c r="FX9" s="56">
        <f>SUMIFS(tblActuals354[Team 2 Goals],tblActuals354[Team 2],$CU9,tblActuals354[Team 1],FX$3)+SUMIFS(tblActuals354[Team 1 Goals],tblActuals354[Team 1],$CU9,tblActuals354[Team 2],FX$3)</f>
        <v>0</v>
      </c>
      <c r="FY9" s="56">
        <f>SUMIFS(tblActuals354[Team 2 Goals],tblActuals354[Team 2],$CU9,tblActuals354[Team 1],FY$3)+SUMIFS(tblActuals354[Team 1 Goals],tblActuals354[Team 1],$CU9,tblActuals354[Team 2],FY$3)</f>
        <v>0</v>
      </c>
      <c r="FZ9" s="56">
        <f>SUMIFS(tblActuals354[Team 2 Goals],tblActuals354[Team 2],$CU9,tblActuals354[Team 1],FZ$3)+SUMIFS(tblActuals354[Team 1 Goals],tblActuals354[Team 1],$CU9,tblActuals354[Team 2],FZ$3)</f>
        <v>0</v>
      </c>
      <c r="GA9" s="56">
        <f>SUMIFS(tblActuals354[Team 2 Goals],tblActuals354[Team 2],$CU9,tblActuals354[Team 1],GA$3)+SUMIFS(tblActuals354[Team 1 Goals],tblActuals354[Team 1],$CU9,tblActuals354[Team 2],GA$3)</f>
        <v>0</v>
      </c>
      <c r="GB9" s="56">
        <f>SUMIFS(tblActuals354[Team 2 Goals],tblActuals354[Team 2],$CU9,tblActuals354[Team 1],GB$3)+SUMIFS(tblActuals354[Team 1 Goals],tblActuals354[Team 1],$CU9,tblActuals354[Team 2],GB$3)</f>
        <v>0</v>
      </c>
      <c r="GC9" s="56">
        <f>SUMIFS(tblActuals354[Team 2 Goals],tblActuals354[Team 2],$CU9,tblActuals354[Team 1],GC$3)+SUMIFS(tblActuals354[Team 1 Goals],tblActuals354[Team 1],$CU9,tblActuals354[Team 2],GC$3)</f>
        <v>0</v>
      </c>
      <c r="GD9" s="56">
        <f>SUMIFS(tblActuals354[Team 2 Goals],tblActuals354[Team 2],$CU9,tblActuals354[Team 1],GD$3)+SUMIFS(tblActuals354[Team 1 Goals],tblActuals354[Team 1],$CU9,tblActuals354[Team 2],GD$3)</f>
        <v>0</v>
      </c>
      <c r="GE9" s="56">
        <f>SUMIFS(tblActuals354[Team 2 Goals],tblActuals354[Team 2],$CU9,tblActuals354[Team 1],GE$3)+SUMIFS(tblActuals354[Team 1 Goals],tblActuals354[Team 1],$CU9,tblActuals354[Team 2],GE$3)</f>
        <v>0</v>
      </c>
      <c r="GF9" s="56">
        <f>SUMIFS(tblActuals354[Team 2 Goals],tblActuals354[Team 2],$CU9,tblActuals354[Team 1],GF$3)+SUMIFS(tblActuals354[Team 1 Goals],tblActuals354[Team 1],$CU9,tblActuals354[Team 2],GF$3)</f>
        <v>0</v>
      </c>
      <c r="GG9" s="56">
        <f>SUMIFS(tblActuals354[Team 2 Goals],tblActuals354[Team 2],$CU9,tblActuals354[Team 1],GG$3)+SUMIFS(tblActuals354[Team 1 Goals],tblActuals354[Team 1],$CU9,tblActuals354[Team 2],GG$3)</f>
        <v>0</v>
      </c>
      <c r="GH9" s="56">
        <f>SUMIFS(tblActuals354[Team 2 Goals],tblActuals354[Team 2],$CU9,tblActuals354[Team 1],GH$3)+SUMIFS(tblActuals354[Team 1 Goals],tblActuals354[Team 1],$CU9,tblActuals354[Team 2],GH$3)</f>
        <v>0</v>
      </c>
      <c r="GI9" s="56">
        <f>SUMIFS(tblActuals354[Team 2 Goals],tblActuals354[Team 2],$CU9,tblActuals354[Team 1],GI$3)+SUMIFS(tblActuals354[Team 1 Goals],tblActuals354[Team 1],$CU9,tblActuals354[Team 2],GI$3)</f>
        <v>0</v>
      </c>
      <c r="GJ9" s="57"/>
      <c r="GK9" s="57"/>
      <c r="GL9" s="37"/>
      <c r="GM9" s="37"/>
      <c r="GN9" s="37"/>
      <c r="GO9" s="37"/>
      <c r="GP9" s="37"/>
      <c r="GQ9" s="37"/>
      <c r="GR9" s="75"/>
      <c r="GS9" s="156"/>
      <c r="GT9" s="156"/>
      <c r="GU9" s="75"/>
      <c r="GV9" s="22"/>
      <c r="GW9" s="75"/>
      <c r="GX9" s="75"/>
      <c r="GY9" s="75"/>
      <c r="GZ9" s="75"/>
      <c r="HB9" s="4" t="str">
        <f t="shared" si="12"/>
        <v>ABDF</v>
      </c>
      <c r="HC9" s="44" t="s">
        <v>1</v>
      </c>
      <c r="HD9" s="44" t="s">
        <v>5</v>
      </c>
      <c r="HE9" s="45"/>
      <c r="HF9" s="44" t="s">
        <v>7</v>
      </c>
      <c r="HG9" s="45"/>
      <c r="HH9" s="44" t="s">
        <v>45</v>
      </c>
      <c r="HI9" s="178"/>
      <c r="HJ9" s="45" t="s">
        <v>150</v>
      </c>
      <c r="HK9" s="45" t="s">
        <v>154</v>
      </c>
      <c r="HL9" s="45" t="s">
        <v>149</v>
      </c>
      <c r="HM9" s="45" t="s">
        <v>151</v>
      </c>
    </row>
    <row r="10" spans="1:221" s="11" customFormat="1" ht="30" customHeight="1" thickBot="1" x14ac:dyDescent="0.25">
      <c r="A10" s="20"/>
      <c r="B10" s="122">
        <v>7</v>
      </c>
      <c r="C10" s="122" t="s">
        <v>7</v>
      </c>
      <c r="D10" s="123">
        <v>45459</v>
      </c>
      <c r="E10" s="122" t="s">
        <v>84</v>
      </c>
      <c r="F10" s="124">
        <v>0.625</v>
      </c>
      <c r="G10" s="125">
        <f t="shared" si="11"/>
        <v>45459.375</v>
      </c>
      <c r="H10" s="122" t="s">
        <v>95</v>
      </c>
      <c r="I10" s="126"/>
      <c r="J10" s="118"/>
      <c r="K10" s="118"/>
      <c r="L10" s="174">
        <f>IF(I10="",0,IFERROR(IF(SCORING.RULES!$C$8="No",1,((VLOOKUP($B10,ACTUALS!$B$4:$L$100,7,FALSE)=$H10)+(VLOOKUP($B10,ACTUALS!$B$4:$L$100,7,FALSE)=S10)))*(M10+N10+O10+P10+Q10),0))+$R10</f>
        <v>0</v>
      </c>
      <c r="M10" s="168">
        <f>IFERROR(IF($B10="","",IF(U10=INDEX(ACTUALS!$AA$4:$AA$100,MATCH($B10,ACTUALS!$B$4:$B$100,0),1),CorrectScore,0)),0)</f>
        <v>0</v>
      </c>
      <c r="N10" s="157" t="str">
        <f>IFERROR(IF(I10="","",IF(INDEX(ACTUALS!$AB$4:$AB$100,MATCH($B10,ACTUALS!$B$4:$B$100,0),1)=(AB10+AC10+AH10+AI10),CorrectNumberofGoals,0)),0)</f>
        <v/>
      </c>
      <c r="O10" s="157"/>
      <c r="P10" s="157">
        <f>IFERROR(IF(B10="","",IF(INDEX(ACTUALS!$L$4:$L$100,MATCH($B10,ACTUALS!$B$4:$B$100,0),1)=W10,CorrectResult,0)),0)</f>
        <v>3</v>
      </c>
      <c r="Q10" s="157"/>
      <c r="R10" s="157"/>
      <c r="S10" s="157" t="str">
        <f t="shared" si="0"/>
        <v/>
      </c>
      <c r="T10" s="157"/>
      <c r="U10" s="157" t="str">
        <f t="shared" si="1"/>
        <v/>
      </c>
      <c r="V10" s="157" t="str">
        <f t="shared" si="2"/>
        <v/>
      </c>
      <c r="W10" s="119" t="str">
        <f>IF(tblActuals354[[#This Row],[SCORE]]="","",IF(AB10=AC10,"Draw",IF(AB10&gt;AC10,X10,Y10)))</f>
        <v/>
      </c>
      <c r="X10" s="120" t="str">
        <f>IF(tblActuals354[[#This Row],[TEAMS]]="","",LEFT(H10,FIND(" -",H10,1)-1))</f>
        <v>Poland</v>
      </c>
      <c r="Y10" s="120" t="str">
        <f>IF(tblActuals354[[#This Row],[TEAMS]]="","",MID(H10,FIND("-",H10,1)+2,LEN(H10)-FIND("-",H10,1)+2))</f>
        <v>Netherlands</v>
      </c>
      <c r="Z10" s="120" t="str">
        <f>IF(tblActuals354[[#This Row],[Team 1 Goals]]&gt;tblActuals354[[#This Row],[Team 2 Goals]],tblActuals354[[#This Row],[Team 1]],IF(tblActuals354[[#This Row],[Team 2 Goals]]&gt;tblActuals354[[#This Row],[Team 1 Goals]],tblActuals354[[#This Row],[Team 2]],""))</f>
        <v/>
      </c>
      <c r="AA10" s="120" t="str">
        <f>IF(tblActuals354[[#This Row],[Winner]]=tblActuals354[[#This Row],[Team 1]],tblActuals354[[#This Row],[Team 2]],IF(tblActuals354[[#This Row],[Winner]]=tblActuals354[[#This Row],[Team 2]],tblActuals354[[#This Row],[Team 1]],""))</f>
        <v/>
      </c>
      <c r="AB10" s="120" t="str">
        <f>IF(tblActuals354[[#This Row],[SCORE]]="","",LEFT(I10,FIND(":",I10,1)-1)*1)</f>
        <v/>
      </c>
      <c r="AC10" s="120" t="str">
        <f>IF(tblActuals354[[#This Row],[SCORE]]="","",MID(I10,FIND(":",I10,1)+1,LEN(I10)-FIND(":",I10,1)+1)*1)</f>
        <v/>
      </c>
      <c r="AD10" s="120" t="str">
        <f>IF(OR(tblActuals354[[#This Row],[Team 1 Goals]]="",tblActuals354[[#This Row],[Team 2 Goals]]=""),"",tblActuals354[[#This Row],[Team 1 Goals]]-tblActuals354[[#This Row],[Team 2 Goals]])</f>
        <v/>
      </c>
      <c r="AE10" s="120" t="str">
        <f>IF(OR(tblActuals354[[#This Row],[Team 1 Goals]]="",tblActuals354[[#This Row],[Team 2 Goals]]=""),"",tblActuals354[[#This Row],[Team 2 Goals]]-tblActuals354[[#This Row],[Team 1 Goals]])</f>
        <v/>
      </c>
      <c r="AF10" s="120" t="str">
        <f>IF(tblActuals354[[#This Row],[SCORE]]="","",IF(tblActuals354[[#This Row],[WINNER / RESULT]]="Draw",1,IF(tblActuals354[[#This Row],[WINNER / RESULT]]=tblActuals354[[#This Row],[Team 1]],3,0)))</f>
        <v/>
      </c>
      <c r="AG10" s="120" t="str">
        <f>IF(tblActuals354[[#This Row],[SCORE]]="","",IF(tblActuals354[[#This Row],[WINNER / RESULT]]="Draw",1,IF(tblActuals354[[#This Row],[WINNER / RESULT]]=tblActuals354[[#This Row],[Team 2]],3,0)))</f>
        <v/>
      </c>
      <c r="AH10" s="121"/>
      <c r="AI10" s="121"/>
      <c r="AJ10" s="121"/>
      <c r="AK10" s="121"/>
      <c r="AL10" s="120" t="e">
        <f>tblActuals354[[#This Row],[Team 1 Goals]]+tblActuals354[[#This Row],[Team 1 ET Goals]]&amp;":"&amp;tblActuals354[[#This Row],[Team 2 Goals]]+tblActuals354[[#This Row],[Team 2 ET Goals]]</f>
        <v>#VALUE!</v>
      </c>
      <c r="AM10" s="120" t="e">
        <f>+tblActuals354[[#This Row],[Team 1 Goals]]+tblActuals354[[#This Row],[Team 2 Goals]]</f>
        <v>#VALUE!</v>
      </c>
      <c r="AN10" s="161">
        <f t="shared" si="3"/>
        <v>45459</v>
      </c>
      <c r="AP10" s="38" t="s">
        <v>82</v>
      </c>
      <c r="AT10" s="77"/>
      <c r="AU10" s="148"/>
      <c r="AV10" s="148"/>
      <c r="AW10" s="148"/>
      <c r="AX10" s="148"/>
      <c r="AY10" s="148"/>
      <c r="AZ10" s="75"/>
      <c r="BA10" s="42"/>
      <c r="BB10" s="4"/>
      <c r="BC10" s="4" t="s">
        <v>5</v>
      </c>
      <c r="BD10" s="4" t="s">
        <v>33</v>
      </c>
      <c r="BE10" s="4">
        <f>COUNTIF(tblActuals354[Winner],BD10)</f>
        <v>0</v>
      </c>
      <c r="BF10" s="4">
        <f>COUNTIFS(tblActuals354[Team 2],BD10,tblActuals354[WINNER / RESULT],"Draw")+COUNTIFS(tblActuals354[Team 1],BD10,tblActuals354[WINNER / RESULT],"Draw")</f>
        <v>0</v>
      </c>
      <c r="BG10" s="4">
        <f>COUNTIF(tblActuals354[Loser],BD10)</f>
        <v>0</v>
      </c>
      <c r="BH10" s="4">
        <f>BF10+(3*BE10)</f>
        <v>0</v>
      </c>
      <c r="BI10" s="4">
        <f>SUMIFS(tblActuals354[Team 1 Goals],tblActuals354[Team 1],BD10)+SUMIFS(tblActuals354[Team 2 Goals],tblActuals354[Team 2],BD10)</f>
        <v>0</v>
      </c>
      <c r="BJ10" s="4">
        <f>SUMIFS(tblActuals354[Team 2 Goals],tblActuals354[Team 1],BD10)+SUMIFS(tblActuals354[Team 1 Goals],tblActuals354[Team 2],BD10)</f>
        <v>0</v>
      </c>
      <c r="BK10" s="4">
        <f>BI10-BJ10</f>
        <v>0</v>
      </c>
      <c r="BL10" s="4">
        <f ca="1">RANK(BY10,$BY$9:$BY$12,1)</f>
        <v>2</v>
      </c>
      <c r="BM10" s="4" t="str">
        <f t="shared" si="4"/>
        <v/>
      </c>
      <c r="BN10" s="4" t="str">
        <f ca="1">IF(BM10="",BL10&amp;BC10,BM10&amp;BC10)</f>
        <v>2B</v>
      </c>
      <c r="BO10" s="4">
        <f>RANK(BH10,$BH$9:$BH$12,0)</f>
        <v>1</v>
      </c>
      <c r="BP10" s="4" cm="1">
        <f t="array" aca="1" ref="BP10" ca="1">SUMPRODUCT((OFFSET($CV$3:$EA$3,MATCH($BD10,$CU$4:$CU$35,0),0))*((IF($BO11=$BO10,$CV$3:$EA$3=$BD11,0))+(IF($BO12=$BO10,$CV$3:$EA$3=$BD12,0))+(IF($BO9=$BO10,$CV$3:$EA$3=$BD9,0))))</f>
        <v>0</v>
      </c>
      <c r="BQ10" s="4" cm="1">
        <f t="array" aca="1" ref="BQ10" ca="1">SUMPRODUCT((OFFSET($ED$3:$FI$3,MATCH($BD10,$EC$4:$EC$35,0),0))*((IF($BO11=$BO10,$ED$3:$FI$3=$BD11,0))+(IF($BO12=$BO10,$ED$3:$FI$3=$BD12,0))+(IF($BO9=$BO10,$ED$3:$FI$3=$BD9,0))))</f>
        <v>0</v>
      </c>
      <c r="BR10" s="4" cm="1">
        <f t="array" aca="1" ref="BR10" ca="1">SUMPRODUCT((OFFSET($FL$3:$GQ$3,MATCH($BD10,$FK$4:$FK$35,0),0))*((IF($BO11=$BO10,$FL$3:$GQ$3=$BD11,0))+(IF($BO12=$BO10,$FL$3:$GQ$3=$BD12,0))+(IF($BO9=$BO10,$FL$3:$GQ$3=$BD9,0))))</f>
        <v>0</v>
      </c>
      <c r="BS10" s="4" cm="1">
        <f t="array" aca="1" ref="BS10" ca="1">SUMPRODUCT((OFFSET($CV$3:$EA$3,MATCH($BD10,$CU$4:$CU$35,0),0))*((IF($BO11&lt;&gt;$BO10,$CV$3:$EA$3=$BD11,0))+(IF($BO12&lt;&gt;$BO10,$CV$3:$EA$3=$BD12,0))+(IF($BO9&lt;&gt;$BO10,$CV$3:$EA$3=$BD9,0))))</f>
        <v>0</v>
      </c>
      <c r="BT10" s="4" cm="1">
        <f t="array" aca="1" ref="BT10" ca="1">SUMPRODUCT((OFFSET($ED$3:$FI$3,MATCH($BD10,$EC$4:$EC$35,0),0))*((IF($BO11&lt;&gt;$BO10,$ED$3:$FI$3=$BD11,0))+(IF($BO12&lt;&gt;$BO10,$ED$3:$FI$3=$BD12,0))+(IF($BO9&lt;&gt;$BO10,$ED$3:$FI$3=$BD9,0))))</f>
        <v>0</v>
      </c>
      <c r="BU10" s="4" cm="1">
        <f t="array" aca="1" ref="BU10" ca="1">SUMPRODUCT((OFFSET($FL$3:$GQ$3,MATCH($BD10,$FK$4:$FK$35,0),0))*((IF($BO11&lt;&gt;$BO10,$FL$3:$GQ$3=$BD11,0))+(IF($BO12&lt;&gt;$BO10,$FL$3:$GQ$3=$BD12,0))+(IF($BO9&lt;&gt;$BO10,$FL$3:$GQ$3=$BD9,0))))</f>
        <v>0</v>
      </c>
      <c r="BV10" s="4">
        <f>BK10</f>
        <v>0</v>
      </c>
      <c r="BW10" s="4">
        <f>BI10</f>
        <v>0</v>
      </c>
      <c r="BX10" s="4">
        <f ca="1">(BP10/10)+(BQ10/100)+(BR10/1000)+(BT10/10000)+(BU10/100000)+(BV10/1000000)+(BW10/10000000)+(ROW(BS11)/100000000)</f>
        <v>1.1000000000000001E-7</v>
      </c>
      <c r="BY10" s="4">
        <f ca="1">+BO10-BX10</f>
        <v>0.99999989</v>
      </c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U10" s="4" t="s">
        <v>126</v>
      </c>
      <c r="CV10" s="56">
        <f>SUMIFS(tblActuals354[Team 2 Points],tblActuals354[Team 2],$CU10,tblActuals354[Team 1],CV$3)+SUMIFS(tblActuals354[Team 1 Points],tblActuals354[Team 1],$CU10,tblActuals354[Team 2],CV$3)</f>
        <v>0</v>
      </c>
      <c r="CW10" s="56">
        <f>SUMIFS(tblActuals354[Team 2 Points],tblActuals354[Team 2],$CU10,tblActuals354[Team 1],CW$3)+SUMIFS(tblActuals354[Team 1 Points],tblActuals354[Team 1],$CU10,tblActuals354[Team 2],CW$3)</f>
        <v>0</v>
      </c>
      <c r="CX10" s="56">
        <f>SUMIFS(tblActuals354[Team 2 Points],tblActuals354[Team 2],$CU10,tblActuals354[Team 1],CX$3)+SUMIFS(tblActuals354[Team 1 Points],tblActuals354[Team 1],$CU10,tblActuals354[Team 2],CX$3)</f>
        <v>0</v>
      </c>
      <c r="CY10" s="56">
        <f>SUMIFS(tblActuals354[Team 2 Points],tblActuals354[Team 2],$CU10,tblActuals354[Team 1],CY$3)+SUMIFS(tblActuals354[Team 1 Points],tblActuals354[Team 1],$CU10,tblActuals354[Team 2],CY$3)</f>
        <v>0</v>
      </c>
      <c r="CZ10" s="56">
        <f>SUMIFS(tblActuals354[Team 2 Points],tblActuals354[Team 2],$CU10,tblActuals354[Team 1],CZ$3)+SUMIFS(tblActuals354[Team 1 Points],tblActuals354[Team 1],$CU10,tblActuals354[Team 2],CZ$3)</f>
        <v>0</v>
      </c>
      <c r="DA10" s="56">
        <f>SUMIFS(tblActuals354[Team 2 Points],tblActuals354[Team 2],$CU10,tblActuals354[Team 1],DA$3)+SUMIFS(tblActuals354[Team 1 Points],tblActuals354[Team 1],$CU10,tblActuals354[Team 2],DA$3)</f>
        <v>0</v>
      </c>
      <c r="DB10" s="56">
        <f>SUMIFS(tblActuals354[Team 2 Points],tblActuals354[Team 2],$CU10,tblActuals354[Team 1],DB$3)+SUMIFS(tblActuals354[Team 1 Points],tblActuals354[Team 1],$CU10,tblActuals354[Team 2],DB$3)</f>
        <v>0</v>
      </c>
      <c r="DC10" s="56">
        <f>SUMIFS(tblActuals354[Team 2 Points],tblActuals354[Team 2],$CU10,tblActuals354[Team 1],DC$3)+SUMIFS(tblActuals354[Team 1 Points],tblActuals354[Team 1],$CU10,tblActuals354[Team 2],DC$3)</f>
        <v>0</v>
      </c>
      <c r="DD10" s="56">
        <f>SUMIFS(tblActuals354[Team 2 Points],tblActuals354[Team 2],$CU10,tblActuals354[Team 1],DD$3)+SUMIFS(tblActuals354[Team 1 Points],tblActuals354[Team 1],$CU10,tblActuals354[Team 2],DD$3)</f>
        <v>0</v>
      </c>
      <c r="DE10" s="56">
        <f>SUMIFS(tblActuals354[Team 2 Points],tblActuals354[Team 2],$CU10,tblActuals354[Team 1],DE$3)+SUMIFS(tblActuals354[Team 1 Points],tblActuals354[Team 1],$CU10,tblActuals354[Team 2],DE$3)</f>
        <v>0</v>
      </c>
      <c r="DF10" s="56">
        <f>SUMIFS(tblActuals354[Team 2 Points],tblActuals354[Team 2],$CU10,tblActuals354[Team 1],DF$3)+SUMIFS(tblActuals354[Team 1 Points],tblActuals354[Team 1],$CU10,tblActuals354[Team 2],DF$3)</f>
        <v>0</v>
      </c>
      <c r="DG10" s="56">
        <f>SUMIFS(tblActuals354[Team 2 Points],tblActuals354[Team 2],$CU10,tblActuals354[Team 1],DG$3)+SUMIFS(tblActuals354[Team 1 Points],tblActuals354[Team 1],$CU10,tblActuals354[Team 2],DG$3)</f>
        <v>0</v>
      </c>
      <c r="DH10" s="56">
        <f>SUMIFS(tblActuals354[Team 2 Points],tblActuals354[Team 2],$CU10,tblActuals354[Team 1],DH$3)+SUMIFS(tblActuals354[Team 1 Points],tblActuals354[Team 1],$CU10,tblActuals354[Team 2],DH$3)</f>
        <v>0</v>
      </c>
      <c r="DI10" s="56">
        <f>SUMIFS(tblActuals354[Team 2 Points],tblActuals354[Team 2],$CU10,tblActuals354[Team 1],DI$3)+SUMIFS(tblActuals354[Team 1 Points],tblActuals354[Team 1],$CU10,tblActuals354[Team 2],DI$3)</f>
        <v>0</v>
      </c>
      <c r="DJ10" s="56">
        <f>SUMIFS(tblActuals354[Team 2 Points],tblActuals354[Team 2],$CU10,tblActuals354[Team 1],DJ$3)+SUMIFS(tblActuals354[Team 1 Points],tblActuals354[Team 1],$CU10,tblActuals354[Team 2],DJ$3)</f>
        <v>0</v>
      </c>
      <c r="DK10" s="56">
        <f>SUMIFS(tblActuals354[Team 2 Points],tblActuals354[Team 2],$CU10,tblActuals354[Team 1],DK$3)+SUMIFS(tblActuals354[Team 1 Points],tblActuals354[Team 1],$CU10,tblActuals354[Team 2],DK$3)</f>
        <v>0</v>
      </c>
      <c r="DL10" s="56">
        <f>SUMIFS(tblActuals354[Team 2 Points],tblActuals354[Team 2],$CU10,tblActuals354[Team 1],DL$3)+SUMIFS(tblActuals354[Team 1 Points],tblActuals354[Team 1],$CU10,tblActuals354[Team 2],DL$3)</f>
        <v>0</v>
      </c>
      <c r="DM10" s="56">
        <f>SUMIFS(tblActuals354[Team 2 Points],tblActuals354[Team 2],$CU10,tblActuals354[Team 1],DM$3)+SUMIFS(tblActuals354[Team 1 Points],tblActuals354[Team 1],$CU10,tblActuals354[Team 2],DM$3)</f>
        <v>0</v>
      </c>
      <c r="DN10" s="56">
        <f>SUMIFS(tblActuals354[Team 2 Points],tblActuals354[Team 2],$CU10,tblActuals354[Team 1],DN$3)+SUMIFS(tblActuals354[Team 1 Points],tblActuals354[Team 1],$CU10,tblActuals354[Team 2],DN$3)</f>
        <v>0</v>
      </c>
      <c r="DO10" s="56">
        <f>SUMIFS(tblActuals354[Team 2 Points],tblActuals354[Team 2],$CU10,tblActuals354[Team 1],DO$3)+SUMIFS(tblActuals354[Team 1 Points],tblActuals354[Team 1],$CU10,tblActuals354[Team 2],DO$3)</f>
        <v>0</v>
      </c>
      <c r="DP10" s="56">
        <f>SUMIFS(tblActuals354[Team 2 Points],tblActuals354[Team 2],$CU10,tblActuals354[Team 1],DP$3)+SUMIFS(tblActuals354[Team 1 Points],tblActuals354[Team 1],$CU10,tblActuals354[Team 2],DP$3)</f>
        <v>0</v>
      </c>
      <c r="DQ10" s="56">
        <f>SUMIFS(tblActuals354[Team 2 Points],tblActuals354[Team 2],$CU10,tblActuals354[Team 1],DQ$3)+SUMIFS(tblActuals354[Team 1 Points],tblActuals354[Team 1],$CU10,tblActuals354[Team 2],DQ$3)</f>
        <v>0</v>
      </c>
      <c r="DR10" s="56">
        <f>SUMIFS(tblActuals354[Team 2 Points],tblActuals354[Team 2],$CU10,tblActuals354[Team 1],DR$3)+SUMIFS(tblActuals354[Team 1 Points],tblActuals354[Team 1],$CU10,tblActuals354[Team 2],DR$3)</f>
        <v>0</v>
      </c>
      <c r="DS10" s="56">
        <f>SUMIFS(tblActuals354[Team 2 Points],tblActuals354[Team 2],$CU10,tblActuals354[Team 1],DS$3)+SUMIFS(tblActuals354[Team 1 Points],tblActuals354[Team 1],$CU10,tblActuals354[Team 2],DS$3)</f>
        <v>0</v>
      </c>
      <c r="DT10" s="57"/>
      <c r="DU10" s="57"/>
      <c r="DV10" s="57"/>
      <c r="DW10" s="57"/>
      <c r="DX10" s="57"/>
      <c r="DY10" s="57"/>
      <c r="DZ10" s="57"/>
      <c r="EA10" s="57"/>
      <c r="EB10" s="4"/>
      <c r="EC10" s="4" t="s">
        <v>126</v>
      </c>
      <c r="ED10" s="56">
        <f>SUMIFS(tblActuals354[Team 2 GD],tblActuals354[Team 2],$CU10,tblActuals354[Team 1],ED$3)+SUMIFS(tblActuals354[Team 1 GD],tblActuals354[Team 1],$CU10,tblActuals354[Team 2],ED$3)</f>
        <v>0</v>
      </c>
      <c r="EE10" s="56">
        <f>SUMIFS(tblActuals354[Team 2 GD],tblActuals354[Team 2],$CU10,tblActuals354[Team 1],EE$3)+SUMIFS(tblActuals354[Team 1 GD],tblActuals354[Team 1],$CU10,tblActuals354[Team 2],EE$3)</f>
        <v>0</v>
      </c>
      <c r="EF10" s="56">
        <f>SUMIFS(tblActuals354[Team 2 GD],tblActuals354[Team 2],$CU10,tblActuals354[Team 1],EF$3)+SUMIFS(tblActuals354[Team 1 GD],tblActuals354[Team 1],$CU10,tblActuals354[Team 2],EF$3)</f>
        <v>0</v>
      </c>
      <c r="EG10" s="56">
        <f>SUMIFS(tblActuals354[Team 2 GD],tblActuals354[Team 2],$CU10,tblActuals354[Team 1],EG$3)+SUMIFS(tblActuals354[Team 1 GD],tblActuals354[Team 1],$CU10,tblActuals354[Team 2],EG$3)</f>
        <v>0</v>
      </c>
      <c r="EH10" s="56">
        <f>SUMIFS(tblActuals354[Team 2 GD],tblActuals354[Team 2],$CU10,tblActuals354[Team 1],EH$3)+SUMIFS(tblActuals354[Team 1 GD],tblActuals354[Team 1],$CU10,tblActuals354[Team 2],EH$3)</f>
        <v>0</v>
      </c>
      <c r="EI10" s="56">
        <f>SUMIFS(tblActuals354[Team 2 GD],tblActuals354[Team 2],$CU10,tblActuals354[Team 1],EI$3)+SUMIFS(tblActuals354[Team 1 GD],tblActuals354[Team 1],$CU10,tblActuals354[Team 2],EI$3)</f>
        <v>0</v>
      </c>
      <c r="EJ10" s="56">
        <f>SUMIFS(tblActuals354[Team 2 GD],tblActuals354[Team 2],$CU10,tblActuals354[Team 1],EJ$3)+SUMIFS(tblActuals354[Team 1 GD],tblActuals354[Team 1],$CU10,tblActuals354[Team 2],EJ$3)</f>
        <v>0</v>
      </c>
      <c r="EK10" s="56">
        <f>SUMIFS(tblActuals354[Team 2 GD],tblActuals354[Team 2],$CU10,tblActuals354[Team 1],EK$3)+SUMIFS(tblActuals354[Team 1 GD],tblActuals354[Team 1],$CU10,tblActuals354[Team 2],EK$3)</f>
        <v>0</v>
      </c>
      <c r="EL10" s="56">
        <f>SUMIFS(tblActuals354[Team 2 GD],tblActuals354[Team 2],$CU10,tblActuals354[Team 1],EL$3)+SUMIFS(tblActuals354[Team 1 GD],tblActuals354[Team 1],$CU10,tblActuals354[Team 2],EL$3)</f>
        <v>0</v>
      </c>
      <c r="EM10" s="56">
        <f>SUMIFS(tblActuals354[Team 2 GD],tblActuals354[Team 2],$CU10,tblActuals354[Team 1],EM$3)+SUMIFS(tblActuals354[Team 1 GD],tblActuals354[Team 1],$CU10,tblActuals354[Team 2],EM$3)</f>
        <v>0</v>
      </c>
      <c r="EN10" s="56">
        <f>SUMIFS(tblActuals354[Team 2 GD],tblActuals354[Team 2],$CU10,tblActuals354[Team 1],EN$3)+SUMIFS(tblActuals354[Team 1 GD],tblActuals354[Team 1],$CU10,tblActuals354[Team 2],EN$3)</f>
        <v>0</v>
      </c>
      <c r="EO10" s="56">
        <f>SUMIFS(tblActuals354[Team 2 GD],tblActuals354[Team 2],$CU10,tblActuals354[Team 1],EO$3)+SUMIFS(tblActuals354[Team 1 GD],tblActuals354[Team 1],$CU10,tblActuals354[Team 2],EO$3)</f>
        <v>0</v>
      </c>
      <c r="EP10" s="56">
        <f>SUMIFS(tblActuals354[Team 2 GD],tblActuals354[Team 2],$CU10,tblActuals354[Team 1],EP$3)+SUMIFS(tblActuals354[Team 1 GD],tblActuals354[Team 1],$CU10,tblActuals354[Team 2],EP$3)</f>
        <v>0</v>
      </c>
      <c r="EQ10" s="56">
        <f>SUMIFS(tblActuals354[Team 2 GD],tblActuals354[Team 2],$CU10,tblActuals354[Team 1],EQ$3)+SUMIFS(tblActuals354[Team 1 GD],tblActuals354[Team 1],$CU10,tblActuals354[Team 2],EQ$3)</f>
        <v>0</v>
      </c>
      <c r="ER10" s="56">
        <f>SUMIFS(tblActuals354[Team 2 GD],tblActuals354[Team 2],$CU10,tblActuals354[Team 1],ER$3)+SUMIFS(tblActuals354[Team 1 GD],tblActuals354[Team 1],$CU10,tblActuals354[Team 2],ER$3)</f>
        <v>0</v>
      </c>
      <c r="ES10" s="56">
        <f>SUMIFS(tblActuals354[Team 2 GD],tblActuals354[Team 2],$CU10,tblActuals354[Team 1],ES$3)+SUMIFS(tblActuals354[Team 1 GD],tblActuals354[Team 1],$CU10,tblActuals354[Team 2],ES$3)</f>
        <v>0</v>
      </c>
      <c r="ET10" s="56">
        <f>SUMIFS(tblActuals354[Team 2 GD],tblActuals354[Team 2],$CU10,tblActuals354[Team 1],ET$3)+SUMIFS(tblActuals354[Team 1 GD],tblActuals354[Team 1],$CU10,tblActuals354[Team 2],ET$3)</f>
        <v>0</v>
      </c>
      <c r="EU10" s="56">
        <f>SUMIFS(tblActuals354[Team 2 GD],tblActuals354[Team 2],$CU10,tblActuals354[Team 1],EU$3)+SUMIFS(tblActuals354[Team 1 GD],tblActuals354[Team 1],$CU10,tblActuals354[Team 2],EU$3)</f>
        <v>0</v>
      </c>
      <c r="EV10" s="56">
        <f>SUMIFS(tblActuals354[Team 2 GD],tblActuals354[Team 2],$CU10,tblActuals354[Team 1],EV$3)+SUMIFS(tblActuals354[Team 1 GD],tblActuals354[Team 1],$CU10,tblActuals354[Team 2],EV$3)</f>
        <v>0</v>
      </c>
      <c r="EW10" s="56">
        <f>SUMIFS(tblActuals354[Team 2 GD],tblActuals354[Team 2],$CU10,tblActuals354[Team 1],EW$3)+SUMIFS(tblActuals354[Team 1 GD],tblActuals354[Team 1],$CU10,tblActuals354[Team 2],EW$3)</f>
        <v>0</v>
      </c>
      <c r="EX10" s="56">
        <f>SUMIFS(tblActuals354[Team 2 GD],tblActuals354[Team 2],$CU10,tblActuals354[Team 1],EX$3)+SUMIFS(tblActuals354[Team 1 GD],tblActuals354[Team 1],$CU10,tblActuals354[Team 2],EX$3)</f>
        <v>0</v>
      </c>
      <c r="EY10" s="56">
        <f>SUMIFS(tblActuals354[Team 2 GD],tblActuals354[Team 2],$CU10,tblActuals354[Team 1],EY$3)+SUMIFS(tblActuals354[Team 1 GD],tblActuals354[Team 1],$CU10,tblActuals354[Team 2],EY$3)</f>
        <v>0</v>
      </c>
      <c r="EZ10" s="56">
        <f>SUMIFS(tblActuals354[Team 2 GD],tblActuals354[Team 2],$CU10,tblActuals354[Team 1],EZ$3)+SUMIFS(tblActuals354[Team 1 GD],tblActuals354[Team 1],$CU10,tblActuals354[Team 2],EZ$3)</f>
        <v>0</v>
      </c>
      <c r="FA10" s="56">
        <f>SUMIFS(tblActuals354[Team 2 GD],tblActuals354[Team 2],$CU10,tblActuals354[Team 1],FA$3)+SUMIFS(tblActuals354[Team 1 GD],tblActuals354[Team 1],$CU10,tblActuals354[Team 2],FA$3)</f>
        <v>0</v>
      </c>
      <c r="FB10" s="57"/>
      <c r="FC10" s="57"/>
      <c r="FD10" s="57"/>
      <c r="FE10" s="57"/>
      <c r="FF10" s="57"/>
      <c r="FG10" s="57"/>
      <c r="FH10" s="57"/>
      <c r="FI10" s="57"/>
      <c r="FJ10" s="4"/>
      <c r="FK10" s="4" t="s">
        <v>126</v>
      </c>
      <c r="FL10" s="56">
        <f>SUMIFS(tblActuals354[Team 2 Goals],tblActuals354[Team 2],$CU10,tblActuals354[Team 1],FL$3)+SUMIFS(tblActuals354[Team 1 Goals],tblActuals354[Team 1],$CU10,tblActuals354[Team 2],FL$3)</f>
        <v>0</v>
      </c>
      <c r="FM10" s="56">
        <f>SUMIFS(tblActuals354[Team 2 Goals],tblActuals354[Team 2],$CU10,tblActuals354[Team 1],FM$3)+SUMIFS(tblActuals354[Team 1 Goals],tblActuals354[Team 1],$CU10,tblActuals354[Team 2],FM$3)</f>
        <v>0</v>
      </c>
      <c r="FN10" s="56">
        <f>SUMIFS(tblActuals354[Team 2 Goals],tblActuals354[Team 2],$CU10,tblActuals354[Team 1],FN$3)+SUMIFS(tblActuals354[Team 1 Goals],tblActuals354[Team 1],$CU10,tblActuals354[Team 2],FN$3)</f>
        <v>0</v>
      </c>
      <c r="FO10" s="56">
        <f>SUMIFS(tblActuals354[Team 2 Goals],tblActuals354[Team 2],$CU10,tblActuals354[Team 1],FO$3)+SUMIFS(tblActuals354[Team 1 Goals],tblActuals354[Team 1],$CU10,tblActuals354[Team 2],FO$3)</f>
        <v>0</v>
      </c>
      <c r="FP10" s="56">
        <f>SUMIFS(tblActuals354[Team 2 Goals],tblActuals354[Team 2],$CU10,tblActuals354[Team 1],FP$3)+SUMIFS(tblActuals354[Team 1 Goals],tblActuals354[Team 1],$CU10,tblActuals354[Team 2],FP$3)</f>
        <v>0</v>
      </c>
      <c r="FQ10" s="56">
        <f>SUMIFS(tblActuals354[Team 2 Goals],tblActuals354[Team 2],$CU10,tblActuals354[Team 1],FQ$3)+SUMIFS(tblActuals354[Team 1 Goals],tblActuals354[Team 1],$CU10,tblActuals354[Team 2],FQ$3)</f>
        <v>0</v>
      </c>
      <c r="FR10" s="56">
        <f>SUMIFS(tblActuals354[Team 2 Goals],tblActuals354[Team 2],$CU10,tblActuals354[Team 1],FR$3)+SUMIFS(tblActuals354[Team 1 Goals],tblActuals354[Team 1],$CU10,tblActuals354[Team 2],FR$3)</f>
        <v>0</v>
      </c>
      <c r="FS10" s="56">
        <f>SUMIFS(tblActuals354[Team 2 Goals],tblActuals354[Team 2],$CU10,tblActuals354[Team 1],FS$3)+SUMIFS(tblActuals354[Team 1 Goals],tblActuals354[Team 1],$CU10,tblActuals354[Team 2],FS$3)</f>
        <v>0</v>
      </c>
      <c r="FT10" s="56">
        <f>SUMIFS(tblActuals354[Team 2 Goals],tblActuals354[Team 2],$CU10,tblActuals354[Team 1],FT$3)+SUMIFS(tblActuals354[Team 1 Goals],tblActuals354[Team 1],$CU10,tblActuals354[Team 2],FT$3)</f>
        <v>0</v>
      </c>
      <c r="FU10" s="56">
        <f>SUMIFS(tblActuals354[Team 2 Goals],tblActuals354[Team 2],$CU10,tblActuals354[Team 1],FU$3)+SUMIFS(tblActuals354[Team 1 Goals],tblActuals354[Team 1],$CU10,tblActuals354[Team 2],FU$3)</f>
        <v>0</v>
      </c>
      <c r="FV10" s="56">
        <f>SUMIFS(tblActuals354[Team 2 Goals],tblActuals354[Team 2],$CU10,tblActuals354[Team 1],FV$3)+SUMIFS(tblActuals354[Team 1 Goals],tblActuals354[Team 1],$CU10,tblActuals354[Team 2],FV$3)</f>
        <v>0</v>
      </c>
      <c r="FW10" s="56">
        <f>SUMIFS(tblActuals354[Team 2 Goals],tblActuals354[Team 2],$CU10,tblActuals354[Team 1],FW$3)+SUMIFS(tblActuals354[Team 1 Goals],tblActuals354[Team 1],$CU10,tblActuals354[Team 2],FW$3)</f>
        <v>0</v>
      </c>
      <c r="FX10" s="56">
        <f>SUMIFS(tblActuals354[Team 2 Goals],tblActuals354[Team 2],$CU10,tblActuals354[Team 1],FX$3)+SUMIFS(tblActuals354[Team 1 Goals],tblActuals354[Team 1],$CU10,tblActuals354[Team 2],FX$3)</f>
        <v>0</v>
      </c>
      <c r="FY10" s="56">
        <f>SUMIFS(tblActuals354[Team 2 Goals],tblActuals354[Team 2],$CU10,tblActuals354[Team 1],FY$3)+SUMIFS(tblActuals354[Team 1 Goals],tblActuals354[Team 1],$CU10,tblActuals354[Team 2],FY$3)</f>
        <v>0</v>
      </c>
      <c r="FZ10" s="56">
        <f>SUMIFS(tblActuals354[Team 2 Goals],tblActuals354[Team 2],$CU10,tblActuals354[Team 1],FZ$3)+SUMIFS(tblActuals354[Team 1 Goals],tblActuals354[Team 1],$CU10,tblActuals354[Team 2],FZ$3)</f>
        <v>0</v>
      </c>
      <c r="GA10" s="56">
        <f>SUMIFS(tblActuals354[Team 2 Goals],tblActuals354[Team 2],$CU10,tblActuals354[Team 1],GA$3)+SUMIFS(tblActuals354[Team 1 Goals],tblActuals354[Team 1],$CU10,tblActuals354[Team 2],GA$3)</f>
        <v>0</v>
      </c>
      <c r="GB10" s="56">
        <f>SUMIFS(tblActuals354[Team 2 Goals],tblActuals354[Team 2],$CU10,tblActuals354[Team 1],GB$3)+SUMIFS(tblActuals354[Team 1 Goals],tblActuals354[Team 1],$CU10,tblActuals354[Team 2],GB$3)</f>
        <v>0</v>
      </c>
      <c r="GC10" s="56">
        <f>SUMIFS(tblActuals354[Team 2 Goals],tblActuals354[Team 2],$CU10,tblActuals354[Team 1],GC$3)+SUMIFS(tblActuals354[Team 1 Goals],tblActuals354[Team 1],$CU10,tblActuals354[Team 2],GC$3)</f>
        <v>0</v>
      </c>
      <c r="GD10" s="56">
        <f>SUMIFS(tblActuals354[Team 2 Goals],tblActuals354[Team 2],$CU10,tblActuals354[Team 1],GD$3)+SUMIFS(tblActuals354[Team 1 Goals],tblActuals354[Team 1],$CU10,tblActuals354[Team 2],GD$3)</f>
        <v>0</v>
      </c>
      <c r="GE10" s="56">
        <f>SUMIFS(tblActuals354[Team 2 Goals],tblActuals354[Team 2],$CU10,tblActuals354[Team 1],GE$3)+SUMIFS(tblActuals354[Team 1 Goals],tblActuals354[Team 1],$CU10,tblActuals354[Team 2],GE$3)</f>
        <v>0</v>
      </c>
      <c r="GF10" s="56">
        <f>SUMIFS(tblActuals354[Team 2 Goals],tblActuals354[Team 2],$CU10,tblActuals354[Team 1],GF$3)+SUMIFS(tblActuals354[Team 1 Goals],tblActuals354[Team 1],$CU10,tblActuals354[Team 2],GF$3)</f>
        <v>0</v>
      </c>
      <c r="GG10" s="56">
        <f>SUMIFS(tblActuals354[Team 2 Goals],tblActuals354[Team 2],$CU10,tblActuals354[Team 1],GG$3)+SUMIFS(tblActuals354[Team 1 Goals],tblActuals354[Team 1],$CU10,tblActuals354[Team 2],GG$3)</f>
        <v>0</v>
      </c>
      <c r="GH10" s="56">
        <f>SUMIFS(tblActuals354[Team 2 Goals],tblActuals354[Team 2],$CU10,tblActuals354[Team 1],GH$3)+SUMIFS(tblActuals354[Team 1 Goals],tblActuals354[Team 1],$CU10,tblActuals354[Team 2],GH$3)</f>
        <v>0</v>
      </c>
      <c r="GI10" s="56">
        <f>SUMIFS(tblActuals354[Team 2 Goals],tblActuals354[Team 2],$CU10,tblActuals354[Team 1],GI$3)+SUMIFS(tblActuals354[Team 1 Goals],tblActuals354[Team 1],$CU10,tblActuals354[Team 2],GI$3)</f>
        <v>0</v>
      </c>
      <c r="GJ10" s="57"/>
      <c r="GK10" s="57"/>
      <c r="GL10" s="37"/>
      <c r="GM10" s="37"/>
      <c r="GN10" s="37"/>
      <c r="GO10" s="37"/>
      <c r="GP10" s="37"/>
      <c r="GQ10" s="37"/>
      <c r="GR10" s="75"/>
      <c r="GS10" s="156"/>
      <c r="GT10" s="156"/>
      <c r="GU10" s="75"/>
      <c r="GW10" s="75"/>
      <c r="GX10" s="75"/>
      <c r="GY10" s="75"/>
      <c r="GZ10" s="75"/>
      <c r="HB10" s="4" t="str">
        <f t="shared" si="12"/>
        <v>ABEF</v>
      </c>
      <c r="HC10" s="44" t="s">
        <v>1</v>
      </c>
      <c r="HD10" s="44" t="s">
        <v>5</v>
      </c>
      <c r="HE10" s="45"/>
      <c r="HF10" s="45"/>
      <c r="HG10" s="44" t="s">
        <v>12</v>
      </c>
      <c r="HH10" s="44" t="s">
        <v>45</v>
      </c>
      <c r="HI10" s="178"/>
      <c r="HJ10" s="45" t="s">
        <v>153</v>
      </c>
      <c r="HK10" s="45" t="s">
        <v>154</v>
      </c>
      <c r="HL10" s="45" t="s">
        <v>151</v>
      </c>
      <c r="HM10" s="45" t="s">
        <v>149</v>
      </c>
    </row>
    <row r="11" spans="1:221" s="11" customFormat="1" ht="30" customHeight="1" thickBot="1" x14ac:dyDescent="0.25">
      <c r="A11" s="20"/>
      <c r="B11" s="122">
        <v>8</v>
      </c>
      <c r="C11" s="122" t="s">
        <v>7</v>
      </c>
      <c r="D11" s="123">
        <v>45460</v>
      </c>
      <c r="E11" s="122" t="s">
        <v>85</v>
      </c>
      <c r="F11" s="124">
        <v>0.875</v>
      </c>
      <c r="G11" s="125">
        <f t="shared" si="11"/>
        <v>45460.625</v>
      </c>
      <c r="H11" s="122" t="s">
        <v>96</v>
      </c>
      <c r="I11" s="126"/>
      <c r="J11" s="118"/>
      <c r="K11" s="118"/>
      <c r="L11" s="174">
        <f>IF(I11="",0,IFERROR(IF(SCORING.RULES!$C$8="No",1,((VLOOKUP($B11,ACTUALS!$B$4:$L$100,7,FALSE)=$H11)+(VLOOKUP($B11,ACTUALS!$B$4:$L$100,7,FALSE)=S11)))*(M11+N11+O11+P11+Q11),0))+$R11</f>
        <v>0</v>
      </c>
      <c r="M11" s="168">
        <f>IFERROR(IF($B11="","",IF(U11=INDEX(ACTUALS!$AA$4:$AA$100,MATCH($B11,ACTUALS!$B$4:$B$100,0),1),CorrectScore,0)),0)</f>
        <v>0</v>
      </c>
      <c r="N11" s="157" t="str">
        <f>IFERROR(IF(I11="","",IF(INDEX(ACTUALS!$AB$4:$AB$100,MATCH($B11,ACTUALS!$B$4:$B$100,0),1)=(AB11+AC11+AH11+AI11),CorrectNumberofGoals,0)),0)</f>
        <v/>
      </c>
      <c r="O11" s="157"/>
      <c r="P11" s="157">
        <f>IFERROR(IF(B11="","",IF(INDEX(ACTUALS!$L$4:$L$100,MATCH($B11,ACTUALS!$B$4:$B$100,0),1)=W11,CorrectResult,0)),0)</f>
        <v>3</v>
      </c>
      <c r="Q11" s="157"/>
      <c r="R11" s="157"/>
      <c r="S11" s="157" t="str">
        <f t="shared" si="0"/>
        <v/>
      </c>
      <c r="T11" s="157"/>
      <c r="U11" s="157" t="str">
        <f t="shared" si="1"/>
        <v/>
      </c>
      <c r="V11" s="157" t="str">
        <f t="shared" si="2"/>
        <v/>
      </c>
      <c r="W11" s="119" t="str">
        <f>IF(tblActuals354[[#This Row],[SCORE]]="","",IF(AB11=AC11,"Draw",IF(AB11&gt;AC11,X11,Y11)))</f>
        <v/>
      </c>
      <c r="X11" s="120" t="str">
        <f>IF(tblActuals354[[#This Row],[TEAMS]]="","",LEFT(H11,FIND(" -",H11,1)-1))</f>
        <v>Austria</v>
      </c>
      <c r="Y11" s="120" t="str">
        <f>IF(tblActuals354[[#This Row],[TEAMS]]="","",MID(H11,FIND("-",H11,1)+2,LEN(H11)-FIND("-",H11,1)+2))</f>
        <v>France</v>
      </c>
      <c r="Z11" s="120" t="str">
        <f>IF(tblActuals354[[#This Row],[Team 1 Goals]]&gt;tblActuals354[[#This Row],[Team 2 Goals]],tblActuals354[[#This Row],[Team 1]],IF(tblActuals354[[#This Row],[Team 2 Goals]]&gt;tblActuals354[[#This Row],[Team 1 Goals]],tblActuals354[[#This Row],[Team 2]],""))</f>
        <v/>
      </c>
      <c r="AA11" s="120" t="str">
        <f>IF(tblActuals354[[#This Row],[Winner]]=tblActuals354[[#This Row],[Team 1]],tblActuals354[[#This Row],[Team 2]],IF(tblActuals354[[#This Row],[Winner]]=tblActuals354[[#This Row],[Team 2]],tblActuals354[[#This Row],[Team 1]],""))</f>
        <v/>
      </c>
      <c r="AB11" s="120" t="str">
        <f>IF(tblActuals354[[#This Row],[SCORE]]="","",LEFT(I11,FIND(":",I11,1)-1)*1)</f>
        <v/>
      </c>
      <c r="AC11" s="120" t="str">
        <f>IF(tblActuals354[[#This Row],[SCORE]]="","",MID(I11,FIND(":",I11,1)+1,LEN(I11)-FIND(":",I11,1)+1)*1)</f>
        <v/>
      </c>
      <c r="AD11" s="120" t="str">
        <f>IF(OR(tblActuals354[[#This Row],[Team 1 Goals]]="",tblActuals354[[#This Row],[Team 2 Goals]]=""),"",tblActuals354[[#This Row],[Team 1 Goals]]-tblActuals354[[#This Row],[Team 2 Goals]])</f>
        <v/>
      </c>
      <c r="AE11" s="120" t="str">
        <f>IF(OR(tblActuals354[[#This Row],[Team 1 Goals]]="",tblActuals354[[#This Row],[Team 2 Goals]]=""),"",tblActuals354[[#This Row],[Team 2 Goals]]-tblActuals354[[#This Row],[Team 1 Goals]])</f>
        <v/>
      </c>
      <c r="AF11" s="120" t="str">
        <f>IF(tblActuals354[[#This Row],[SCORE]]="","",IF(tblActuals354[[#This Row],[WINNER / RESULT]]="Draw",1,IF(tblActuals354[[#This Row],[WINNER / RESULT]]=tblActuals354[[#This Row],[Team 1]],3,0)))</f>
        <v/>
      </c>
      <c r="AG11" s="120" t="str">
        <f>IF(tblActuals354[[#This Row],[SCORE]]="","",IF(tblActuals354[[#This Row],[WINNER / RESULT]]="Draw",1,IF(tblActuals354[[#This Row],[WINNER / RESULT]]=tblActuals354[[#This Row],[Team 2]],3,0)))</f>
        <v/>
      </c>
      <c r="AH11" s="121"/>
      <c r="AI11" s="121"/>
      <c r="AJ11" s="121"/>
      <c r="AK11" s="121"/>
      <c r="AL11" s="120" t="e">
        <f>tblActuals354[[#This Row],[Team 1 Goals]]+tblActuals354[[#This Row],[Team 1 ET Goals]]&amp;":"&amp;tblActuals354[[#This Row],[Team 2 Goals]]+tblActuals354[[#This Row],[Team 2 ET Goals]]</f>
        <v>#VALUE!</v>
      </c>
      <c r="AM11" s="120" t="e">
        <f>+tblActuals354[[#This Row],[Team 1 Goals]]+tblActuals354[[#This Row],[Team 2 Goals]]</f>
        <v>#VALUE!</v>
      </c>
      <c r="AN11" s="161">
        <f t="shared" si="3"/>
        <v>45460</v>
      </c>
      <c r="AP11" s="38" t="s">
        <v>84</v>
      </c>
      <c r="AT11" s="78"/>
      <c r="AU11" s="179" t="s">
        <v>52</v>
      </c>
      <c r="AV11" s="180"/>
      <c r="AW11" s="133" t="s">
        <v>46</v>
      </c>
      <c r="AX11" s="134" t="s">
        <v>57</v>
      </c>
      <c r="AY11" s="135" t="s">
        <v>11</v>
      </c>
      <c r="AZ11" s="75"/>
      <c r="BA11" s="42"/>
      <c r="BB11" s="4"/>
      <c r="BC11" s="4" t="s">
        <v>5</v>
      </c>
      <c r="BD11" s="4" t="s">
        <v>126</v>
      </c>
      <c r="BE11" s="4">
        <f>COUNTIF(tblActuals354[Winner],BD11)</f>
        <v>0</v>
      </c>
      <c r="BF11" s="4">
        <f>COUNTIFS(tblActuals354[Team 2],BD11,tblActuals354[WINNER / RESULT],"Draw")+COUNTIFS(tblActuals354[Team 1],BD11,tblActuals354[WINNER / RESULT],"Draw")</f>
        <v>0</v>
      </c>
      <c r="BG11" s="4">
        <f>COUNTIF(tblActuals354[Loser],BD11)</f>
        <v>0</v>
      </c>
      <c r="BH11" s="4">
        <f>BF11+(3*BE11)</f>
        <v>0</v>
      </c>
      <c r="BI11" s="4">
        <f>SUMIFS(tblActuals354[Team 1 Goals],tblActuals354[Team 1],BD11)+SUMIFS(tblActuals354[Team 2 Goals],tblActuals354[Team 2],BD11)</f>
        <v>0</v>
      </c>
      <c r="BJ11" s="4">
        <f>SUMIFS(tblActuals354[Team 2 Goals],tblActuals354[Team 1],BD11)+SUMIFS(tblActuals354[Team 1 Goals],tblActuals354[Team 2],BD11)</f>
        <v>0</v>
      </c>
      <c r="BK11" s="4">
        <f>BI11-BJ11</f>
        <v>0</v>
      </c>
      <c r="BL11" s="4">
        <f ca="1">RANK(BY11,$BY$9:$BY$12,1)</f>
        <v>3</v>
      </c>
      <c r="BM11" s="4" t="str">
        <f t="shared" si="4"/>
        <v/>
      </c>
      <c r="BN11" s="4" t="str">
        <f ca="1">IF(BM11="",BL11&amp;BC11,BM11&amp;BC11)</f>
        <v>3B</v>
      </c>
      <c r="BO11" s="4">
        <f>RANK(BH11,$BH$9:$BH$12,0)</f>
        <v>1</v>
      </c>
      <c r="BP11" s="4" cm="1">
        <f t="array" aca="1" ref="BP11" ca="1">SUMPRODUCT((OFFSET($CV$3:$EA$3,MATCH($BD11,$CU$4:$CU$35,0),0))*((IF($BO9=$BO11,$CV$3:$EA$3=$BD9,0))+(IF($BO12=$BO11,$CV$3:$EA$3=$BD12,0))+(IF($BO10=$BO11,$CV$3:$EA$3=$BD10,0))))</f>
        <v>0</v>
      </c>
      <c r="BQ11" s="4" cm="1">
        <f t="array" aca="1" ref="BQ11" ca="1">SUMPRODUCT((OFFSET($ED$3:$FI$3,MATCH($BD11,$EC$4:$EC$35,0),0))*((IF($BO9=$BO11,$ED$3:$FI$3=$BD9,0))+(IF($BO12=$BO11,$ED$3:$FI$3=$BD12,0))+(IF($BO10=$BO11,$ED$3:$FI$3=$BD10,0))))</f>
        <v>0</v>
      </c>
      <c r="BR11" s="4" cm="1">
        <f t="array" aca="1" ref="BR11" ca="1">SUMPRODUCT((OFFSET($FL$3:$GQ$3,MATCH($BD11,$FK$4:$FK$35,0),0))*((IF($BO9=$BO11,$FL$3:$GQ$3=$BD9,0))+(IF($BO12=$BO11,$FL$3:$GQ$3=$BD12,0))+(IF($BO10=$BO11,$FL$3:$GQ$3=$BD10,0))))</f>
        <v>0</v>
      </c>
      <c r="BS11" s="4" cm="1">
        <f t="array" aca="1" ref="BS11" ca="1">SUMPRODUCT((OFFSET($CV$3:$EA$3,MATCH($BD11,$CU$4:$CU$35,0),0))*((IF($BO9&lt;&gt;$BO11,$CV$3:$EA$3=$BD9,0))+(IF($BO12&lt;&gt;$BO11,$CV$3:$EA$3=$BD12,0))+(IF($BO10&lt;&gt;$BO11,$CV$3:$EA$3=$BD10,0))))</f>
        <v>0</v>
      </c>
      <c r="BT11" s="4" cm="1">
        <f t="array" aca="1" ref="BT11" ca="1">SUMPRODUCT((OFFSET($ED$3:$FI$3,MATCH($BD11,$EC$4:$EC$35,0),0))*((IF($BO9&lt;&gt;$BO11,$ED$3:$FI$3=$BD9,0))+(IF($BO12&lt;&gt;$BO11,$ED$3:$FI$3=$BD12,0))+(IF($BO10&lt;&gt;$BO11,$ED$3:$FI$3=$BD10,0))))</f>
        <v>0</v>
      </c>
      <c r="BU11" s="4" cm="1">
        <f t="array" aca="1" ref="BU11" ca="1">SUMPRODUCT((OFFSET($FL$3:$GQ$3,MATCH($BD11,$FK$4:$FK$35,0),0))*((IF($BO9&lt;&gt;$BO11,$FL$3:$GQ$3=$BD9,0))+(IF($BO12&lt;&gt;$BO11,$FL$3:$GQ$3=$BD12,0))+(IF($BO10&lt;&gt;$BO11,$FL$3:$GQ$3=$BD10,0))))</f>
        <v>0</v>
      </c>
      <c r="BV11" s="4">
        <f>BK11</f>
        <v>0</v>
      </c>
      <c r="BW11" s="4">
        <f>BI11</f>
        <v>0</v>
      </c>
      <c r="BX11" s="4">
        <f ca="1">(BP11/10)+(BQ11/100)+(BR11/1000)+(BT11/10000)+(BU11/100000)+(BV11/1000000)+(BW11/10000000)+(ROW(BS10)/100000000)</f>
        <v>9.9999999999999995E-8</v>
      </c>
      <c r="BY11" s="4">
        <f ca="1">+BO11-BX11</f>
        <v>0.99999990000000005</v>
      </c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U11" s="4" t="s">
        <v>127</v>
      </c>
      <c r="CV11" s="56">
        <f>SUMIFS(tblActuals354[Team 2 Points],tblActuals354[Team 2],$CU11,tblActuals354[Team 1],CV$3)+SUMIFS(tblActuals354[Team 1 Points],tblActuals354[Team 1],$CU11,tblActuals354[Team 2],CV$3)</f>
        <v>0</v>
      </c>
      <c r="CW11" s="56">
        <f>SUMIFS(tblActuals354[Team 2 Points],tblActuals354[Team 2],$CU11,tblActuals354[Team 1],CW$3)+SUMIFS(tblActuals354[Team 1 Points],tblActuals354[Team 1],$CU11,tblActuals354[Team 2],CW$3)</f>
        <v>0</v>
      </c>
      <c r="CX11" s="56">
        <f>SUMIFS(tblActuals354[Team 2 Points],tblActuals354[Team 2],$CU11,tblActuals354[Team 1],CX$3)+SUMIFS(tblActuals354[Team 1 Points],tblActuals354[Team 1],$CU11,tblActuals354[Team 2],CX$3)</f>
        <v>0</v>
      </c>
      <c r="CY11" s="56">
        <f>SUMIFS(tblActuals354[Team 2 Points],tblActuals354[Team 2],$CU11,tblActuals354[Team 1],CY$3)+SUMIFS(tblActuals354[Team 1 Points],tblActuals354[Team 1],$CU11,tblActuals354[Team 2],CY$3)</f>
        <v>0</v>
      </c>
      <c r="CZ11" s="56">
        <f>SUMIFS(tblActuals354[Team 2 Points],tblActuals354[Team 2],$CU11,tblActuals354[Team 1],CZ$3)+SUMIFS(tblActuals354[Team 1 Points],tblActuals354[Team 1],$CU11,tblActuals354[Team 2],CZ$3)</f>
        <v>0</v>
      </c>
      <c r="DA11" s="56">
        <f>SUMIFS(tblActuals354[Team 2 Points],tblActuals354[Team 2],$CU11,tblActuals354[Team 1],DA$3)+SUMIFS(tblActuals354[Team 1 Points],tblActuals354[Team 1],$CU11,tblActuals354[Team 2],DA$3)</f>
        <v>0</v>
      </c>
      <c r="DB11" s="56">
        <f>SUMIFS(tblActuals354[Team 2 Points],tblActuals354[Team 2],$CU11,tblActuals354[Team 1],DB$3)+SUMIFS(tblActuals354[Team 1 Points],tblActuals354[Team 1],$CU11,tblActuals354[Team 2],DB$3)</f>
        <v>0</v>
      </c>
      <c r="DC11" s="56">
        <f>SUMIFS(tblActuals354[Team 2 Points],tblActuals354[Team 2],$CU11,tblActuals354[Team 1],DC$3)+SUMIFS(tblActuals354[Team 1 Points],tblActuals354[Team 1],$CU11,tblActuals354[Team 2],DC$3)</f>
        <v>0</v>
      </c>
      <c r="DD11" s="56">
        <f>SUMIFS(tblActuals354[Team 2 Points],tblActuals354[Team 2],$CU11,tblActuals354[Team 1],DD$3)+SUMIFS(tblActuals354[Team 1 Points],tblActuals354[Team 1],$CU11,tblActuals354[Team 2],DD$3)</f>
        <v>0</v>
      </c>
      <c r="DE11" s="56">
        <f>SUMIFS(tblActuals354[Team 2 Points],tblActuals354[Team 2],$CU11,tblActuals354[Team 1],DE$3)+SUMIFS(tblActuals354[Team 1 Points],tblActuals354[Team 1],$CU11,tblActuals354[Team 2],DE$3)</f>
        <v>0</v>
      </c>
      <c r="DF11" s="56">
        <f>SUMIFS(tblActuals354[Team 2 Points],tblActuals354[Team 2],$CU11,tblActuals354[Team 1],DF$3)+SUMIFS(tblActuals354[Team 1 Points],tblActuals354[Team 1],$CU11,tblActuals354[Team 2],DF$3)</f>
        <v>0</v>
      </c>
      <c r="DG11" s="56">
        <f>SUMIFS(tblActuals354[Team 2 Points],tblActuals354[Team 2],$CU11,tblActuals354[Team 1],DG$3)+SUMIFS(tblActuals354[Team 1 Points],tblActuals354[Team 1],$CU11,tblActuals354[Team 2],DG$3)</f>
        <v>0</v>
      </c>
      <c r="DH11" s="56">
        <f>SUMIFS(tblActuals354[Team 2 Points],tblActuals354[Team 2],$CU11,tblActuals354[Team 1],DH$3)+SUMIFS(tblActuals354[Team 1 Points],tblActuals354[Team 1],$CU11,tblActuals354[Team 2],DH$3)</f>
        <v>0</v>
      </c>
      <c r="DI11" s="56">
        <f>SUMIFS(tblActuals354[Team 2 Points],tblActuals354[Team 2],$CU11,tblActuals354[Team 1],DI$3)+SUMIFS(tblActuals354[Team 1 Points],tblActuals354[Team 1],$CU11,tblActuals354[Team 2],DI$3)</f>
        <v>0</v>
      </c>
      <c r="DJ11" s="56">
        <f>SUMIFS(tblActuals354[Team 2 Points],tblActuals354[Team 2],$CU11,tblActuals354[Team 1],DJ$3)+SUMIFS(tblActuals354[Team 1 Points],tblActuals354[Team 1],$CU11,tblActuals354[Team 2],DJ$3)</f>
        <v>0</v>
      </c>
      <c r="DK11" s="56">
        <f>SUMIFS(tblActuals354[Team 2 Points],tblActuals354[Team 2],$CU11,tblActuals354[Team 1],DK$3)+SUMIFS(tblActuals354[Team 1 Points],tblActuals354[Team 1],$CU11,tblActuals354[Team 2],DK$3)</f>
        <v>0</v>
      </c>
      <c r="DL11" s="56">
        <f>SUMIFS(tblActuals354[Team 2 Points],tblActuals354[Team 2],$CU11,tblActuals354[Team 1],DL$3)+SUMIFS(tblActuals354[Team 1 Points],tblActuals354[Team 1],$CU11,tblActuals354[Team 2],DL$3)</f>
        <v>0</v>
      </c>
      <c r="DM11" s="56">
        <f>SUMIFS(tblActuals354[Team 2 Points],tblActuals354[Team 2],$CU11,tblActuals354[Team 1],DM$3)+SUMIFS(tblActuals354[Team 1 Points],tblActuals354[Team 1],$CU11,tblActuals354[Team 2],DM$3)</f>
        <v>0</v>
      </c>
      <c r="DN11" s="56">
        <f>SUMIFS(tblActuals354[Team 2 Points],tblActuals354[Team 2],$CU11,tblActuals354[Team 1],DN$3)+SUMIFS(tblActuals354[Team 1 Points],tblActuals354[Team 1],$CU11,tblActuals354[Team 2],DN$3)</f>
        <v>0</v>
      </c>
      <c r="DO11" s="56">
        <f>SUMIFS(tblActuals354[Team 2 Points],tblActuals354[Team 2],$CU11,tblActuals354[Team 1],DO$3)+SUMIFS(tblActuals354[Team 1 Points],tblActuals354[Team 1],$CU11,tblActuals354[Team 2],DO$3)</f>
        <v>0</v>
      </c>
      <c r="DP11" s="56">
        <f>SUMIFS(tblActuals354[Team 2 Points],tblActuals354[Team 2],$CU11,tblActuals354[Team 1],DP$3)+SUMIFS(tblActuals354[Team 1 Points],tblActuals354[Team 1],$CU11,tblActuals354[Team 2],DP$3)</f>
        <v>0</v>
      </c>
      <c r="DQ11" s="56">
        <f>SUMIFS(tblActuals354[Team 2 Points],tblActuals354[Team 2],$CU11,tblActuals354[Team 1],DQ$3)+SUMIFS(tblActuals354[Team 1 Points],tblActuals354[Team 1],$CU11,tblActuals354[Team 2],DQ$3)</f>
        <v>0</v>
      </c>
      <c r="DR11" s="56">
        <f>SUMIFS(tblActuals354[Team 2 Points],tblActuals354[Team 2],$CU11,tblActuals354[Team 1],DR$3)+SUMIFS(tblActuals354[Team 1 Points],tblActuals354[Team 1],$CU11,tblActuals354[Team 2],DR$3)</f>
        <v>0</v>
      </c>
      <c r="DS11" s="56">
        <f>SUMIFS(tblActuals354[Team 2 Points],tblActuals354[Team 2],$CU11,tblActuals354[Team 1],DS$3)+SUMIFS(tblActuals354[Team 1 Points],tblActuals354[Team 1],$CU11,tblActuals354[Team 2],DS$3)</f>
        <v>0</v>
      </c>
      <c r="DT11" s="57"/>
      <c r="DU11" s="57"/>
      <c r="DV11" s="57"/>
      <c r="DW11" s="57"/>
      <c r="DX11" s="57"/>
      <c r="DY11" s="57"/>
      <c r="DZ11" s="57"/>
      <c r="EA11" s="57"/>
      <c r="EB11" s="4"/>
      <c r="EC11" s="4" t="s">
        <v>127</v>
      </c>
      <c r="ED11" s="56">
        <f>SUMIFS(tblActuals354[Team 2 GD],tblActuals354[Team 2],$CU11,tblActuals354[Team 1],ED$3)+SUMIFS(tblActuals354[Team 1 GD],tblActuals354[Team 1],$CU11,tblActuals354[Team 2],ED$3)</f>
        <v>0</v>
      </c>
      <c r="EE11" s="56">
        <f>SUMIFS(tblActuals354[Team 2 GD],tblActuals354[Team 2],$CU11,tblActuals354[Team 1],EE$3)+SUMIFS(tblActuals354[Team 1 GD],tblActuals354[Team 1],$CU11,tblActuals354[Team 2],EE$3)</f>
        <v>0</v>
      </c>
      <c r="EF11" s="56">
        <f>SUMIFS(tblActuals354[Team 2 GD],tblActuals354[Team 2],$CU11,tblActuals354[Team 1],EF$3)+SUMIFS(tblActuals354[Team 1 GD],tblActuals354[Team 1],$CU11,tblActuals354[Team 2],EF$3)</f>
        <v>0</v>
      </c>
      <c r="EG11" s="56">
        <f>SUMIFS(tblActuals354[Team 2 GD],tblActuals354[Team 2],$CU11,tblActuals354[Team 1],EG$3)+SUMIFS(tblActuals354[Team 1 GD],tblActuals354[Team 1],$CU11,tblActuals354[Team 2],EG$3)</f>
        <v>0</v>
      </c>
      <c r="EH11" s="56">
        <f>SUMIFS(tblActuals354[Team 2 GD],tblActuals354[Team 2],$CU11,tblActuals354[Team 1],EH$3)+SUMIFS(tblActuals354[Team 1 GD],tblActuals354[Team 1],$CU11,tblActuals354[Team 2],EH$3)</f>
        <v>0</v>
      </c>
      <c r="EI11" s="56">
        <f>SUMIFS(tblActuals354[Team 2 GD],tblActuals354[Team 2],$CU11,tblActuals354[Team 1],EI$3)+SUMIFS(tblActuals354[Team 1 GD],tblActuals354[Team 1],$CU11,tblActuals354[Team 2],EI$3)</f>
        <v>0</v>
      </c>
      <c r="EJ11" s="56">
        <f>SUMIFS(tblActuals354[Team 2 GD],tblActuals354[Team 2],$CU11,tblActuals354[Team 1],EJ$3)+SUMIFS(tblActuals354[Team 1 GD],tblActuals354[Team 1],$CU11,tblActuals354[Team 2],EJ$3)</f>
        <v>0</v>
      </c>
      <c r="EK11" s="56">
        <f>SUMIFS(tblActuals354[Team 2 GD],tblActuals354[Team 2],$CU11,tblActuals354[Team 1],EK$3)+SUMIFS(tblActuals354[Team 1 GD],tblActuals354[Team 1],$CU11,tblActuals354[Team 2],EK$3)</f>
        <v>0</v>
      </c>
      <c r="EL11" s="56">
        <f>SUMIFS(tblActuals354[Team 2 GD],tblActuals354[Team 2],$CU11,tblActuals354[Team 1],EL$3)+SUMIFS(tblActuals354[Team 1 GD],tblActuals354[Team 1],$CU11,tblActuals354[Team 2],EL$3)</f>
        <v>0</v>
      </c>
      <c r="EM11" s="56">
        <f>SUMIFS(tblActuals354[Team 2 GD],tblActuals354[Team 2],$CU11,tblActuals354[Team 1],EM$3)+SUMIFS(tblActuals354[Team 1 GD],tblActuals354[Team 1],$CU11,tblActuals354[Team 2],EM$3)</f>
        <v>0</v>
      </c>
      <c r="EN11" s="56">
        <f>SUMIFS(tblActuals354[Team 2 GD],tblActuals354[Team 2],$CU11,tblActuals354[Team 1],EN$3)+SUMIFS(tblActuals354[Team 1 GD],tblActuals354[Team 1],$CU11,tblActuals354[Team 2],EN$3)</f>
        <v>0</v>
      </c>
      <c r="EO11" s="56">
        <f>SUMIFS(tblActuals354[Team 2 GD],tblActuals354[Team 2],$CU11,tblActuals354[Team 1],EO$3)+SUMIFS(tblActuals354[Team 1 GD],tblActuals354[Team 1],$CU11,tblActuals354[Team 2],EO$3)</f>
        <v>0</v>
      </c>
      <c r="EP11" s="56">
        <f>SUMIFS(tblActuals354[Team 2 GD],tblActuals354[Team 2],$CU11,tblActuals354[Team 1],EP$3)+SUMIFS(tblActuals354[Team 1 GD],tblActuals354[Team 1],$CU11,tblActuals354[Team 2],EP$3)</f>
        <v>0</v>
      </c>
      <c r="EQ11" s="56">
        <f>SUMIFS(tblActuals354[Team 2 GD],tblActuals354[Team 2],$CU11,tblActuals354[Team 1],EQ$3)+SUMIFS(tblActuals354[Team 1 GD],tblActuals354[Team 1],$CU11,tblActuals354[Team 2],EQ$3)</f>
        <v>0</v>
      </c>
      <c r="ER11" s="56">
        <f>SUMIFS(tblActuals354[Team 2 GD],tblActuals354[Team 2],$CU11,tblActuals354[Team 1],ER$3)+SUMIFS(tblActuals354[Team 1 GD],tblActuals354[Team 1],$CU11,tblActuals354[Team 2],ER$3)</f>
        <v>0</v>
      </c>
      <c r="ES11" s="56">
        <f>SUMIFS(tblActuals354[Team 2 GD],tblActuals354[Team 2],$CU11,tblActuals354[Team 1],ES$3)+SUMIFS(tblActuals354[Team 1 GD],tblActuals354[Team 1],$CU11,tblActuals354[Team 2],ES$3)</f>
        <v>0</v>
      </c>
      <c r="ET11" s="56">
        <f>SUMIFS(tblActuals354[Team 2 GD],tblActuals354[Team 2],$CU11,tblActuals354[Team 1],ET$3)+SUMIFS(tblActuals354[Team 1 GD],tblActuals354[Team 1],$CU11,tblActuals354[Team 2],ET$3)</f>
        <v>0</v>
      </c>
      <c r="EU11" s="56">
        <f>SUMIFS(tblActuals354[Team 2 GD],tblActuals354[Team 2],$CU11,tblActuals354[Team 1],EU$3)+SUMIFS(tblActuals354[Team 1 GD],tblActuals354[Team 1],$CU11,tblActuals354[Team 2],EU$3)</f>
        <v>0</v>
      </c>
      <c r="EV11" s="56">
        <f>SUMIFS(tblActuals354[Team 2 GD],tblActuals354[Team 2],$CU11,tblActuals354[Team 1],EV$3)+SUMIFS(tblActuals354[Team 1 GD],tblActuals354[Team 1],$CU11,tblActuals354[Team 2],EV$3)</f>
        <v>0</v>
      </c>
      <c r="EW11" s="56">
        <f>SUMIFS(tblActuals354[Team 2 GD],tblActuals354[Team 2],$CU11,tblActuals354[Team 1],EW$3)+SUMIFS(tblActuals354[Team 1 GD],tblActuals354[Team 1],$CU11,tblActuals354[Team 2],EW$3)</f>
        <v>0</v>
      </c>
      <c r="EX11" s="56">
        <f>SUMIFS(tblActuals354[Team 2 GD],tblActuals354[Team 2],$CU11,tblActuals354[Team 1],EX$3)+SUMIFS(tblActuals354[Team 1 GD],tblActuals354[Team 1],$CU11,tblActuals354[Team 2],EX$3)</f>
        <v>0</v>
      </c>
      <c r="EY11" s="56">
        <f>SUMIFS(tblActuals354[Team 2 GD],tblActuals354[Team 2],$CU11,tblActuals354[Team 1],EY$3)+SUMIFS(tblActuals354[Team 1 GD],tblActuals354[Team 1],$CU11,tblActuals354[Team 2],EY$3)</f>
        <v>0</v>
      </c>
      <c r="EZ11" s="56">
        <f>SUMIFS(tblActuals354[Team 2 GD],tblActuals354[Team 2],$CU11,tblActuals354[Team 1],EZ$3)+SUMIFS(tblActuals354[Team 1 GD],tblActuals354[Team 1],$CU11,tblActuals354[Team 2],EZ$3)</f>
        <v>0</v>
      </c>
      <c r="FA11" s="56">
        <f>SUMIFS(tblActuals354[Team 2 GD],tblActuals354[Team 2],$CU11,tblActuals354[Team 1],FA$3)+SUMIFS(tblActuals354[Team 1 GD],tblActuals354[Team 1],$CU11,tblActuals354[Team 2],FA$3)</f>
        <v>0</v>
      </c>
      <c r="FB11" s="57"/>
      <c r="FC11" s="57"/>
      <c r="FD11" s="57"/>
      <c r="FE11" s="57"/>
      <c r="FF11" s="57"/>
      <c r="FG11" s="57"/>
      <c r="FH11" s="57"/>
      <c r="FI11" s="57"/>
      <c r="FJ11" s="4"/>
      <c r="FK11" s="4" t="s">
        <v>127</v>
      </c>
      <c r="FL11" s="56">
        <f>SUMIFS(tblActuals354[Team 2 Goals],tblActuals354[Team 2],$CU11,tblActuals354[Team 1],FL$3)+SUMIFS(tblActuals354[Team 1 Goals],tblActuals354[Team 1],$CU11,tblActuals354[Team 2],FL$3)</f>
        <v>0</v>
      </c>
      <c r="FM11" s="56">
        <f>SUMIFS(tblActuals354[Team 2 Goals],tblActuals354[Team 2],$CU11,tblActuals354[Team 1],FM$3)+SUMIFS(tblActuals354[Team 1 Goals],tblActuals354[Team 1],$CU11,tblActuals354[Team 2],FM$3)</f>
        <v>0</v>
      </c>
      <c r="FN11" s="56">
        <f>SUMIFS(tblActuals354[Team 2 Goals],tblActuals354[Team 2],$CU11,tblActuals354[Team 1],FN$3)+SUMIFS(tblActuals354[Team 1 Goals],tblActuals354[Team 1],$CU11,tblActuals354[Team 2],FN$3)</f>
        <v>0</v>
      </c>
      <c r="FO11" s="56">
        <f>SUMIFS(tblActuals354[Team 2 Goals],tblActuals354[Team 2],$CU11,tblActuals354[Team 1],FO$3)+SUMIFS(tblActuals354[Team 1 Goals],tblActuals354[Team 1],$CU11,tblActuals354[Team 2],FO$3)</f>
        <v>0</v>
      </c>
      <c r="FP11" s="56">
        <f>SUMIFS(tblActuals354[Team 2 Goals],tblActuals354[Team 2],$CU11,tblActuals354[Team 1],FP$3)+SUMIFS(tblActuals354[Team 1 Goals],tblActuals354[Team 1],$CU11,tblActuals354[Team 2],FP$3)</f>
        <v>0</v>
      </c>
      <c r="FQ11" s="56">
        <f>SUMIFS(tblActuals354[Team 2 Goals],tblActuals354[Team 2],$CU11,tblActuals354[Team 1],FQ$3)+SUMIFS(tblActuals354[Team 1 Goals],tblActuals354[Team 1],$CU11,tblActuals354[Team 2],FQ$3)</f>
        <v>0</v>
      </c>
      <c r="FR11" s="56">
        <f>SUMIFS(tblActuals354[Team 2 Goals],tblActuals354[Team 2],$CU11,tblActuals354[Team 1],FR$3)+SUMIFS(tblActuals354[Team 1 Goals],tblActuals354[Team 1],$CU11,tblActuals354[Team 2],FR$3)</f>
        <v>0</v>
      </c>
      <c r="FS11" s="56">
        <f>SUMIFS(tblActuals354[Team 2 Goals],tblActuals354[Team 2],$CU11,tblActuals354[Team 1],FS$3)+SUMIFS(tblActuals354[Team 1 Goals],tblActuals354[Team 1],$CU11,tblActuals354[Team 2],FS$3)</f>
        <v>0</v>
      </c>
      <c r="FT11" s="56">
        <f>SUMIFS(tblActuals354[Team 2 Goals],tblActuals354[Team 2],$CU11,tblActuals354[Team 1],FT$3)+SUMIFS(tblActuals354[Team 1 Goals],tblActuals354[Team 1],$CU11,tblActuals354[Team 2],FT$3)</f>
        <v>0</v>
      </c>
      <c r="FU11" s="56">
        <f>SUMIFS(tblActuals354[Team 2 Goals],tblActuals354[Team 2],$CU11,tblActuals354[Team 1],FU$3)+SUMIFS(tblActuals354[Team 1 Goals],tblActuals354[Team 1],$CU11,tblActuals354[Team 2],FU$3)</f>
        <v>0</v>
      </c>
      <c r="FV11" s="56">
        <f>SUMIFS(tblActuals354[Team 2 Goals],tblActuals354[Team 2],$CU11,tblActuals354[Team 1],FV$3)+SUMIFS(tblActuals354[Team 1 Goals],tblActuals354[Team 1],$CU11,tblActuals354[Team 2],FV$3)</f>
        <v>0</v>
      </c>
      <c r="FW11" s="56">
        <f>SUMIFS(tblActuals354[Team 2 Goals],tblActuals354[Team 2],$CU11,tblActuals354[Team 1],FW$3)+SUMIFS(tblActuals354[Team 1 Goals],tblActuals354[Team 1],$CU11,tblActuals354[Team 2],FW$3)</f>
        <v>0</v>
      </c>
      <c r="FX11" s="56">
        <f>SUMIFS(tblActuals354[Team 2 Goals],tblActuals354[Team 2],$CU11,tblActuals354[Team 1],FX$3)+SUMIFS(tblActuals354[Team 1 Goals],tblActuals354[Team 1],$CU11,tblActuals354[Team 2],FX$3)</f>
        <v>0</v>
      </c>
      <c r="FY11" s="56">
        <f>SUMIFS(tblActuals354[Team 2 Goals],tblActuals354[Team 2],$CU11,tblActuals354[Team 1],FY$3)+SUMIFS(tblActuals354[Team 1 Goals],tblActuals354[Team 1],$CU11,tblActuals354[Team 2],FY$3)</f>
        <v>0</v>
      </c>
      <c r="FZ11" s="56">
        <f>SUMIFS(tblActuals354[Team 2 Goals],tblActuals354[Team 2],$CU11,tblActuals354[Team 1],FZ$3)+SUMIFS(tblActuals354[Team 1 Goals],tblActuals354[Team 1],$CU11,tblActuals354[Team 2],FZ$3)</f>
        <v>0</v>
      </c>
      <c r="GA11" s="56">
        <f>SUMIFS(tblActuals354[Team 2 Goals],tblActuals354[Team 2],$CU11,tblActuals354[Team 1],GA$3)+SUMIFS(tblActuals354[Team 1 Goals],tblActuals354[Team 1],$CU11,tblActuals354[Team 2],GA$3)</f>
        <v>0</v>
      </c>
      <c r="GB11" s="56">
        <f>SUMIFS(tblActuals354[Team 2 Goals],tblActuals354[Team 2],$CU11,tblActuals354[Team 1],GB$3)+SUMIFS(tblActuals354[Team 1 Goals],tblActuals354[Team 1],$CU11,tblActuals354[Team 2],GB$3)</f>
        <v>0</v>
      </c>
      <c r="GC11" s="56">
        <f>SUMIFS(tblActuals354[Team 2 Goals],tblActuals354[Team 2],$CU11,tblActuals354[Team 1],GC$3)+SUMIFS(tblActuals354[Team 1 Goals],tblActuals354[Team 1],$CU11,tblActuals354[Team 2],GC$3)</f>
        <v>0</v>
      </c>
      <c r="GD11" s="56">
        <f>SUMIFS(tblActuals354[Team 2 Goals],tblActuals354[Team 2],$CU11,tblActuals354[Team 1],GD$3)+SUMIFS(tblActuals354[Team 1 Goals],tblActuals354[Team 1],$CU11,tblActuals354[Team 2],GD$3)</f>
        <v>0</v>
      </c>
      <c r="GE11" s="56">
        <f>SUMIFS(tblActuals354[Team 2 Goals],tblActuals354[Team 2],$CU11,tblActuals354[Team 1],GE$3)+SUMIFS(tblActuals354[Team 1 Goals],tblActuals354[Team 1],$CU11,tblActuals354[Team 2],GE$3)</f>
        <v>0</v>
      </c>
      <c r="GF11" s="56">
        <f>SUMIFS(tblActuals354[Team 2 Goals],tblActuals354[Team 2],$CU11,tblActuals354[Team 1],GF$3)+SUMIFS(tblActuals354[Team 1 Goals],tblActuals354[Team 1],$CU11,tblActuals354[Team 2],GF$3)</f>
        <v>0</v>
      </c>
      <c r="GG11" s="56">
        <f>SUMIFS(tblActuals354[Team 2 Goals],tblActuals354[Team 2],$CU11,tblActuals354[Team 1],GG$3)+SUMIFS(tblActuals354[Team 1 Goals],tblActuals354[Team 1],$CU11,tblActuals354[Team 2],GG$3)</f>
        <v>0</v>
      </c>
      <c r="GH11" s="56">
        <f>SUMIFS(tblActuals354[Team 2 Goals],tblActuals354[Team 2],$CU11,tblActuals354[Team 1],GH$3)+SUMIFS(tblActuals354[Team 1 Goals],tblActuals354[Team 1],$CU11,tblActuals354[Team 2],GH$3)</f>
        <v>0</v>
      </c>
      <c r="GI11" s="56">
        <f>SUMIFS(tblActuals354[Team 2 Goals],tblActuals354[Team 2],$CU11,tblActuals354[Team 1],GI$3)+SUMIFS(tblActuals354[Team 1 Goals],tblActuals354[Team 1],$CU11,tblActuals354[Team 2],GI$3)</f>
        <v>0</v>
      </c>
      <c r="GJ11" s="57"/>
      <c r="GK11" s="57"/>
      <c r="GL11" s="37"/>
      <c r="GM11" s="37"/>
      <c r="GN11" s="37"/>
      <c r="GO11" s="37"/>
      <c r="GP11" s="37"/>
      <c r="GQ11" s="37"/>
      <c r="GR11" s="75"/>
      <c r="GS11" s="156"/>
      <c r="GT11" s="156"/>
      <c r="GU11" s="75"/>
      <c r="GV11" s="75"/>
      <c r="GW11" s="75"/>
      <c r="GX11" s="75"/>
      <c r="GY11" s="75"/>
      <c r="GZ11" s="75"/>
      <c r="HB11" s="4" t="str">
        <f t="shared" si="12"/>
        <v>ACDE</v>
      </c>
      <c r="HC11" s="44" t="s">
        <v>1</v>
      </c>
      <c r="HD11" s="45"/>
      <c r="HE11" s="44" t="s">
        <v>6</v>
      </c>
      <c r="HF11" s="44" t="s">
        <v>7</v>
      </c>
      <c r="HG11" s="44" t="s">
        <v>12</v>
      </c>
      <c r="HH11" s="45"/>
      <c r="HI11" s="178"/>
      <c r="HJ11" s="45" t="s">
        <v>153</v>
      </c>
      <c r="HK11" s="45" t="s">
        <v>150</v>
      </c>
      <c r="HL11" s="45" t="s">
        <v>152</v>
      </c>
      <c r="HM11" s="45" t="s">
        <v>149</v>
      </c>
    </row>
    <row r="12" spans="1:221" s="11" customFormat="1" ht="30" customHeight="1" x14ac:dyDescent="0.2">
      <c r="A12" s="20"/>
      <c r="B12" s="122">
        <v>9</v>
      </c>
      <c r="C12" s="122" t="s">
        <v>12</v>
      </c>
      <c r="D12" s="123">
        <v>45460</v>
      </c>
      <c r="E12" s="122" t="s">
        <v>86</v>
      </c>
      <c r="F12" s="124">
        <v>0.75</v>
      </c>
      <c r="G12" s="125">
        <f t="shared" si="11"/>
        <v>45460.5</v>
      </c>
      <c r="H12" s="122" t="s">
        <v>97</v>
      </c>
      <c r="I12" s="126"/>
      <c r="J12" s="118"/>
      <c r="K12" s="118"/>
      <c r="L12" s="174">
        <f>IF(I12="",0,IFERROR(IF(SCORING.RULES!$C$8="No",1,((VLOOKUP($B12,ACTUALS!$B$4:$L$100,7,FALSE)=$H12)+(VLOOKUP($B12,ACTUALS!$B$4:$L$100,7,FALSE)=S12)))*(M12+N12+O12+P12+Q12),0))+$R12</f>
        <v>0</v>
      </c>
      <c r="M12" s="168">
        <f>IFERROR(IF($B12="","",IF(U12=INDEX(ACTUALS!$AA$4:$AA$100,MATCH($B12,ACTUALS!$B$4:$B$100,0),1),CorrectScore,0)),0)</f>
        <v>0</v>
      </c>
      <c r="N12" s="157" t="str">
        <f>IFERROR(IF(I12="","",IF(INDEX(ACTUALS!$AB$4:$AB$100,MATCH($B12,ACTUALS!$B$4:$B$100,0),1)=(AB12+AC12+AH12+AI12),CorrectNumberofGoals,0)),0)</f>
        <v/>
      </c>
      <c r="O12" s="157"/>
      <c r="P12" s="157">
        <f>IFERROR(IF(B12="","",IF(INDEX(ACTUALS!$L$4:$L$100,MATCH($B12,ACTUALS!$B$4:$B$100,0),1)=W12,CorrectResult,0)),0)</f>
        <v>3</v>
      </c>
      <c r="Q12" s="157"/>
      <c r="R12" s="157"/>
      <c r="S12" s="157" t="str">
        <f t="shared" si="0"/>
        <v/>
      </c>
      <c r="T12" s="157"/>
      <c r="U12" s="157" t="str">
        <f t="shared" si="1"/>
        <v/>
      </c>
      <c r="V12" s="157" t="str">
        <f t="shared" si="2"/>
        <v/>
      </c>
      <c r="W12" s="119" t="str">
        <f>IF(tblActuals354[[#This Row],[SCORE]]="","",IF(AB12=AC12,"Draw",IF(AB12&gt;AC12,X12,Y12)))</f>
        <v/>
      </c>
      <c r="X12" s="120" t="str">
        <f>IF(tblActuals354[[#This Row],[TEAMS]]="","",LEFT(H12,FIND(" -",H12,1)-1))</f>
        <v>Belgium</v>
      </c>
      <c r="Y12" s="120" t="str">
        <f>IF(tblActuals354[[#This Row],[TEAMS]]="","",MID(H12,FIND("-",H12,1)+2,LEN(H12)-FIND("-",H12,1)+2))</f>
        <v>Slovakia</v>
      </c>
      <c r="Z12" s="120" t="str">
        <f>IF(tblActuals354[[#This Row],[Team 1 Goals]]&gt;tblActuals354[[#This Row],[Team 2 Goals]],tblActuals354[[#This Row],[Team 1]],IF(tblActuals354[[#This Row],[Team 2 Goals]]&gt;tblActuals354[[#This Row],[Team 1 Goals]],tblActuals354[[#This Row],[Team 2]],""))</f>
        <v/>
      </c>
      <c r="AA12" s="120" t="str">
        <f>IF(tblActuals354[[#This Row],[Winner]]=tblActuals354[[#This Row],[Team 1]],tblActuals354[[#This Row],[Team 2]],IF(tblActuals354[[#This Row],[Winner]]=tblActuals354[[#This Row],[Team 2]],tblActuals354[[#This Row],[Team 1]],""))</f>
        <v/>
      </c>
      <c r="AB12" s="120" t="str">
        <f>IF(tblActuals354[[#This Row],[SCORE]]="","",LEFT(I12,FIND(":",I12,1)-1)*1)</f>
        <v/>
      </c>
      <c r="AC12" s="120" t="str">
        <f>IF(tblActuals354[[#This Row],[SCORE]]="","",MID(I12,FIND(":",I12,1)+1,LEN(I12)-FIND(":",I12,1)+1)*1)</f>
        <v/>
      </c>
      <c r="AD12" s="120" t="str">
        <f>IF(OR(tblActuals354[[#This Row],[Team 1 Goals]]="",tblActuals354[[#This Row],[Team 2 Goals]]=""),"",tblActuals354[[#This Row],[Team 1 Goals]]-tblActuals354[[#This Row],[Team 2 Goals]])</f>
        <v/>
      </c>
      <c r="AE12" s="120" t="str">
        <f>IF(OR(tblActuals354[[#This Row],[Team 1 Goals]]="",tblActuals354[[#This Row],[Team 2 Goals]]=""),"",tblActuals354[[#This Row],[Team 2 Goals]]-tblActuals354[[#This Row],[Team 1 Goals]])</f>
        <v/>
      </c>
      <c r="AF12" s="120" t="str">
        <f>IF(tblActuals354[[#This Row],[SCORE]]="","",IF(tblActuals354[[#This Row],[WINNER / RESULT]]="Draw",1,IF(tblActuals354[[#This Row],[WINNER / RESULT]]=tblActuals354[[#This Row],[Team 1]],3,0)))</f>
        <v/>
      </c>
      <c r="AG12" s="120" t="str">
        <f>IF(tblActuals354[[#This Row],[SCORE]]="","",IF(tblActuals354[[#This Row],[WINNER / RESULT]]="Draw",1,IF(tblActuals354[[#This Row],[WINNER / RESULT]]=tblActuals354[[#This Row],[Team 2]],3,0)))</f>
        <v/>
      </c>
      <c r="AH12" s="121"/>
      <c r="AI12" s="121"/>
      <c r="AJ12" s="121"/>
      <c r="AK12" s="121"/>
      <c r="AL12" s="120" t="e">
        <f>tblActuals354[[#This Row],[Team 1 Goals]]+tblActuals354[[#This Row],[Team 1 ET Goals]]&amp;":"&amp;tblActuals354[[#This Row],[Team 2 Goals]]+tblActuals354[[#This Row],[Team 2 ET Goals]]</f>
        <v>#VALUE!</v>
      </c>
      <c r="AM12" s="120" t="e">
        <f>+tblActuals354[[#This Row],[Team 1 Goals]]+tblActuals354[[#This Row],[Team 2 Goals]]</f>
        <v>#VALUE!</v>
      </c>
      <c r="AN12" s="161">
        <f t="shared" si="3"/>
        <v>45460</v>
      </c>
      <c r="AP12" s="38" t="s">
        <v>87</v>
      </c>
      <c r="AT12" s="77" t="s">
        <v>5</v>
      </c>
      <c r="AU12" s="136">
        <v>1</v>
      </c>
      <c r="AV12" s="137" t="str">
        <f ca="1">IFERROR(INDEX(BD:BD,MATCH("1"&amp;AT12,BN:BN,0),1),"")</f>
        <v>Albania</v>
      </c>
      <c r="AW12" s="137" t="str">
        <f ca="1">IF(AV12="","",VLOOKUP(AV12,BD:BI,2,FALSE)&amp;"-"&amp;VLOOKUP(AV12,BD:BI,3,FALSE)&amp;"-"&amp;VLOOKUP(AV12,BD:BI,4,FALSE))</f>
        <v>0-0-0</v>
      </c>
      <c r="AX12" s="137">
        <f ca="1">IF(AV12="","",VLOOKUP(AV12,BD:BK,8,FALSE))</f>
        <v>0</v>
      </c>
      <c r="AY12" s="138">
        <f ca="1">IF(AV12="","",VLOOKUP(AV12,BD:BN,5,FALSE))</f>
        <v>0</v>
      </c>
      <c r="AZ12" s="75"/>
      <c r="BA12" s="42"/>
      <c r="BB12" s="4"/>
      <c r="BC12" s="4" t="s">
        <v>5</v>
      </c>
      <c r="BD12" s="4" t="s">
        <v>28</v>
      </c>
      <c r="BE12" s="4">
        <f>COUNTIF(tblActuals354[Winner],BD12)</f>
        <v>0</v>
      </c>
      <c r="BF12" s="4">
        <f>COUNTIFS(tblActuals354[Team 2],BD12,tblActuals354[WINNER / RESULT],"Draw")+COUNTIFS(tblActuals354[Team 1],BD12,tblActuals354[WINNER / RESULT],"Draw")</f>
        <v>0</v>
      </c>
      <c r="BG12" s="4">
        <f>COUNTIF(tblActuals354[Loser],BD12)</f>
        <v>0</v>
      </c>
      <c r="BH12" s="4">
        <f>BF12+(3*BE12)</f>
        <v>0</v>
      </c>
      <c r="BI12" s="4">
        <f>SUMIFS(tblActuals354[Team 1 Goals],tblActuals354[Team 1],BD12)+SUMIFS(tblActuals354[Team 2 Goals],tblActuals354[Team 2],BD12)</f>
        <v>0</v>
      </c>
      <c r="BJ12" s="4">
        <f>SUMIFS(tblActuals354[Team 2 Goals],tblActuals354[Team 1],BD12)+SUMIFS(tblActuals354[Team 1 Goals],tblActuals354[Team 2],BD12)</f>
        <v>0</v>
      </c>
      <c r="BK12" s="4">
        <f>BI12-BJ12</f>
        <v>0</v>
      </c>
      <c r="BL12" s="4">
        <f ca="1">RANK(BY12,$BY$9:$BY$12,1)</f>
        <v>4</v>
      </c>
      <c r="BM12" s="4" t="str">
        <f t="shared" si="4"/>
        <v/>
      </c>
      <c r="BN12" s="4" t="str">
        <f ca="1">IF(BM12="",BL12&amp;BC12,BM12&amp;BC12)</f>
        <v>4B</v>
      </c>
      <c r="BO12" s="4">
        <f>RANK(BH12,$BH$9:$BH$12,0)</f>
        <v>1</v>
      </c>
      <c r="BP12" s="4" cm="1">
        <f t="array" aca="1" ref="BP12" ca="1">SUMPRODUCT((OFFSET($CV$3:$EA$3,MATCH($BD12,$CU$4:$CU$35,0),0))*((IF($BO10=$BO12,$CV$3:$EA$3=$BD10,0))+(IF($BO9=$BO12,$CV$3:$EA$3=$BD9,0))+(IF($BO11=$BO12,$CV$3:$EA$3=$BD11,0))))</f>
        <v>0</v>
      </c>
      <c r="BQ12" s="4" cm="1">
        <f t="array" aca="1" ref="BQ12" ca="1">SUMPRODUCT((OFFSET($ED$3:$FI$3,MATCH($BD12,$EC$4:$EC$35,0),0))*((IF($BO10=$BO12,$ED$3:$FI$3=$BD10,0))+(IF($BO9=$BO12,$ED$3:$FI$3=$BD9,0))+(IF($BO11=$BO12,$ED$3:$FI$3=$BD11,0))))</f>
        <v>0</v>
      </c>
      <c r="BR12" s="4" cm="1">
        <f t="array" aca="1" ref="BR12" ca="1">SUMPRODUCT((OFFSET($FL$3:$GQ$3,MATCH($BD12,$FK$4:$FK$35,0),0))*((IF($BO10=$BO12,$FL$3:$GQ$3=$BD10,0))+(IF($BO9=$BO12,$FL$3:$GQ$3=$BD9,0))+(IF($BO11=$BO12,$FL$3:$GQ$3=$BD11,0))))</f>
        <v>0</v>
      </c>
      <c r="BS12" s="4" cm="1">
        <f t="array" aca="1" ref="BS12" ca="1">SUMPRODUCT((OFFSET($CV$3:$EA$3,MATCH($BD12,$CU$4:$CU$35,0),0))*((IF($BO10&lt;&gt;$BO12,$CV$3:$EA$3=$BD10,0))+(IF($BO9&lt;&gt;$BO12,$CV$3:$EA$3=$BD9,0))+(IF($BO11&lt;&gt;$BO12,$CV$3:$EA$3=$BD11,0))))</f>
        <v>0</v>
      </c>
      <c r="BT12" s="4" cm="1">
        <f t="array" aca="1" ref="BT12" ca="1">SUMPRODUCT((OFFSET($ED$3:$FI$3,MATCH($BD12,$EC$4:$EC$35,0),0))*((IF($BO10&lt;&gt;$BO12,$ED$3:$FI$3=$BD10,0))+(IF($BO9&lt;&gt;$BO12,$ED$3:$FI$3=$BD9,0))+(IF($BO11&lt;&gt;$BO12,$ED$3:$FI$3=$BD11,0))))</f>
        <v>0</v>
      </c>
      <c r="BU12" s="4" cm="1">
        <f t="array" aca="1" ref="BU12" ca="1">SUMPRODUCT((OFFSET($FL$3:$GQ$3,MATCH($BD12,$FK$4:$FK$35,0),0))*((IF($BO10&lt;&gt;$BO12,$FL$3:$GQ$3=$BD10,0))+(IF($BO9&lt;&gt;$BO12,$FL$3:$GQ$3=$BD9,0))+(IF($BO11&lt;&gt;$BO12,$FL$3:$GQ$3=$BD11,0))))</f>
        <v>0</v>
      </c>
      <c r="BV12" s="4">
        <f>BK12</f>
        <v>0</v>
      </c>
      <c r="BW12" s="4">
        <f>BI12</f>
        <v>0</v>
      </c>
      <c r="BX12" s="4">
        <f ca="1">(BP12/10)+(BQ12/100)+(BR12/1000)+(BT12/10000)+(BU12/100000)+(BV12/1000000)+(BW12/10000000)+(ROW(BS9)/100000000)</f>
        <v>8.9999999999999999E-8</v>
      </c>
      <c r="BY12" s="4">
        <f ca="1">+BO12-BX12</f>
        <v>0.99999990999999999</v>
      </c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U12" s="4" t="s">
        <v>128</v>
      </c>
      <c r="CV12" s="56">
        <f>SUMIFS(tblActuals354[Team 2 Points],tblActuals354[Team 2],$CU12,tblActuals354[Team 1],CV$3)+SUMIFS(tblActuals354[Team 1 Points],tblActuals354[Team 1],$CU12,tblActuals354[Team 2],CV$3)</f>
        <v>0</v>
      </c>
      <c r="CW12" s="56">
        <f>SUMIFS(tblActuals354[Team 2 Points],tblActuals354[Team 2],$CU12,tblActuals354[Team 1],CW$3)+SUMIFS(tblActuals354[Team 1 Points],tblActuals354[Team 1],$CU12,tblActuals354[Team 2],CW$3)</f>
        <v>0</v>
      </c>
      <c r="CX12" s="56">
        <f>SUMIFS(tblActuals354[Team 2 Points],tblActuals354[Team 2],$CU12,tblActuals354[Team 1],CX$3)+SUMIFS(tblActuals354[Team 1 Points],tblActuals354[Team 1],$CU12,tblActuals354[Team 2],CX$3)</f>
        <v>0</v>
      </c>
      <c r="CY12" s="56">
        <f>SUMIFS(tblActuals354[Team 2 Points],tblActuals354[Team 2],$CU12,tblActuals354[Team 1],CY$3)+SUMIFS(tblActuals354[Team 1 Points],tblActuals354[Team 1],$CU12,tblActuals354[Team 2],CY$3)</f>
        <v>0</v>
      </c>
      <c r="CZ12" s="56">
        <f>SUMIFS(tblActuals354[Team 2 Points],tblActuals354[Team 2],$CU12,tblActuals354[Team 1],CZ$3)+SUMIFS(tblActuals354[Team 1 Points],tblActuals354[Team 1],$CU12,tblActuals354[Team 2],CZ$3)</f>
        <v>0</v>
      </c>
      <c r="DA12" s="56">
        <f>SUMIFS(tblActuals354[Team 2 Points],tblActuals354[Team 2],$CU12,tblActuals354[Team 1],DA$3)+SUMIFS(tblActuals354[Team 1 Points],tblActuals354[Team 1],$CU12,tblActuals354[Team 2],DA$3)</f>
        <v>0</v>
      </c>
      <c r="DB12" s="56">
        <f>SUMIFS(tblActuals354[Team 2 Points],tblActuals354[Team 2],$CU12,tblActuals354[Team 1],DB$3)+SUMIFS(tblActuals354[Team 1 Points],tblActuals354[Team 1],$CU12,tblActuals354[Team 2],DB$3)</f>
        <v>0</v>
      </c>
      <c r="DC12" s="56">
        <f>SUMIFS(tblActuals354[Team 2 Points],tblActuals354[Team 2],$CU12,tblActuals354[Team 1],DC$3)+SUMIFS(tblActuals354[Team 1 Points],tblActuals354[Team 1],$CU12,tblActuals354[Team 2],DC$3)</f>
        <v>0</v>
      </c>
      <c r="DD12" s="56">
        <f>SUMIFS(tblActuals354[Team 2 Points],tblActuals354[Team 2],$CU12,tblActuals354[Team 1],DD$3)+SUMIFS(tblActuals354[Team 1 Points],tblActuals354[Team 1],$CU12,tblActuals354[Team 2],DD$3)</f>
        <v>0</v>
      </c>
      <c r="DE12" s="56">
        <f>SUMIFS(tblActuals354[Team 2 Points],tblActuals354[Team 2],$CU12,tblActuals354[Team 1],DE$3)+SUMIFS(tblActuals354[Team 1 Points],tblActuals354[Team 1],$CU12,tblActuals354[Team 2],DE$3)</f>
        <v>0</v>
      </c>
      <c r="DF12" s="56">
        <f>SUMIFS(tblActuals354[Team 2 Points],tblActuals354[Team 2],$CU12,tblActuals354[Team 1],DF$3)+SUMIFS(tblActuals354[Team 1 Points],tblActuals354[Team 1],$CU12,tblActuals354[Team 2],DF$3)</f>
        <v>0</v>
      </c>
      <c r="DG12" s="56">
        <f>SUMIFS(tblActuals354[Team 2 Points],tblActuals354[Team 2],$CU12,tblActuals354[Team 1],DG$3)+SUMIFS(tblActuals354[Team 1 Points],tblActuals354[Team 1],$CU12,tblActuals354[Team 2],DG$3)</f>
        <v>0</v>
      </c>
      <c r="DH12" s="56">
        <f>SUMIFS(tblActuals354[Team 2 Points],tblActuals354[Team 2],$CU12,tblActuals354[Team 1],DH$3)+SUMIFS(tblActuals354[Team 1 Points],tblActuals354[Team 1],$CU12,tblActuals354[Team 2],DH$3)</f>
        <v>0</v>
      </c>
      <c r="DI12" s="56">
        <f>SUMIFS(tblActuals354[Team 2 Points],tblActuals354[Team 2],$CU12,tblActuals354[Team 1],DI$3)+SUMIFS(tblActuals354[Team 1 Points],tblActuals354[Team 1],$CU12,tblActuals354[Team 2],DI$3)</f>
        <v>0</v>
      </c>
      <c r="DJ12" s="56">
        <f>SUMIFS(tblActuals354[Team 2 Points],tblActuals354[Team 2],$CU12,tblActuals354[Team 1],DJ$3)+SUMIFS(tblActuals354[Team 1 Points],tblActuals354[Team 1],$CU12,tblActuals354[Team 2],DJ$3)</f>
        <v>0</v>
      </c>
      <c r="DK12" s="56">
        <f>SUMIFS(tblActuals354[Team 2 Points],tblActuals354[Team 2],$CU12,tblActuals354[Team 1],DK$3)+SUMIFS(tblActuals354[Team 1 Points],tblActuals354[Team 1],$CU12,tblActuals354[Team 2],DK$3)</f>
        <v>0</v>
      </c>
      <c r="DL12" s="56">
        <f>SUMIFS(tblActuals354[Team 2 Points],tblActuals354[Team 2],$CU12,tblActuals354[Team 1],DL$3)+SUMIFS(tblActuals354[Team 1 Points],tblActuals354[Team 1],$CU12,tblActuals354[Team 2],DL$3)</f>
        <v>0</v>
      </c>
      <c r="DM12" s="56">
        <f>SUMIFS(tblActuals354[Team 2 Points],tblActuals354[Team 2],$CU12,tblActuals354[Team 1],DM$3)+SUMIFS(tblActuals354[Team 1 Points],tblActuals354[Team 1],$CU12,tblActuals354[Team 2],DM$3)</f>
        <v>0</v>
      </c>
      <c r="DN12" s="56">
        <f>SUMIFS(tblActuals354[Team 2 Points],tblActuals354[Team 2],$CU12,tblActuals354[Team 1],DN$3)+SUMIFS(tblActuals354[Team 1 Points],tblActuals354[Team 1],$CU12,tblActuals354[Team 2],DN$3)</f>
        <v>0</v>
      </c>
      <c r="DO12" s="56">
        <f>SUMIFS(tblActuals354[Team 2 Points],tblActuals354[Team 2],$CU12,tblActuals354[Team 1],DO$3)+SUMIFS(tblActuals354[Team 1 Points],tblActuals354[Team 1],$CU12,tblActuals354[Team 2],DO$3)</f>
        <v>0</v>
      </c>
      <c r="DP12" s="56">
        <f>SUMIFS(tblActuals354[Team 2 Points],tblActuals354[Team 2],$CU12,tblActuals354[Team 1],DP$3)+SUMIFS(tblActuals354[Team 1 Points],tblActuals354[Team 1],$CU12,tblActuals354[Team 2],DP$3)</f>
        <v>0</v>
      </c>
      <c r="DQ12" s="56">
        <f>SUMIFS(tblActuals354[Team 2 Points],tblActuals354[Team 2],$CU12,tblActuals354[Team 1],DQ$3)+SUMIFS(tblActuals354[Team 1 Points],tblActuals354[Team 1],$CU12,tblActuals354[Team 2],DQ$3)</f>
        <v>0</v>
      </c>
      <c r="DR12" s="56">
        <f>SUMIFS(tblActuals354[Team 2 Points],tblActuals354[Team 2],$CU12,tblActuals354[Team 1],DR$3)+SUMIFS(tblActuals354[Team 1 Points],tblActuals354[Team 1],$CU12,tblActuals354[Team 2],DR$3)</f>
        <v>0</v>
      </c>
      <c r="DS12" s="56">
        <f>SUMIFS(tblActuals354[Team 2 Points],tblActuals354[Team 2],$CU12,tblActuals354[Team 1],DS$3)+SUMIFS(tblActuals354[Team 1 Points],tblActuals354[Team 1],$CU12,tblActuals354[Team 2],DS$3)</f>
        <v>0</v>
      </c>
      <c r="DT12" s="57"/>
      <c r="DU12" s="57"/>
      <c r="DV12" s="57"/>
      <c r="DW12" s="57"/>
      <c r="DX12" s="57"/>
      <c r="DY12" s="57"/>
      <c r="DZ12" s="57"/>
      <c r="EA12" s="57"/>
      <c r="EB12" s="4"/>
      <c r="EC12" s="4" t="s">
        <v>128</v>
      </c>
      <c r="ED12" s="56">
        <f>SUMIFS(tblActuals354[Team 2 GD],tblActuals354[Team 2],$CU12,tblActuals354[Team 1],ED$3)+SUMIFS(tblActuals354[Team 1 GD],tblActuals354[Team 1],$CU12,tblActuals354[Team 2],ED$3)</f>
        <v>0</v>
      </c>
      <c r="EE12" s="56">
        <f>SUMIFS(tblActuals354[Team 2 GD],tblActuals354[Team 2],$CU12,tblActuals354[Team 1],EE$3)+SUMIFS(tblActuals354[Team 1 GD],tblActuals354[Team 1],$CU12,tblActuals354[Team 2],EE$3)</f>
        <v>0</v>
      </c>
      <c r="EF12" s="56">
        <f>SUMIFS(tblActuals354[Team 2 GD],tblActuals354[Team 2],$CU12,tblActuals354[Team 1],EF$3)+SUMIFS(tblActuals354[Team 1 GD],tblActuals354[Team 1],$CU12,tblActuals354[Team 2],EF$3)</f>
        <v>0</v>
      </c>
      <c r="EG12" s="56">
        <f>SUMIFS(tblActuals354[Team 2 GD],tblActuals354[Team 2],$CU12,tblActuals354[Team 1],EG$3)+SUMIFS(tblActuals354[Team 1 GD],tblActuals354[Team 1],$CU12,tblActuals354[Team 2],EG$3)</f>
        <v>0</v>
      </c>
      <c r="EH12" s="56">
        <f>SUMIFS(tblActuals354[Team 2 GD],tblActuals354[Team 2],$CU12,tblActuals354[Team 1],EH$3)+SUMIFS(tblActuals354[Team 1 GD],tblActuals354[Team 1],$CU12,tblActuals354[Team 2],EH$3)</f>
        <v>0</v>
      </c>
      <c r="EI12" s="56">
        <f>SUMIFS(tblActuals354[Team 2 GD],tblActuals354[Team 2],$CU12,tblActuals354[Team 1],EI$3)+SUMIFS(tblActuals354[Team 1 GD],tblActuals354[Team 1],$CU12,tblActuals354[Team 2],EI$3)</f>
        <v>0</v>
      </c>
      <c r="EJ12" s="56">
        <f>SUMIFS(tblActuals354[Team 2 GD],tblActuals354[Team 2],$CU12,tblActuals354[Team 1],EJ$3)+SUMIFS(tblActuals354[Team 1 GD],tblActuals354[Team 1],$CU12,tblActuals354[Team 2],EJ$3)</f>
        <v>0</v>
      </c>
      <c r="EK12" s="56">
        <f>SUMIFS(tblActuals354[Team 2 GD],tblActuals354[Team 2],$CU12,tblActuals354[Team 1],EK$3)+SUMIFS(tblActuals354[Team 1 GD],tblActuals354[Team 1],$CU12,tblActuals354[Team 2],EK$3)</f>
        <v>0</v>
      </c>
      <c r="EL12" s="56">
        <f>SUMIFS(tblActuals354[Team 2 GD],tblActuals354[Team 2],$CU12,tblActuals354[Team 1],EL$3)+SUMIFS(tblActuals354[Team 1 GD],tblActuals354[Team 1],$CU12,tblActuals354[Team 2],EL$3)</f>
        <v>0</v>
      </c>
      <c r="EM12" s="56">
        <f>SUMIFS(tblActuals354[Team 2 GD],tblActuals354[Team 2],$CU12,tblActuals354[Team 1],EM$3)+SUMIFS(tblActuals354[Team 1 GD],tblActuals354[Team 1],$CU12,tblActuals354[Team 2],EM$3)</f>
        <v>0</v>
      </c>
      <c r="EN12" s="56">
        <f>SUMIFS(tblActuals354[Team 2 GD],tblActuals354[Team 2],$CU12,tblActuals354[Team 1],EN$3)+SUMIFS(tblActuals354[Team 1 GD],tblActuals354[Team 1],$CU12,tblActuals354[Team 2],EN$3)</f>
        <v>0</v>
      </c>
      <c r="EO12" s="56">
        <f>SUMIFS(tblActuals354[Team 2 GD],tblActuals354[Team 2],$CU12,tblActuals354[Team 1],EO$3)+SUMIFS(tblActuals354[Team 1 GD],tblActuals354[Team 1],$CU12,tblActuals354[Team 2],EO$3)</f>
        <v>0</v>
      </c>
      <c r="EP12" s="56">
        <f>SUMIFS(tblActuals354[Team 2 GD],tblActuals354[Team 2],$CU12,tblActuals354[Team 1],EP$3)+SUMIFS(tblActuals354[Team 1 GD],tblActuals354[Team 1],$CU12,tblActuals354[Team 2],EP$3)</f>
        <v>0</v>
      </c>
      <c r="EQ12" s="56">
        <f>SUMIFS(tblActuals354[Team 2 GD],tblActuals354[Team 2],$CU12,tblActuals354[Team 1],EQ$3)+SUMIFS(tblActuals354[Team 1 GD],tblActuals354[Team 1],$CU12,tblActuals354[Team 2],EQ$3)</f>
        <v>0</v>
      </c>
      <c r="ER12" s="56">
        <f>SUMIFS(tblActuals354[Team 2 GD],tblActuals354[Team 2],$CU12,tblActuals354[Team 1],ER$3)+SUMIFS(tblActuals354[Team 1 GD],tblActuals354[Team 1],$CU12,tblActuals354[Team 2],ER$3)</f>
        <v>0</v>
      </c>
      <c r="ES12" s="56">
        <f>SUMIFS(tblActuals354[Team 2 GD],tblActuals354[Team 2],$CU12,tblActuals354[Team 1],ES$3)+SUMIFS(tblActuals354[Team 1 GD],tblActuals354[Team 1],$CU12,tblActuals354[Team 2],ES$3)</f>
        <v>0</v>
      </c>
      <c r="ET12" s="56">
        <f>SUMIFS(tblActuals354[Team 2 GD],tblActuals354[Team 2],$CU12,tblActuals354[Team 1],ET$3)+SUMIFS(tblActuals354[Team 1 GD],tblActuals354[Team 1],$CU12,tblActuals354[Team 2],ET$3)</f>
        <v>0</v>
      </c>
      <c r="EU12" s="56">
        <f>SUMIFS(tblActuals354[Team 2 GD],tblActuals354[Team 2],$CU12,tblActuals354[Team 1],EU$3)+SUMIFS(tblActuals354[Team 1 GD],tblActuals354[Team 1],$CU12,tblActuals354[Team 2],EU$3)</f>
        <v>0</v>
      </c>
      <c r="EV12" s="56">
        <f>SUMIFS(tblActuals354[Team 2 GD],tblActuals354[Team 2],$CU12,tblActuals354[Team 1],EV$3)+SUMIFS(tblActuals354[Team 1 GD],tblActuals354[Team 1],$CU12,tblActuals354[Team 2],EV$3)</f>
        <v>0</v>
      </c>
      <c r="EW12" s="56">
        <f>SUMIFS(tblActuals354[Team 2 GD],tblActuals354[Team 2],$CU12,tblActuals354[Team 1],EW$3)+SUMIFS(tblActuals354[Team 1 GD],tblActuals354[Team 1],$CU12,tblActuals354[Team 2],EW$3)</f>
        <v>0</v>
      </c>
      <c r="EX12" s="56">
        <f>SUMIFS(tblActuals354[Team 2 GD],tblActuals354[Team 2],$CU12,tblActuals354[Team 1],EX$3)+SUMIFS(tblActuals354[Team 1 GD],tblActuals354[Team 1],$CU12,tblActuals354[Team 2],EX$3)</f>
        <v>0</v>
      </c>
      <c r="EY12" s="56">
        <f>SUMIFS(tblActuals354[Team 2 GD],tblActuals354[Team 2],$CU12,tblActuals354[Team 1],EY$3)+SUMIFS(tblActuals354[Team 1 GD],tblActuals354[Team 1],$CU12,tblActuals354[Team 2],EY$3)</f>
        <v>0</v>
      </c>
      <c r="EZ12" s="56">
        <f>SUMIFS(tblActuals354[Team 2 GD],tblActuals354[Team 2],$CU12,tblActuals354[Team 1],EZ$3)+SUMIFS(tblActuals354[Team 1 GD],tblActuals354[Team 1],$CU12,tblActuals354[Team 2],EZ$3)</f>
        <v>0</v>
      </c>
      <c r="FA12" s="56">
        <f>SUMIFS(tblActuals354[Team 2 GD],tblActuals354[Team 2],$CU12,tblActuals354[Team 1],FA$3)+SUMIFS(tblActuals354[Team 1 GD],tblActuals354[Team 1],$CU12,tblActuals354[Team 2],FA$3)</f>
        <v>0</v>
      </c>
      <c r="FB12" s="57"/>
      <c r="FC12" s="57"/>
      <c r="FD12" s="57"/>
      <c r="FE12" s="57"/>
      <c r="FF12" s="57"/>
      <c r="FG12" s="57"/>
      <c r="FH12" s="57"/>
      <c r="FI12" s="57"/>
      <c r="FJ12" s="4"/>
      <c r="FK12" s="4" t="s">
        <v>128</v>
      </c>
      <c r="FL12" s="56">
        <f>SUMIFS(tblActuals354[Team 2 Goals],tblActuals354[Team 2],$CU12,tblActuals354[Team 1],FL$3)+SUMIFS(tblActuals354[Team 1 Goals],tblActuals354[Team 1],$CU12,tblActuals354[Team 2],FL$3)</f>
        <v>0</v>
      </c>
      <c r="FM12" s="56">
        <f>SUMIFS(tblActuals354[Team 2 Goals],tblActuals354[Team 2],$CU12,tblActuals354[Team 1],FM$3)+SUMIFS(tblActuals354[Team 1 Goals],tblActuals354[Team 1],$CU12,tblActuals354[Team 2],FM$3)</f>
        <v>0</v>
      </c>
      <c r="FN12" s="56">
        <f>SUMIFS(tblActuals354[Team 2 Goals],tblActuals354[Team 2],$CU12,tblActuals354[Team 1],FN$3)+SUMIFS(tblActuals354[Team 1 Goals],tblActuals354[Team 1],$CU12,tblActuals354[Team 2],FN$3)</f>
        <v>0</v>
      </c>
      <c r="FO12" s="56">
        <f>SUMIFS(tblActuals354[Team 2 Goals],tblActuals354[Team 2],$CU12,tblActuals354[Team 1],FO$3)+SUMIFS(tblActuals354[Team 1 Goals],tblActuals354[Team 1],$CU12,tblActuals354[Team 2],FO$3)</f>
        <v>0</v>
      </c>
      <c r="FP12" s="56">
        <f>SUMIFS(tblActuals354[Team 2 Goals],tblActuals354[Team 2],$CU12,tblActuals354[Team 1],FP$3)+SUMIFS(tblActuals354[Team 1 Goals],tblActuals354[Team 1],$CU12,tblActuals354[Team 2],FP$3)</f>
        <v>0</v>
      </c>
      <c r="FQ12" s="56">
        <f>SUMIFS(tblActuals354[Team 2 Goals],tblActuals354[Team 2],$CU12,tblActuals354[Team 1],FQ$3)+SUMIFS(tblActuals354[Team 1 Goals],tblActuals354[Team 1],$CU12,tblActuals354[Team 2],FQ$3)</f>
        <v>0</v>
      </c>
      <c r="FR12" s="56">
        <f>SUMIFS(tblActuals354[Team 2 Goals],tblActuals354[Team 2],$CU12,tblActuals354[Team 1],FR$3)+SUMIFS(tblActuals354[Team 1 Goals],tblActuals354[Team 1],$CU12,tblActuals354[Team 2],FR$3)</f>
        <v>0</v>
      </c>
      <c r="FS12" s="56">
        <f>SUMIFS(tblActuals354[Team 2 Goals],tblActuals354[Team 2],$CU12,tblActuals354[Team 1],FS$3)+SUMIFS(tblActuals354[Team 1 Goals],tblActuals354[Team 1],$CU12,tblActuals354[Team 2],FS$3)</f>
        <v>0</v>
      </c>
      <c r="FT12" s="56">
        <f>SUMIFS(tblActuals354[Team 2 Goals],tblActuals354[Team 2],$CU12,tblActuals354[Team 1],FT$3)+SUMIFS(tblActuals354[Team 1 Goals],tblActuals354[Team 1],$CU12,tblActuals354[Team 2],FT$3)</f>
        <v>0</v>
      </c>
      <c r="FU12" s="56">
        <f>SUMIFS(tblActuals354[Team 2 Goals],tblActuals354[Team 2],$CU12,tblActuals354[Team 1],FU$3)+SUMIFS(tblActuals354[Team 1 Goals],tblActuals354[Team 1],$CU12,tblActuals354[Team 2],FU$3)</f>
        <v>0</v>
      </c>
      <c r="FV12" s="56">
        <f>SUMIFS(tblActuals354[Team 2 Goals],tblActuals354[Team 2],$CU12,tblActuals354[Team 1],FV$3)+SUMIFS(tblActuals354[Team 1 Goals],tblActuals354[Team 1],$CU12,tblActuals354[Team 2],FV$3)</f>
        <v>0</v>
      </c>
      <c r="FW12" s="56">
        <f>SUMIFS(tblActuals354[Team 2 Goals],tblActuals354[Team 2],$CU12,tblActuals354[Team 1],FW$3)+SUMIFS(tblActuals354[Team 1 Goals],tblActuals354[Team 1],$CU12,tblActuals354[Team 2],FW$3)</f>
        <v>0</v>
      </c>
      <c r="FX12" s="56">
        <f>SUMIFS(tblActuals354[Team 2 Goals],tblActuals354[Team 2],$CU12,tblActuals354[Team 1],FX$3)+SUMIFS(tblActuals354[Team 1 Goals],tblActuals354[Team 1],$CU12,tblActuals354[Team 2],FX$3)</f>
        <v>0</v>
      </c>
      <c r="FY12" s="56">
        <f>SUMIFS(tblActuals354[Team 2 Goals],tblActuals354[Team 2],$CU12,tblActuals354[Team 1],FY$3)+SUMIFS(tblActuals354[Team 1 Goals],tblActuals354[Team 1],$CU12,tblActuals354[Team 2],FY$3)</f>
        <v>0</v>
      </c>
      <c r="FZ12" s="56">
        <f>SUMIFS(tblActuals354[Team 2 Goals],tblActuals354[Team 2],$CU12,tblActuals354[Team 1],FZ$3)+SUMIFS(tblActuals354[Team 1 Goals],tblActuals354[Team 1],$CU12,tblActuals354[Team 2],FZ$3)</f>
        <v>0</v>
      </c>
      <c r="GA12" s="56">
        <f>SUMIFS(tblActuals354[Team 2 Goals],tblActuals354[Team 2],$CU12,tblActuals354[Team 1],GA$3)+SUMIFS(tblActuals354[Team 1 Goals],tblActuals354[Team 1],$CU12,tblActuals354[Team 2],GA$3)</f>
        <v>0</v>
      </c>
      <c r="GB12" s="56">
        <f>SUMIFS(tblActuals354[Team 2 Goals],tblActuals354[Team 2],$CU12,tblActuals354[Team 1],GB$3)+SUMIFS(tblActuals354[Team 1 Goals],tblActuals354[Team 1],$CU12,tblActuals354[Team 2],GB$3)</f>
        <v>0</v>
      </c>
      <c r="GC12" s="56">
        <f>SUMIFS(tblActuals354[Team 2 Goals],tblActuals354[Team 2],$CU12,tblActuals354[Team 1],GC$3)+SUMIFS(tblActuals354[Team 1 Goals],tblActuals354[Team 1],$CU12,tblActuals354[Team 2],GC$3)</f>
        <v>0</v>
      </c>
      <c r="GD12" s="56">
        <f>SUMIFS(tblActuals354[Team 2 Goals],tblActuals354[Team 2],$CU12,tblActuals354[Team 1],GD$3)+SUMIFS(tblActuals354[Team 1 Goals],tblActuals354[Team 1],$CU12,tblActuals354[Team 2],GD$3)</f>
        <v>0</v>
      </c>
      <c r="GE12" s="56">
        <f>SUMIFS(tblActuals354[Team 2 Goals],tblActuals354[Team 2],$CU12,tblActuals354[Team 1],GE$3)+SUMIFS(tblActuals354[Team 1 Goals],tblActuals354[Team 1],$CU12,tblActuals354[Team 2],GE$3)</f>
        <v>0</v>
      </c>
      <c r="GF12" s="56">
        <f>SUMIFS(tblActuals354[Team 2 Goals],tblActuals354[Team 2],$CU12,tblActuals354[Team 1],GF$3)+SUMIFS(tblActuals354[Team 1 Goals],tblActuals354[Team 1],$CU12,tblActuals354[Team 2],GF$3)</f>
        <v>0</v>
      </c>
      <c r="GG12" s="56">
        <f>SUMIFS(tblActuals354[Team 2 Goals],tblActuals354[Team 2],$CU12,tblActuals354[Team 1],GG$3)+SUMIFS(tblActuals354[Team 1 Goals],tblActuals354[Team 1],$CU12,tblActuals354[Team 2],GG$3)</f>
        <v>0</v>
      </c>
      <c r="GH12" s="56">
        <f>SUMIFS(tblActuals354[Team 2 Goals],tblActuals354[Team 2],$CU12,tblActuals354[Team 1],GH$3)+SUMIFS(tblActuals354[Team 1 Goals],tblActuals354[Team 1],$CU12,tblActuals354[Team 2],GH$3)</f>
        <v>0</v>
      </c>
      <c r="GI12" s="56">
        <f>SUMIFS(tblActuals354[Team 2 Goals],tblActuals354[Team 2],$CU12,tblActuals354[Team 1],GI$3)+SUMIFS(tblActuals354[Team 1 Goals],tblActuals354[Team 1],$CU12,tblActuals354[Team 2],GI$3)</f>
        <v>0</v>
      </c>
      <c r="GJ12" s="57"/>
      <c r="GK12" s="57"/>
      <c r="GL12" s="37"/>
      <c r="GM12" s="37"/>
      <c r="GN12" s="37"/>
      <c r="GO12" s="37"/>
      <c r="GP12" s="37"/>
      <c r="GQ12" s="37"/>
      <c r="GR12" s="75"/>
      <c r="GS12" s="156"/>
      <c r="GT12" s="156"/>
      <c r="GU12" s="75"/>
      <c r="GV12" s="75"/>
      <c r="GW12" s="75"/>
      <c r="GX12" s="75"/>
      <c r="GY12" s="75"/>
      <c r="GZ12" s="75"/>
      <c r="HB12" s="4" t="str">
        <f t="shared" si="12"/>
        <v>ACDF</v>
      </c>
      <c r="HC12" s="44" t="s">
        <v>1</v>
      </c>
      <c r="HD12" s="45"/>
      <c r="HE12" s="44" t="s">
        <v>6</v>
      </c>
      <c r="HF12" s="44" t="s">
        <v>7</v>
      </c>
      <c r="HG12" s="45"/>
      <c r="HH12" s="44" t="s">
        <v>45</v>
      </c>
      <c r="HI12" s="178"/>
      <c r="HJ12" s="45" t="s">
        <v>154</v>
      </c>
      <c r="HK12" s="45" t="s">
        <v>150</v>
      </c>
      <c r="HL12" s="45" t="s">
        <v>152</v>
      </c>
      <c r="HM12" s="45" t="s">
        <v>149</v>
      </c>
    </row>
    <row r="13" spans="1:221" s="11" customFormat="1" ht="30" customHeight="1" x14ac:dyDescent="0.2">
      <c r="A13" s="20"/>
      <c r="B13" s="122">
        <v>10</v>
      </c>
      <c r="C13" s="122" t="s">
        <v>12</v>
      </c>
      <c r="D13" s="123">
        <v>45460</v>
      </c>
      <c r="E13" s="122" t="s">
        <v>78</v>
      </c>
      <c r="F13" s="124">
        <v>0.625</v>
      </c>
      <c r="G13" s="125">
        <f t="shared" si="11"/>
        <v>45460.375</v>
      </c>
      <c r="H13" s="122" t="s">
        <v>98</v>
      </c>
      <c r="I13" s="126"/>
      <c r="J13" s="118"/>
      <c r="K13" s="118"/>
      <c r="L13" s="174">
        <f>IF(I13="",0,IFERROR(IF(SCORING.RULES!$C$8="No",1,((VLOOKUP($B13,ACTUALS!$B$4:$L$100,7,FALSE)=$H13)+(VLOOKUP($B13,ACTUALS!$B$4:$L$100,7,FALSE)=S13)))*(M13+N13+O13+P13+Q13),0))+$R13</f>
        <v>0</v>
      </c>
      <c r="M13" s="168">
        <f>IFERROR(IF($B13="","",IF(U13=INDEX(ACTUALS!$AA$4:$AA$100,MATCH($B13,ACTUALS!$B$4:$B$100,0),1),CorrectScore,0)),0)</f>
        <v>0</v>
      </c>
      <c r="N13" s="157" t="str">
        <f>IFERROR(IF(I13="","",IF(INDEX(ACTUALS!$AB$4:$AB$100,MATCH($B13,ACTUALS!$B$4:$B$100,0),1)=(AB13+AC13+AH13+AI13),CorrectNumberofGoals,0)),0)</f>
        <v/>
      </c>
      <c r="O13" s="157"/>
      <c r="P13" s="157">
        <f>IFERROR(IF(B13="","",IF(INDEX(ACTUALS!$L$4:$L$100,MATCH($B13,ACTUALS!$B$4:$B$100,0),1)=W13,CorrectResult,0)),0)</f>
        <v>3</v>
      </c>
      <c r="Q13" s="157"/>
      <c r="R13" s="157"/>
      <c r="S13" s="157" t="str">
        <f t="shared" si="0"/>
        <v/>
      </c>
      <c r="T13" s="157"/>
      <c r="U13" s="157" t="str">
        <f t="shared" si="1"/>
        <v/>
      </c>
      <c r="V13" s="157" t="str">
        <f t="shared" si="2"/>
        <v/>
      </c>
      <c r="W13" s="119" t="str">
        <f>IF(tblActuals354[[#This Row],[SCORE]]="","",IF(AB13=AC13,"Draw",IF(AB13&gt;AC13,X13,Y13)))</f>
        <v/>
      </c>
      <c r="X13" s="120" t="str">
        <f>IF(tblActuals354[[#This Row],[TEAMS]]="","",LEFT(H13,FIND(" -",H13,1)-1))</f>
        <v>Romania</v>
      </c>
      <c r="Y13" s="120" t="str">
        <f>IF(tblActuals354[[#This Row],[TEAMS]]="","",MID(H13,FIND("-",H13,1)+2,LEN(H13)-FIND("-",H13,1)+2))</f>
        <v>Ukraine</v>
      </c>
      <c r="Z13" s="120" t="str">
        <f>IF(tblActuals354[[#This Row],[Team 1 Goals]]&gt;tblActuals354[[#This Row],[Team 2 Goals]],tblActuals354[[#This Row],[Team 1]],IF(tblActuals354[[#This Row],[Team 2 Goals]]&gt;tblActuals354[[#This Row],[Team 1 Goals]],tblActuals354[[#This Row],[Team 2]],""))</f>
        <v/>
      </c>
      <c r="AA13" s="120" t="str">
        <f>IF(tblActuals354[[#This Row],[Winner]]=tblActuals354[[#This Row],[Team 1]],tblActuals354[[#This Row],[Team 2]],IF(tblActuals354[[#This Row],[Winner]]=tblActuals354[[#This Row],[Team 2]],tblActuals354[[#This Row],[Team 1]],""))</f>
        <v/>
      </c>
      <c r="AB13" s="120" t="str">
        <f>IF(tblActuals354[[#This Row],[SCORE]]="","",LEFT(I13,FIND(":",I13,1)-1)*1)</f>
        <v/>
      </c>
      <c r="AC13" s="120" t="str">
        <f>IF(tblActuals354[[#This Row],[SCORE]]="","",MID(I13,FIND(":",I13,1)+1,LEN(I13)-FIND(":",I13,1)+1)*1)</f>
        <v/>
      </c>
      <c r="AD13" s="120" t="str">
        <f>IF(OR(tblActuals354[[#This Row],[Team 1 Goals]]="",tblActuals354[[#This Row],[Team 2 Goals]]=""),"",tblActuals354[[#This Row],[Team 1 Goals]]-tblActuals354[[#This Row],[Team 2 Goals]])</f>
        <v/>
      </c>
      <c r="AE13" s="120" t="str">
        <f>IF(OR(tblActuals354[[#This Row],[Team 1 Goals]]="",tblActuals354[[#This Row],[Team 2 Goals]]=""),"",tblActuals354[[#This Row],[Team 2 Goals]]-tblActuals354[[#This Row],[Team 1 Goals]])</f>
        <v/>
      </c>
      <c r="AF13" s="120" t="str">
        <f>IF(tblActuals354[[#This Row],[SCORE]]="","",IF(tblActuals354[[#This Row],[WINNER / RESULT]]="Draw",1,IF(tblActuals354[[#This Row],[WINNER / RESULT]]=tblActuals354[[#This Row],[Team 1]],3,0)))</f>
        <v/>
      </c>
      <c r="AG13" s="120" t="str">
        <f>IF(tblActuals354[[#This Row],[SCORE]]="","",IF(tblActuals354[[#This Row],[WINNER / RESULT]]="Draw",1,IF(tblActuals354[[#This Row],[WINNER / RESULT]]=tblActuals354[[#This Row],[Team 2]],3,0)))</f>
        <v/>
      </c>
      <c r="AH13" s="121"/>
      <c r="AI13" s="121"/>
      <c r="AJ13" s="121"/>
      <c r="AK13" s="121"/>
      <c r="AL13" s="120" t="e">
        <f>tblActuals354[[#This Row],[Team 1 Goals]]+tblActuals354[[#This Row],[Team 1 ET Goals]]&amp;":"&amp;tblActuals354[[#This Row],[Team 2 Goals]]+tblActuals354[[#This Row],[Team 2 ET Goals]]</f>
        <v>#VALUE!</v>
      </c>
      <c r="AM13" s="120" t="e">
        <f>+tblActuals354[[#This Row],[Team 1 Goals]]+tblActuals354[[#This Row],[Team 2 Goals]]</f>
        <v>#VALUE!</v>
      </c>
      <c r="AN13" s="161">
        <f t="shared" si="3"/>
        <v>45460</v>
      </c>
      <c r="AP13" s="38" t="s">
        <v>78</v>
      </c>
      <c r="AT13" s="77" t="s">
        <v>5</v>
      </c>
      <c r="AU13" s="139">
        <v>2</v>
      </c>
      <c r="AV13" s="140" t="str">
        <f ca="1">IFERROR(INDEX(BD:BD,MATCH("2"&amp;AT13,BN:BN,0),1),"")</f>
        <v>Croatia</v>
      </c>
      <c r="AW13" s="140" t="str">
        <f ca="1">IF(AV13="","",VLOOKUP(AV13,BD:BI,2,FALSE)&amp;"-"&amp;VLOOKUP(AV13,BD:BI,3,FALSE)&amp;"-"&amp;VLOOKUP(AV13,BD:BI,4,FALSE))</f>
        <v>0-0-0</v>
      </c>
      <c r="AX13" s="140">
        <f ca="1">IF(AV13="","",VLOOKUP(AV13,BD:BK,8,FALSE))</f>
        <v>0</v>
      </c>
      <c r="AY13" s="141">
        <f ca="1">IF(AV13="","",VLOOKUP(AV13,BD:BN,5,FALSE))</f>
        <v>0</v>
      </c>
      <c r="AZ13" s="75"/>
      <c r="BA13" s="42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 t="str">
        <f t="shared" si="4"/>
        <v/>
      </c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U13" s="4" t="s">
        <v>25</v>
      </c>
      <c r="CV13" s="56">
        <f>SUMIFS(tblActuals354[Team 2 Points],tblActuals354[Team 2],$CU13,tblActuals354[Team 1],CV$3)+SUMIFS(tblActuals354[Team 1 Points],tblActuals354[Team 1],$CU13,tblActuals354[Team 2],CV$3)</f>
        <v>0</v>
      </c>
      <c r="CW13" s="56">
        <f>SUMIFS(tblActuals354[Team 2 Points],tblActuals354[Team 2],$CU13,tblActuals354[Team 1],CW$3)+SUMIFS(tblActuals354[Team 1 Points],tblActuals354[Team 1],$CU13,tblActuals354[Team 2],CW$3)</f>
        <v>0</v>
      </c>
      <c r="CX13" s="56">
        <f>SUMIFS(tblActuals354[Team 2 Points],tblActuals354[Team 2],$CU13,tblActuals354[Team 1],CX$3)+SUMIFS(tblActuals354[Team 1 Points],tblActuals354[Team 1],$CU13,tblActuals354[Team 2],CX$3)</f>
        <v>0</v>
      </c>
      <c r="CY13" s="56">
        <f>SUMIFS(tblActuals354[Team 2 Points],tblActuals354[Team 2],$CU13,tblActuals354[Team 1],CY$3)+SUMIFS(tblActuals354[Team 1 Points],tblActuals354[Team 1],$CU13,tblActuals354[Team 2],CY$3)</f>
        <v>0</v>
      </c>
      <c r="CZ13" s="56">
        <f>SUMIFS(tblActuals354[Team 2 Points],tblActuals354[Team 2],$CU13,tblActuals354[Team 1],CZ$3)+SUMIFS(tblActuals354[Team 1 Points],tblActuals354[Team 1],$CU13,tblActuals354[Team 2],CZ$3)</f>
        <v>0</v>
      </c>
      <c r="DA13" s="56">
        <f>SUMIFS(tblActuals354[Team 2 Points],tblActuals354[Team 2],$CU13,tblActuals354[Team 1],DA$3)+SUMIFS(tblActuals354[Team 1 Points],tblActuals354[Team 1],$CU13,tblActuals354[Team 2],DA$3)</f>
        <v>0</v>
      </c>
      <c r="DB13" s="56">
        <f>SUMIFS(tblActuals354[Team 2 Points],tblActuals354[Team 2],$CU13,tblActuals354[Team 1],DB$3)+SUMIFS(tblActuals354[Team 1 Points],tblActuals354[Team 1],$CU13,tblActuals354[Team 2],DB$3)</f>
        <v>0</v>
      </c>
      <c r="DC13" s="56">
        <f>SUMIFS(tblActuals354[Team 2 Points],tblActuals354[Team 2],$CU13,tblActuals354[Team 1],DC$3)+SUMIFS(tblActuals354[Team 1 Points],tblActuals354[Team 1],$CU13,tblActuals354[Team 2],DC$3)</f>
        <v>0</v>
      </c>
      <c r="DD13" s="56">
        <f>SUMIFS(tblActuals354[Team 2 Points],tblActuals354[Team 2],$CU13,tblActuals354[Team 1],DD$3)+SUMIFS(tblActuals354[Team 1 Points],tblActuals354[Team 1],$CU13,tblActuals354[Team 2],DD$3)</f>
        <v>0</v>
      </c>
      <c r="DE13" s="56">
        <f>SUMIFS(tblActuals354[Team 2 Points],tblActuals354[Team 2],$CU13,tblActuals354[Team 1],DE$3)+SUMIFS(tblActuals354[Team 1 Points],tblActuals354[Team 1],$CU13,tblActuals354[Team 2],DE$3)</f>
        <v>0</v>
      </c>
      <c r="DF13" s="56">
        <f>SUMIFS(tblActuals354[Team 2 Points],tblActuals354[Team 2],$CU13,tblActuals354[Team 1],DF$3)+SUMIFS(tblActuals354[Team 1 Points],tblActuals354[Team 1],$CU13,tblActuals354[Team 2],DF$3)</f>
        <v>0</v>
      </c>
      <c r="DG13" s="56">
        <f>SUMIFS(tblActuals354[Team 2 Points],tblActuals354[Team 2],$CU13,tblActuals354[Team 1],DG$3)+SUMIFS(tblActuals354[Team 1 Points],tblActuals354[Team 1],$CU13,tblActuals354[Team 2],DG$3)</f>
        <v>0</v>
      </c>
      <c r="DH13" s="56">
        <f>SUMIFS(tblActuals354[Team 2 Points],tblActuals354[Team 2],$CU13,tblActuals354[Team 1],DH$3)+SUMIFS(tblActuals354[Team 1 Points],tblActuals354[Team 1],$CU13,tblActuals354[Team 2],DH$3)</f>
        <v>0</v>
      </c>
      <c r="DI13" s="56">
        <f>SUMIFS(tblActuals354[Team 2 Points],tblActuals354[Team 2],$CU13,tblActuals354[Team 1],DI$3)+SUMIFS(tblActuals354[Team 1 Points],tblActuals354[Team 1],$CU13,tblActuals354[Team 2],DI$3)</f>
        <v>0</v>
      </c>
      <c r="DJ13" s="56">
        <f>SUMIFS(tblActuals354[Team 2 Points],tblActuals354[Team 2],$CU13,tblActuals354[Team 1],DJ$3)+SUMIFS(tblActuals354[Team 1 Points],tblActuals354[Team 1],$CU13,tblActuals354[Team 2],DJ$3)</f>
        <v>0</v>
      </c>
      <c r="DK13" s="56">
        <f>SUMIFS(tblActuals354[Team 2 Points],tblActuals354[Team 2],$CU13,tblActuals354[Team 1],DK$3)+SUMIFS(tblActuals354[Team 1 Points],tblActuals354[Team 1],$CU13,tblActuals354[Team 2],DK$3)</f>
        <v>0</v>
      </c>
      <c r="DL13" s="56">
        <f>SUMIFS(tblActuals354[Team 2 Points],tblActuals354[Team 2],$CU13,tblActuals354[Team 1],DL$3)+SUMIFS(tblActuals354[Team 1 Points],tblActuals354[Team 1],$CU13,tblActuals354[Team 2],DL$3)</f>
        <v>0</v>
      </c>
      <c r="DM13" s="56">
        <f>SUMIFS(tblActuals354[Team 2 Points],tblActuals354[Team 2],$CU13,tblActuals354[Team 1],DM$3)+SUMIFS(tblActuals354[Team 1 Points],tblActuals354[Team 1],$CU13,tblActuals354[Team 2],DM$3)</f>
        <v>0</v>
      </c>
      <c r="DN13" s="56">
        <f>SUMIFS(tblActuals354[Team 2 Points],tblActuals354[Team 2],$CU13,tblActuals354[Team 1],DN$3)+SUMIFS(tblActuals354[Team 1 Points],tblActuals354[Team 1],$CU13,tblActuals354[Team 2],DN$3)</f>
        <v>0</v>
      </c>
      <c r="DO13" s="56">
        <f>SUMIFS(tblActuals354[Team 2 Points],tblActuals354[Team 2],$CU13,tblActuals354[Team 1],DO$3)+SUMIFS(tblActuals354[Team 1 Points],tblActuals354[Team 1],$CU13,tblActuals354[Team 2],DO$3)</f>
        <v>0</v>
      </c>
      <c r="DP13" s="56">
        <f>SUMIFS(tblActuals354[Team 2 Points],tblActuals354[Team 2],$CU13,tblActuals354[Team 1],DP$3)+SUMIFS(tblActuals354[Team 1 Points],tblActuals354[Team 1],$CU13,tblActuals354[Team 2],DP$3)</f>
        <v>0</v>
      </c>
      <c r="DQ13" s="56">
        <f>SUMIFS(tblActuals354[Team 2 Points],tblActuals354[Team 2],$CU13,tblActuals354[Team 1],DQ$3)+SUMIFS(tblActuals354[Team 1 Points],tblActuals354[Team 1],$CU13,tblActuals354[Team 2],DQ$3)</f>
        <v>0</v>
      </c>
      <c r="DR13" s="56">
        <f>SUMIFS(tblActuals354[Team 2 Points],tblActuals354[Team 2],$CU13,tblActuals354[Team 1],DR$3)+SUMIFS(tblActuals354[Team 1 Points],tblActuals354[Team 1],$CU13,tblActuals354[Team 2],DR$3)</f>
        <v>0</v>
      </c>
      <c r="DS13" s="56">
        <f>SUMIFS(tblActuals354[Team 2 Points],tblActuals354[Team 2],$CU13,tblActuals354[Team 1],DS$3)+SUMIFS(tblActuals354[Team 1 Points],tblActuals354[Team 1],$CU13,tblActuals354[Team 2],DS$3)</f>
        <v>0</v>
      </c>
      <c r="DT13" s="57"/>
      <c r="DU13" s="57"/>
      <c r="DV13" s="57"/>
      <c r="DW13" s="57"/>
      <c r="DX13" s="57"/>
      <c r="DY13" s="57"/>
      <c r="DZ13" s="57"/>
      <c r="EA13" s="57"/>
      <c r="EB13" s="4"/>
      <c r="EC13" s="4" t="s">
        <v>25</v>
      </c>
      <c r="ED13" s="56">
        <f>SUMIFS(tblActuals354[Team 2 GD],tblActuals354[Team 2],$CU13,tblActuals354[Team 1],ED$3)+SUMIFS(tblActuals354[Team 1 GD],tblActuals354[Team 1],$CU13,tblActuals354[Team 2],ED$3)</f>
        <v>0</v>
      </c>
      <c r="EE13" s="56">
        <f>SUMIFS(tblActuals354[Team 2 GD],tblActuals354[Team 2],$CU13,tblActuals354[Team 1],EE$3)+SUMIFS(tblActuals354[Team 1 GD],tblActuals354[Team 1],$CU13,tblActuals354[Team 2],EE$3)</f>
        <v>0</v>
      </c>
      <c r="EF13" s="56">
        <f>SUMIFS(tblActuals354[Team 2 GD],tblActuals354[Team 2],$CU13,tblActuals354[Team 1],EF$3)+SUMIFS(tblActuals354[Team 1 GD],tblActuals354[Team 1],$CU13,tblActuals354[Team 2],EF$3)</f>
        <v>0</v>
      </c>
      <c r="EG13" s="56">
        <f>SUMIFS(tblActuals354[Team 2 GD],tblActuals354[Team 2],$CU13,tblActuals354[Team 1],EG$3)+SUMIFS(tblActuals354[Team 1 GD],tblActuals354[Team 1],$CU13,tblActuals354[Team 2],EG$3)</f>
        <v>0</v>
      </c>
      <c r="EH13" s="56">
        <f>SUMIFS(tblActuals354[Team 2 GD],tblActuals354[Team 2],$CU13,tblActuals354[Team 1],EH$3)+SUMIFS(tblActuals354[Team 1 GD],tblActuals354[Team 1],$CU13,tblActuals354[Team 2],EH$3)</f>
        <v>0</v>
      </c>
      <c r="EI13" s="56">
        <f>SUMIFS(tblActuals354[Team 2 GD],tblActuals354[Team 2],$CU13,tblActuals354[Team 1],EI$3)+SUMIFS(tblActuals354[Team 1 GD],tblActuals354[Team 1],$CU13,tblActuals354[Team 2],EI$3)</f>
        <v>0</v>
      </c>
      <c r="EJ13" s="56">
        <f>SUMIFS(tblActuals354[Team 2 GD],tblActuals354[Team 2],$CU13,tblActuals354[Team 1],EJ$3)+SUMIFS(tblActuals354[Team 1 GD],tblActuals354[Team 1],$CU13,tblActuals354[Team 2],EJ$3)</f>
        <v>0</v>
      </c>
      <c r="EK13" s="56">
        <f>SUMIFS(tblActuals354[Team 2 GD],tblActuals354[Team 2],$CU13,tblActuals354[Team 1],EK$3)+SUMIFS(tblActuals354[Team 1 GD],tblActuals354[Team 1],$CU13,tblActuals354[Team 2],EK$3)</f>
        <v>0</v>
      </c>
      <c r="EL13" s="56">
        <f>SUMIFS(tblActuals354[Team 2 GD],tblActuals354[Team 2],$CU13,tblActuals354[Team 1],EL$3)+SUMIFS(tblActuals354[Team 1 GD],tblActuals354[Team 1],$CU13,tblActuals354[Team 2],EL$3)</f>
        <v>0</v>
      </c>
      <c r="EM13" s="56">
        <f>SUMIFS(tblActuals354[Team 2 GD],tblActuals354[Team 2],$CU13,tblActuals354[Team 1],EM$3)+SUMIFS(tblActuals354[Team 1 GD],tblActuals354[Team 1],$CU13,tblActuals354[Team 2],EM$3)</f>
        <v>0</v>
      </c>
      <c r="EN13" s="56">
        <f>SUMIFS(tblActuals354[Team 2 GD],tblActuals354[Team 2],$CU13,tblActuals354[Team 1],EN$3)+SUMIFS(tblActuals354[Team 1 GD],tblActuals354[Team 1],$CU13,tblActuals354[Team 2],EN$3)</f>
        <v>0</v>
      </c>
      <c r="EO13" s="56">
        <f>SUMIFS(tblActuals354[Team 2 GD],tblActuals354[Team 2],$CU13,tblActuals354[Team 1],EO$3)+SUMIFS(tblActuals354[Team 1 GD],tblActuals354[Team 1],$CU13,tblActuals354[Team 2],EO$3)</f>
        <v>0</v>
      </c>
      <c r="EP13" s="56">
        <f>SUMIFS(tblActuals354[Team 2 GD],tblActuals354[Team 2],$CU13,tblActuals354[Team 1],EP$3)+SUMIFS(tblActuals354[Team 1 GD],tblActuals354[Team 1],$CU13,tblActuals354[Team 2],EP$3)</f>
        <v>0</v>
      </c>
      <c r="EQ13" s="56">
        <f>SUMIFS(tblActuals354[Team 2 GD],tblActuals354[Team 2],$CU13,tblActuals354[Team 1],EQ$3)+SUMIFS(tblActuals354[Team 1 GD],tblActuals354[Team 1],$CU13,tblActuals354[Team 2],EQ$3)</f>
        <v>0</v>
      </c>
      <c r="ER13" s="56">
        <f>SUMIFS(tblActuals354[Team 2 GD],tblActuals354[Team 2],$CU13,tblActuals354[Team 1],ER$3)+SUMIFS(tblActuals354[Team 1 GD],tblActuals354[Team 1],$CU13,tblActuals354[Team 2],ER$3)</f>
        <v>0</v>
      </c>
      <c r="ES13" s="56">
        <f>SUMIFS(tblActuals354[Team 2 GD],tblActuals354[Team 2],$CU13,tblActuals354[Team 1],ES$3)+SUMIFS(tblActuals354[Team 1 GD],tblActuals354[Team 1],$CU13,tblActuals354[Team 2],ES$3)</f>
        <v>0</v>
      </c>
      <c r="ET13" s="56">
        <f>SUMIFS(tblActuals354[Team 2 GD],tblActuals354[Team 2],$CU13,tblActuals354[Team 1],ET$3)+SUMIFS(tblActuals354[Team 1 GD],tblActuals354[Team 1],$CU13,tblActuals354[Team 2],ET$3)</f>
        <v>0</v>
      </c>
      <c r="EU13" s="56">
        <f>SUMIFS(tblActuals354[Team 2 GD],tblActuals354[Team 2],$CU13,tblActuals354[Team 1],EU$3)+SUMIFS(tblActuals354[Team 1 GD],tblActuals354[Team 1],$CU13,tblActuals354[Team 2],EU$3)</f>
        <v>0</v>
      </c>
      <c r="EV13" s="56">
        <f>SUMIFS(tblActuals354[Team 2 GD],tblActuals354[Team 2],$CU13,tblActuals354[Team 1],EV$3)+SUMIFS(tblActuals354[Team 1 GD],tblActuals354[Team 1],$CU13,tblActuals354[Team 2],EV$3)</f>
        <v>0</v>
      </c>
      <c r="EW13" s="56">
        <f>SUMIFS(tblActuals354[Team 2 GD],tblActuals354[Team 2],$CU13,tblActuals354[Team 1],EW$3)+SUMIFS(tblActuals354[Team 1 GD],tblActuals354[Team 1],$CU13,tblActuals354[Team 2],EW$3)</f>
        <v>0</v>
      </c>
      <c r="EX13" s="56">
        <f>SUMIFS(tblActuals354[Team 2 GD],tblActuals354[Team 2],$CU13,tblActuals354[Team 1],EX$3)+SUMIFS(tblActuals354[Team 1 GD],tblActuals354[Team 1],$CU13,tblActuals354[Team 2],EX$3)</f>
        <v>0</v>
      </c>
      <c r="EY13" s="56">
        <f>SUMIFS(tblActuals354[Team 2 GD],tblActuals354[Team 2],$CU13,tblActuals354[Team 1],EY$3)+SUMIFS(tblActuals354[Team 1 GD],tblActuals354[Team 1],$CU13,tblActuals354[Team 2],EY$3)</f>
        <v>0</v>
      </c>
      <c r="EZ13" s="56">
        <f>SUMIFS(tblActuals354[Team 2 GD],tblActuals354[Team 2],$CU13,tblActuals354[Team 1],EZ$3)+SUMIFS(tblActuals354[Team 1 GD],tblActuals354[Team 1],$CU13,tblActuals354[Team 2],EZ$3)</f>
        <v>0</v>
      </c>
      <c r="FA13" s="56">
        <f>SUMIFS(tblActuals354[Team 2 GD],tblActuals354[Team 2],$CU13,tblActuals354[Team 1],FA$3)+SUMIFS(tblActuals354[Team 1 GD],tblActuals354[Team 1],$CU13,tblActuals354[Team 2],FA$3)</f>
        <v>0</v>
      </c>
      <c r="FB13" s="57"/>
      <c r="FC13" s="57"/>
      <c r="FD13" s="57"/>
      <c r="FE13" s="57"/>
      <c r="FF13" s="57"/>
      <c r="FG13" s="57"/>
      <c r="FH13" s="57"/>
      <c r="FI13" s="57"/>
      <c r="FJ13" s="4"/>
      <c r="FK13" s="4" t="s">
        <v>25</v>
      </c>
      <c r="FL13" s="56">
        <f>SUMIFS(tblActuals354[Team 2 Goals],tblActuals354[Team 2],$CU13,tblActuals354[Team 1],FL$3)+SUMIFS(tblActuals354[Team 1 Goals],tblActuals354[Team 1],$CU13,tblActuals354[Team 2],FL$3)</f>
        <v>0</v>
      </c>
      <c r="FM13" s="56">
        <f>SUMIFS(tblActuals354[Team 2 Goals],tblActuals354[Team 2],$CU13,tblActuals354[Team 1],FM$3)+SUMIFS(tblActuals354[Team 1 Goals],tblActuals354[Team 1],$CU13,tblActuals354[Team 2],FM$3)</f>
        <v>0</v>
      </c>
      <c r="FN13" s="56">
        <f>SUMIFS(tblActuals354[Team 2 Goals],tblActuals354[Team 2],$CU13,tblActuals354[Team 1],FN$3)+SUMIFS(tblActuals354[Team 1 Goals],tblActuals354[Team 1],$CU13,tblActuals354[Team 2],FN$3)</f>
        <v>0</v>
      </c>
      <c r="FO13" s="56">
        <f>SUMIFS(tblActuals354[Team 2 Goals],tblActuals354[Team 2],$CU13,tblActuals354[Team 1],FO$3)+SUMIFS(tblActuals354[Team 1 Goals],tblActuals354[Team 1],$CU13,tblActuals354[Team 2],FO$3)</f>
        <v>0</v>
      </c>
      <c r="FP13" s="56">
        <f>SUMIFS(tblActuals354[Team 2 Goals],tblActuals354[Team 2],$CU13,tblActuals354[Team 1],FP$3)+SUMIFS(tblActuals354[Team 1 Goals],tblActuals354[Team 1],$CU13,tblActuals354[Team 2],FP$3)</f>
        <v>0</v>
      </c>
      <c r="FQ13" s="56">
        <f>SUMIFS(tblActuals354[Team 2 Goals],tblActuals354[Team 2],$CU13,tblActuals354[Team 1],FQ$3)+SUMIFS(tblActuals354[Team 1 Goals],tblActuals354[Team 1],$CU13,tblActuals354[Team 2],FQ$3)</f>
        <v>0</v>
      </c>
      <c r="FR13" s="56">
        <f>SUMIFS(tblActuals354[Team 2 Goals],tblActuals354[Team 2],$CU13,tblActuals354[Team 1],FR$3)+SUMIFS(tblActuals354[Team 1 Goals],tblActuals354[Team 1],$CU13,tblActuals354[Team 2],FR$3)</f>
        <v>0</v>
      </c>
      <c r="FS13" s="56">
        <f>SUMIFS(tblActuals354[Team 2 Goals],tblActuals354[Team 2],$CU13,tblActuals354[Team 1],FS$3)+SUMIFS(tblActuals354[Team 1 Goals],tblActuals354[Team 1],$CU13,tblActuals354[Team 2],FS$3)</f>
        <v>0</v>
      </c>
      <c r="FT13" s="56">
        <f>SUMIFS(tblActuals354[Team 2 Goals],tblActuals354[Team 2],$CU13,tblActuals354[Team 1],FT$3)+SUMIFS(tblActuals354[Team 1 Goals],tblActuals354[Team 1],$CU13,tblActuals354[Team 2],FT$3)</f>
        <v>0</v>
      </c>
      <c r="FU13" s="56">
        <f>SUMIFS(tblActuals354[Team 2 Goals],tblActuals354[Team 2],$CU13,tblActuals354[Team 1],FU$3)+SUMIFS(tblActuals354[Team 1 Goals],tblActuals354[Team 1],$CU13,tblActuals354[Team 2],FU$3)</f>
        <v>0</v>
      </c>
      <c r="FV13" s="56">
        <f>SUMIFS(tblActuals354[Team 2 Goals],tblActuals354[Team 2],$CU13,tblActuals354[Team 1],FV$3)+SUMIFS(tblActuals354[Team 1 Goals],tblActuals354[Team 1],$CU13,tblActuals354[Team 2],FV$3)</f>
        <v>0</v>
      </c>
      <c r="FW13" s="56">
        <f>SUMIFS(tblActuals354[Team 2 Goals],tblActuals354[Team 2],$CU13,tblActuals354[Team 1],FW$3)+SUMIFS(tblActuals354[Team 1 Goals],tblActuals354[Team 1],$CU13,tblActuals354[Team 2],FW$3)</f>
        <v>0</v>
      </c>
      <c r="FX13" s="56">
        <f>SUMIFS(tblActuals354[Team 2 Goals],tblActuals354[Team 2],$CU13,tblActuals354[Team 1],FX$3)+SUMIFS(tblActuals354[Team 1 Goals],tblActuals354[Team 1],$CU13,tblActuals354[Team 2],FX$3)</f>
        <v>0</v>
      </c>
      <c r="FY13" s="56">
        <f>SUMIFS(tblActuals354[Team 2 Goals],tblActuals354[Team 2],$CU13,tblActuals354[Team 1],FY$3)+SUMIFS(tblActuals354[Team 1 Goals],tblActuals354[Team 1],$CU13,tblActuals354[Team 2],FY$3)</f>
        <v>0</v>
      </c>
      <c r="FZ13" s="56">
        <f>SUMIFS(tblActuals354[Team 2 Goals],tblActuals354[Team 2],$CU13,tblActuals354[Team 1],FZ$3)+SUMIFS(tblActuals354[Team 1 Goals],tblActuals354[Team 1],$CU13,tblActuals354[Team 2],FZ$3)</f>
        <v>0</v>
      </c>
      <c r="GA13" s="56">
        <f>SUMIFS(tblActuals354[Team 2 Goals],tblActuals354[Team 2],$CU13,tblActuals354[Team 1],GA$3)+SUMIFS(tblActuals354[Team 1 Goals],tblActuals354[Team 1],$CU13,tblActuals354[Team 2],GA$3)</f>
        <v>0</v>
      </c>
      <c r="GB13" s="56">
        <f>SUMIFS(tblActuals354[Team 2 Goals],tblActuals354[Team 2],$CU13,tblActuals354[Team 1],GB$3)+SUMIFS(tblActuals354[Team 1 Goals],tblActuals354[Team 1],$CU13,tblActuals354[Team 2],GB$3)</f>
        <v>0</v>
      </c>
      <c r="GC13" s="56">
        <f>SUMIFS(tblActuals354[Team 2 Goals],tblActuals354[Team 2],$CU13,tblActuals354[Team 1],GC$3)+SUMIFS(tblActuals354[Team 1 Goals],tblActuals354[Team 1],$CU13,tblActuals354[Team 2],GC$3)</f>
        <v>0</v>
      </c>
      <c r="GD13" s="56">
        <f>SUMIFS(tblActuals354[Team 2 Goals],tblActuals354[Team 2],$CU13,tblActuals354[Team 1],GD$3)+SUMIFS(tblActuals354[Team 1 Goals],tblActuals354[Team 1],$CU13,tblActuals354[Team 2],GD$3)</f>
        <v>0</v>
      </c>
      <c r="GE13" s="56">
        <f>SUMIFS(tblActuals354[Team 2 Goals],tblActuals354[Team 2],$CU13,tblActuals354[Team 1],GE$3)+SUMIFS(tblActuals354[Team 1 Goals],tblActuals354[Team 1],$CU13,tblActuals354[Team 2],GE$3)</f>
        <v>0</v>
      </c>
      <c r="GF13" s="56">
        <f>SUMIFS(tblActuals354[Team 2 Goals],tblActuals354[Team 2],$CU13,tblActuals354[Team 1],GF$3)+SUMIFS(tblActuals354[Team 1 Goals],tblActuals354[Team 1],$CU13,tblActuals354[Team 2],GF$3)</f>
        <v>0</v>
      </c>
      <c r="GG13" s="56">
        <f>SUMIFS(tblActuals354[Team 2 Goals],tblActuals354[Team 2],$CU13,tblActuals354[Team 1],GG$3)+SUMIFS(tblActuals354[Team 1 Goals],tblActuals354[Team 1],$CU13,tblActuals354[Team 2],GG$3)</f>
        <v>0</v>
      </c>
      <c r="GH13" s="56">
        <f>SUMIFS(tblActuals354[Team 2 Goals],tblActuals354[Team 2],$CU13,tblActuals354[Team 1],GH$3)+SUMIFS(tblActuals354[Team 1 Goals],tblActuals354[Team 1],$CU13,tblActuals354[Team 2],GH$3)</f>
        <v>0</v>
      </c>
      <c r="GI13" s="56">
        <f>SUMIFS(tblActuals354[Team 2 Goals],tblActuals354[Team 2],$CU13,tblActuals354[Team 1],GI$3)+SUMIFS(tblActuals354[Team 1 Goals],tblActuals354[Team 1],$CU13,tblActuals354[Team 2],GI$3)</f>
        <v>0</v>
      </c>
      <c r="GJ13" s="57"/>
      <c r="GK13" s="57"/>
      <c r="GL13" s="37"/>
      <c r="GM13" s="37"/>
      <c r="GN13" s="37"/>
      <c r="GO13" s="37"/>
      <c r="GP13" s="37"/>
      <c r="GQ13" s="37"/>
      <c r="GR13" s="75"/>
      <c r="GS13" s="156"/>
      <c r="GT13" s="156"/>
      <c r="GU13" s="75"/>
      <c r="GV13" s="75"/>
      <c r="GW13" s="75"/>
      <c r="GX13" s="75"/>
      <c r="GY13" s="75"/>
      <c r="GZ13" s="75"/>
      <c r="HB13" s="4" t="str">
        <f t="shared" si="12"/>
        <v>ACEF</v>
      </c>
      <c r="HC13" s="44" t="s">
        <v>1</v>
      </c>
      <c r="HD13" s="45"/>
      <c r="HE13" s="44" t="s">
        <v>6</v>
      </c>
      <c r="HF13" s="45"/>
      <c r="HG13" s="44" t="s">
        <v>12</v>
      </c>
      <c r="HH13" s="44" t="s">
        <v>45</v>
      </c>
      <c r="HI13" s="178"/>
      <c r="HJ13" s="45" t="s">
        <v>153</v>
      </c>
      <c r="HK13" s="45" t="s">
        <v>154</v>
      </c>
      <c r="HL13" s="45" t="s">
        <v>152</v>
      </c>
      <c r="HM13" s="45" t="s">
        <v>149</v>
      </c>
    </row>
    <row r="14" spans="1:221" s="11" customFormat="1" ht="30" customHeight="1" x14ac:dyDescent="0.2">
      <c r="A14" s="20"/>
      <c r="B14" s="122">
        <v>11</v>
      </c>
      <c r="C14" s="122" t="s">
        <v>45</v>
      </c>
      <c r="D14" s="123">
        <v>45461</v>
      </c>
      <c r="E14" s="122" t="s">
        <v>81</v>
      </c>
      <c r="F14" s="124">
        <v>0.75</v>
      </c>
      <c r="G14" s="125">
        <f t="shared" si="11"/>
        <v>45461.5</v>
      </c>
      <c r="H14" s="122" t="s">
        <v>99</v>
      </c>
      <c r="I14" s="126"/>
      <c r="J14" s="118"/>
      <c r="K14" s="118"/>
      <c r="L14" s="174">
        <f>IF(I14="",0,IFERROR(IF(SCORING.RULES!$C$8="No",1,((VLOOKUP($B14,ACTUALS!$B$4:$L$100,7,FALSE)=$H14)+(VLOOKUP($B14,ACTUALS!$B$4:$L$100,7,FALSE)=S14)))*(M14+N14+O14+P14+Q14),0))+$R14</f>
        <v>0</v>
      </c>
      <c r="M14" s="168">
        <f>IFERROR(IF($B14="","",IF(U14=INDEX(ACTUALS!$AA$4:$AA$100,MATCH($B14,ACTUALS!$B$4:$B$100,0),1),CorrectScore,0)),0)</f>
        <v>0</v>
      </c>
      <c r="N14" s="157" t="str">
        <f>IFERROR(IF(I14="","",IF(INDEX(ACTUALS!$AB$4:$AB$100,MATCH($B14,ACTUALS!$B$4:$B$100,0),1)=(AB14+AC14+AH14+AI14),CorrectNumberofGoals,0)),0)</f>
        <v/>
      </c>
      <c r="O14" s="157"/>
      <c r="P14" s="157">
        <f>IFERROR(IF(B14="","",IF(INDEX(ACTUALS!$L$4:$L$100,MATCH($B14,ACTUALS!$B$4:$B$100,0),1)=W14,CorrectResult,0)),0)</f>
        <v>3</v>
      </c>
      <c r="Q14" s="157"/>
      <c r="R14" s="157"/>
      <c r="S14" s="157" t="str">
        <f t="shared" si="0"/>
        <v/>
      </c>
      <c r="T14" s="157"/>
      <c r="U14" s="157" t="str">
        <f t="shared" si="1"/>
        <v/>
      </c>
      <c r="V14" s="157" t="str">
        <f t="shared" si="2"/>
        <v/>
      </c>
      <c r="W14" s="119" t="str">
        <f>IF(tblActuals354[[#This Row],[SCORE]]="","",IF(AB14=AC14,"Draw",IF(AB14&gt;AC14,X14,Y14)))</f>
        <v/>
      </c>
      <c r="X14" s="120" t="str">
        <f>IF(tblActuals354[[#This Row],[TEAMS]]="","",LEFT(H14,FIND(" -",H14,1)-1))</f>
        <v>Turkey</v>
      </c>
      <c r="Y14" s="120" t="str">
        <f>IF(tblActuals354[[#This Row],[TEAMS]]="","",MID(H14,FIND("-",H14,1)+2,LEN(H14)-FIND("-",H14,1)+2))</f>
        <v>Georgia</v>
      </c>
      <c r="Z14" s="120" t="str">
        <f>IF(tblActuals354[[#This Row],[Team 1 Goals]]&gt;tblActuals354[[#This Row],[Team 2 Goals]],tblActuals354[[#This Row],[Team 1]],IF(tblActuals354[[#This Row],[Team 2 Goals]]&gt;tblActuals354[[#This Row],[Team 1 Goals]],tblActuals354[[#This Row],[Team 2]],""))</f>
        <v/>
      </c>
      <c r="AA14" s="120" t="str">
        <f>IF(tblActuals354[[#This Row],[Winner]]=tblActuals354[[#This Row],[Team 1]],tblActuals354[[#This Row],[Team 2]],IF(tblActuals354[[#This Row],[Winner]]=tblActuals354[[#This Row],[Team 2]],tblActuals354[[#This Row],[Team 1]],""))</f>
        <v/>
      </c>
      <c r="AB14" s="120" t="str">
        <f>IF(tblActuals354[[#This Row],[SCORE]]="","",LEFT(I14,FIND(":",I14,1)-1)*1)</f>
        <v/>
      </c>
      <c r="AC14" s="120" t="str">
        <f>IF(tblActuals354[[#This Row],[SCORE]]="","",MID(I14,FIND(":",I14,1)+1,LEN(I14)-FIND(":",I14,1)+1)*1)</f>
        <v/>
      </c>
      <c r="AD14" s="120" t="str">
        <f>IF(OR(tblActuals354[[#This Row],[Team 1 Goals]]="",tblActuals354[[#This Row],[Team 2 Goals]]=""),"",tblActuals354[[#This Row],[Team 1 Goals]]-tblActuals354[[#This Row],[Team 2 Goals]])</f>
        <v/>
      </c>
      <c r="AE14" s="120" t="str">
        <f>IF(OR(tblActuals354[[#This Row],[Team 1 Goals]]="",tblActuals354[[#This Row],[Team 2 Goals]]=""),"",tblActuals354[[#This Row],[Team 2 Goals]]-tblActuals354[[#This Row],[Team 1 Goals]])</f>
        <v/>
      </c>
      <c r="AF14" s="120" t="str">
        <f>IF(tblActuals354[[#This Row],[SCORE]]="","",IF(tblActuals354[[#This Row],[WINNER / RESULT]]="Draw",1,IF(tblActuals354[[#This Row],[WINNER / RESULT]]=tblActuals354[[#This Row],[Team 1]],3,0)))</f>
        <v/>
      </c>
      <c r="AG14" s="120" t="str">
        <f>IF(tblActuals354[[#This Row],[SCORE]]="","",IF(tblActuals354[[#This Row],[WINNER / RESULT]]="Draw",1,IF(tblActuals354[[#This Row],[WINNER / RESULT]]=tblActuals354[[#This Row],[Team 2]],3,0)))</f>
        <v/>
      </c>
      <c r="AH14" s="121"/>
      <c r="AI14" s="121"/>
      <c r="AJ14" s="121"/>
      <c r="AK14" s="121"/>
      <c r="AL14" s="120" t="e">
        <f>tblActuals354[[#This Row],[Team 1 Goals]]+tblActuals354[[#This Row],[Team 1 ET Goals]]&amp;":"&amp;tblActuals354[[#This Row],[Team 2 Goals]]+tblActuals354[[#This Row],[Team 2 ET Goals]]</f>
        <v>#VALUE!</v>
      </c>
      <c r="AM14" s="120" t="e">
        <f>+tblActuals354[[#This Row],[Team 1 Goals]]+tblActuals354[[#This Row],[Team 2 Goals]]</f>
        <v>#VALUE!</v>
      </c>
      <c r="AN14" s="161">
        <f t="shared" si="3"/>
        <v>45461</v>
      </c>
      <c r="AP14" s="38" t="s">
        <v>83</v>
      </c>
      <c r="AT14" s="77" t="s">
        <v>5</v>
      </c>
      <c r="AU14" s="142">
        <v>3</v>
      </c>
      <c r="AV14" s="143" t="str">
        <f ca="1">IFERROR(INDEX(BD:BD,MATCH("3"&amp;AT14,BN:BN,0),1),"")</f>
        <v>Italy</v>
      </c>
      <c r="AW14" s="143" t="str">
        <f ca="1">IF(AV14="","",VLOOKUP(AV14,BD:BI,2,FALSE)&amp;"-"&amp;VLOOKUP(AV14,BD:BI,3,FALSE)&amp;"-"&amp;VLOOKUP(AV14,BD:BI,4,FALSE))</f>
        <v>0-0-0</v>
      </c>
      <c r="AX14" s="143">
        <f ca="1">IF(AV14="","",VLOOKUP(AV14,BD:BK,8,FALSE))</f>
        <v>0</v>
      </c>
      <c r="AY14" s="144">
        <f ca="1">IF(AV14="","",VLOOKUP(AV14,BD:BN,5,FALSE))</f>
        <v>0</v>
      </c>
      <c r="AZ14" s="75" t="str">
        <f ca="1">IF(INDEX($AU$43:$AU$48,MATCH(AV14,$AV$43:$AV$48,0),1)&lt;=4,"X","")</f>
        <v/>
      </c>
      <c r="BA14" s="4"/>
      <c r="BB14" s="4"/>
      <c r="BC14" s="4" t="s">
        <v>6</v>
      </c>
      <c r="BD14" s="4" t="s">
        <v>25</v>
      </c>
      <c r="BE14" s="4">
        <f>COUNTIF(tblActuals354[Winner],BD14)</f>
        <v>0</v>
      </c>
      <c r="BF14" s="4">
        <f>COUNTIFS(tblActuals354[Team 2],BD14,tblActuals354[WINNER / RESULT],"Draw")+COUNTIFS(tblActuals354[Team 1],BD14,tblActuals354[WINNER / RESULT],"Draw")</f>
        <v>0</v>
      </c>
      <c r="BG14" s="4">
        <f>COUNTIF(tblActuals354[Loser],BD14)</f>
        <v>0</v>
      </c>
      <c r="BH14" s="4">
        <f>BF14+(3*BE14)</f>
        <v>0</v>
      </c>
      <c r="BI14" s="4">
        <f>SUMIFS(tblActuals354[Team 1 Goals],tblActuals354[Team 1],BD14)+SUMIFS(tblActuals354[Team 2 Goals],tblActuals354[Team 2],BD14)</f>
        <v>0</v>
      </c>
      <c r="BJ14" s="4">
        <f>SUMIFS(tblActuals354[Team 2 Goals],tblActuals354[Team 1],BD14)+SUMIFS(tblActuals354[Team 1 Goals],tblActuals354[Team 2],BD14)</f>
        <v>0</v>
      </c>
      <c r="BK14" s="4">
        <f>BI14-BJ14</f>
        <v>0</v>
      </c>
      <c r="BL14" s="4">
        <f ca="1">RANK(BY14,$BY$14:$BY$17,1)</f>
        <v>1</v>
      </c>
      <c r="BM14" s="4" t="str">
        <f t="shared" si="4"/>
        <v/>
      </c>
      <c r="BN14" s="4" t="str">
        <f ca="1">IF(BM14="",BL14&amp;BC14,BM14&amp;BC14)</f>
        <v>1C</v>
      </c>
      <c r="BO14" s="4">
        <f>RANK(BH14,$BH$14:$BH$17,0)</f>
        <v>1</v>
      </c>
      <c r="BP14" s="4" cm="1">
        <f t="array" aca="1" ref="BP14" ca="1">SUMPRODUCT((OFFSET($CV$3:$EA$3,MATCH($BD14,$CU$4:$CU$35,0),0))*((IF($BO16=$BO14,$CV$3:$EA$3=$BD16,0))+(IF($BO17=$BO14,$CV$3:$EA$3=$BD17,0))+(IF($BO15=$BO14,$CV$3:$EA$3=$BD15,0))))</f>
        <v>0</v>
      </c>
      <c r="BQ14" s="4" cm="1">
        <f t="array" aca="1" ref="BQ14" ca="1">SUMPRODUCT((OFFSET($ED$3:$FI$3,MATCH($BD14,$EC$4:$EC$35,0),0))*((IF($BO16=$BO14,$ED$3:$FI$3=$BD16,0))+(IF($BO17=$BO14,$ED$3:$FI$3=$BD17,0))+(IF($BO15=$BO14,$ED$3:$FI$3=$BD15,0))))</f>
        <v>0</v>
      </c>
      <c r="BR14" s="4" cm="1">
        <f t="array" aca="1" ref="BR14" ca="1">SUMPRODUCT((OFFSET($FL$3:$GQ$3,MATCH($BD14,$FK$4:$FK$35,0),0))*((IF($BO16=$BO14,$FL$3:$GQ$3=$BD16,0))+(IF($BO17=$BO14,$FL$3:$GQ$3=$BD17,0))+(IF($BO15=$BO14,$FL$3:$GQ$3=$BD15,0))))</f>
        <v>0</v>
      </c>
      <c r="BS14" s="4" cm="1">
        <f t="array" aca="1" ref="BS14" ca="1">SUMPRODUCT((OFFSET($CV$3:$EA$3,MATCH($BD14,$CU$4:$CU$35,0),0))*((IF($BO16&lt;&gt;$BO14,$CV$3:$EA$3=$BD16,0))+(IF($BO17&lt;&gt;$BO14,$CV$3:$EA$3=$BD17,0))+(IF($BO15&lt;&gt;$BO14,$CV$3:$EA$3=$BD15,0))))</f>
        <v>0</v>
      </c>
      <c r="BT14" s="4" cm="1">
        <f t="array" aca="1" ref="BT14" ca="1">SUMPRODUCT((OFFSET($ED$3:$FI$3,MATCH($BD14,$EC$4:$EC$35,0),0))*((IF($BO16&lt;&gt;$BO14,$ED$3:$FI$3=$BD16,0))+(IF($BO17&lt;&gt;$BO14,$ED$3:$FI$3=$BD17,0))+(IF($BO15&lt;&gt;$BO14,$ED$3:$FI$3=$BD15,0))))</f>
        <v>0</v>
      </c>
      <c r="BU14" s="4" cm="1">
        <f t="array" aca="1" ref="BU14" ca="1">SUMPRODUCT((OFFSET($FL$3:$GQ$3,MATCH($BD14,$FK$4:$FK$35,0),0))*((IF($BO16&lt;&gt;$BO14,$FL$3:$GQ$3=$BD16,0))+(IF($BO17&lt;&gt;$BO14,$FL$3:$GQ$3=$BD17,0))+(IF($BO15&lt;&gt;$BO14,$FL$3:$GQ$3=$BD15,0))))</f>
        <v>0</v>
      </c>
      <c r="BV14" s="4">
        <f>BK14</f>
        <v>0</v>
      </c>
      <c r="BW14" s="4">
        <f>BI14</f>
        <v>0</v>
      </c>
      <c r="BX14" s="4">
        <f ca="1">(BP14/10)+(BQ14/100)+(BR14/1000)+(BT14/10000)+(BU14/100000)+(BV14/1000000)+(BW14/10000000)+(ROW(BS17)/100000000)</f>
        <v>1.6999999999999999E-7</v>
      </c>
      <c r="BY14" s="4">
        <f ca="1">+BO14-BX14</f>
        <v>0.99999983000000003</v>
      </c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U14" s="4" t="s">
        <v>34</v>
      </c>
      <c r="CV14" s="56">
        <f>SUMIFS(tblActuals354[Team 2 Points],tblActuals354[Team 2],$CU14,tblActuals354[Team 1],CV$3)+SUMIFS(tblActuals354[Team 1 Points],tblActuals354[Team 1],$CU14,tblActuals354[Team 2],CV$3)</f>
        <v>0</v>
      </c>
      <c r="CW14" s="56">
        <f>SUMIFS(tblActuals354[Team 2 Points],tblActuals354[Team 2],$CU14,tblActuals354[Team 1],CW$3)+SUMIFS(tblActuals354[Team 1 Points],tblActuals354[Team 1],$CU14,tblActuals354[Team 2],CW$3)</f>
        <v>0</v>
      </c>
      <c r="CX14" s="56">
        <f>SUMIFS(tblActuals354[Team 2 Points],tblActuals354[Team 2],$CU14,tblActuals354[Team 1],CX$3)+SUMIFS(tblActuals354[Team 1 Points],tblActuals354[Team 1],$CU14,tblActuals354[Team 2],CX$3)</f>
        <v>0</v>
      </c>
      <c r="CY14" s="56">
        <f>SUMIFS(tblActuals354[Team 2 Points],tblActuals354[Team 2],$CU14,tblActuals354[Team 1],CY$3)+SUMIFS(tblActuals354[Team 1 Points],tblActuals354[Team 1],$CU14,tblActuals354[Team 2],CY$3)</f>
        <v>0</v>
      </c>
      <c r="CZ14" s="56">
        <f>SUMIFS(tblActuals354[Team 2 Points],tblActuals354[Team 2],$CU14,tblActuals354[Team 1],CZ$3)+SUMIFS(tblActuals354[Team 1 Points],tblActuals354[Team 1],$CU14,tblActuals354[Team 2],CZ$3)</f>
        <v>0</v>
      </c>
      <c r="DA14" s="56">
        <f>SUMIFS(tblActuals354[Team 2 Points],tblActuals354[Team 2],$CU14,tblActuals354[Team 1],DA$3)+SUMIFS(tblActuals354[Team 1 Points],tblActuals354[Team 1],$CU14,tblActuals354[Team 2],DA$3)</f>
        <v>0</v>
      </c>
      <c r="DB14" s="56">
        <f>SUMIFS(tblActuals354[Team 2 Points],tblActuals354[Team 2],$CU14,tblActuals354[Team 1],DB$3)+SUMIFS(tblActuals354[Team 1 Points],tblActuals354[Team 1],$CU14,tblActuals354[Team 2],DB$3)</f>
        <v>0</v>
      </c>
      <c r="DC14" s="56">
        <f>SUMIFS(tblActuals354[Team 2 Points],tblActuals354[Team 2],$CU14,tblActuals354[Team 1],DC$3)+SUMIFS(tblActuals354[Team 1 Points],tblActuals354[Team 1],$CU14,tblActuals354[Team 2],DC$3)</f>
        <v>0</v>
      </c>
      <c r="DD14" s="56">
        <f>SUMIFS(tblActuals354[Team 2 Points],tblActuals354[Team 2],$CU14,tblActuals354[Team 1],DD$3)+SUMIFS(tblActuals354[Team 1 Points],tblActuals354[Team 1],$CU14,tblActuals354[Team 2],DD$3)</f>
        <v>0</v>
      </c>
      <c r="DE14" s="56">
        <f>SUMIFS(tblActuals354[Team 2 Points],tblActuals354[Team 2],$CU14,tblActuals354[Team 1],DE$3)+SUMIFS(tblActuals354[Team 1 Points],tblActuals354[Team 1],$CU14,tblActuals354[Team 2],DE$3)</f>
        <v>0</v>
      </c>
      <c r="DF14" s="56">
        <f>SUMIFS(tblActuals354[Team 2 Points],tblActuals354[Team 2],$CU14,tblActuals354[Team 1],DF$3)+SUMIFS(tblActuals354[Team 1 Points],tblActuals354[Team 1],$CU14,tblActuals354[Team 2],DF$3)</f>
        <v>0</v>
      </c>
      <c r="DG14" s="56">
        <f>SUMIFS(tblActuals354[Team 2 Points],tblActuals354[Team 2],$CU14,tblActuals354[Team 1],DG$3)+SUMIFS(tblActuals354[Team 1 Points],tblActuals354[Team 1],$CU14,tblActuals354[Team 2],DG$3)</f>
        <v>0</v>
      </c>
      <c r="DH14" s="56">
        <f>SUMIFS(tblActuals354[Team 2 Points],tblActuals354[Team 2],$CU14,tblActuals354[Team 1],DH$3)+SUMIFS(tblActuals354[Team 1 Points],tblActuals354[Team 1],$CU14,tblActuals354[Team 2],DH$3)</f>
        <v>0</v>
      </c>
      <c r="DI14" s="56">
        <f>SUMIFS(tblActuals354[Team 2 Points],tblActuals354[Team 2],$CU14,tblActuals354[Team 1],DI$3)+SUMIFS(tblActuals354[Team 1 Points],tblActuals354[Team 1],$CU14,tblActuals354[Team 2],DI$3)</f>
        <v>0</v>
      </c>
      <c r="DJ14" s="56">
        <f>SUMIFS(tblActuals354[Team 2 Points],tblActuals354[Team 2],$CU14,tblActuals354[Team 1],DJ$3)+SUMIFS(tblActuals354[Team 1 Points],tblActuals354[Team 1],$CU14,tblActuals354[Team 2],DJ$3)</f>
        <v>0</v>
      </c>
      <c r="DK14" s="56">
        <f>SUMIFS(tblActuals354[Team 2 Points],tblActuals354[Team 2],$CU14,tblActuals354[Team 1],DK$3)+SUMIFS(tblActuals354[Team 1 Points],tblActuals354[Team 1],$CU14,tblActuals354[Team 2],DK$3)</f>
        <v>0</v>
      </c>
      <c r="DL14" s="56">
        <f>SUMIFS(tblActuals354[Team 2 Points],tblActuals354[Team 2],$CU14,tblActuals354[Team 1],DL$3)+SUMIFS(tblActuals354[Team 1 Points],tblActuals354[Team 1],$CU14,tblActuals354[Team 2],DL$3)</f>
        <v>0</v>
      </c>
      <c r="DM14" s="56">
        <f>SUMIFS(tblActuals354[Team 2 Points],tblActuals354[Team 2],$CU14,tblActuals354[Team 1],DM$3)+SUMIFS(tblActuals354[Team 1 Points],tblActuals354[Team 1],$CU14,tblActuals354[Team 2],DM$3)</f>
        <v>0</v>
      </c>
      <c r="DN14" s="56">
        <f>SUMIFS(tblActuals354[Team 2 Points],tblActuals354[Team 2],$CU14,tblActuals354[Team 1],DN$3)+SUMIFS(tblActuals354[Team 1 Points],tblActuals354[Team 1],$CU14,tblActuals354[Team 2],DN$3)</f>
        <v>0</v>
      </c>
      <c r="DO14" s="56">
        <f>SUMIFS(tblActuals354[Team 2 Points],tblActuals354[Team 2],$CU14,tblActuals354[Team 1],DO$3)+SUMIFS(tblActuals354[Team 1 Points],tblActuals354[Team 1],$CU14,tblActuals354[Team 2],DO$3)</f>
        <v>0</v>
      </c>
      <c r="DP14" s="56">
        <f>SUMIFS(tblActuals354[Team 2 Points],tblActuals354[Team 2],$CU14,tblActuals354[Team 1],DP$3)+SUMIFS(tblActuals354[Team 1 Points],tblActuals354[Team 1],$CU14,tblActuals354[Team 2],DP$3)</f>
        <v>0</v>
      </c>
      <c r="DQ14" s="56">
        <f>SUMIFS(tblActuals354[Team 2 Points],tblActuals354[Team 2],$CU14,tblActuals354[Team 1],DQ$3)+SUMIFS(tblActuals354[Team 1 Points],tblActuals354[Team 1],$CU14,tblActuals354[Team 2],DQ$3)</f>
        <v>0</v>
      </c>
      <c r="DR14" s="56">
        <f>SUMIFS(tblActuals354[Team 2 Points],tblActuals354[Team 2],$CU14,tblActuals354[Team 1],DR$3)+SUMIFS(tblActuals354[Team 1 Points],tblActuals354[Team 1],$CU14,tblActuals354[Team 2],DR$3)</f>
        <v>0</v>
      </c>
      <c r="DS14" s="56">
        <f>SUMIFS(tblActuals354[Team 2 Points],tblActuals354[Team 2],$CU14,tblActuals354[Team 1],DS$3)+SUMIFS(tblActuals354[Team 1 Points],tblActuals354[Team 1],$CU14,tblActuals354[Team 2],DS$3)</f>
        <v>0</v>
      </c>
      <c r="DT14" s="57"/>
      <c r="DU14" s="57"/>
      <c r="DV14" s="57"/>
      <c r="DW14" s="57"/>
      <c r="DX14" s="57"/>
      <c r="DY14" s="57"/>
      <c r="DZ14" s="57"/>
      <c r="EA14" s="57"/>
      <c r="EB14" s="4"/>
      <c r="EC14" s="4" t="s">
        <v>34</v>
      </c>
      <c r="ED14" s="56">
        <f>SUMIFS(tblActuals354[Team 2 GD],tblActuals354[Team 2],$CU14,tblActuals354[Team 1],ED$3)+SUMIFS(tblActuals354[Team 1 GD],tblActuals354[Team 1],$CU14,tblActuals354[Team 2],ED$3)</f>
        <v>0</v>
      </c>
      <c r="EE14" s="56">
        <f>SUMIFS(tblActuals354[Team 2 GD],tblActuals354[Team 2],$CU14,tblActuals354[Team 1],EE$3)+SUMIFS(tblActuals354[Team 1 GD],tblActuals354[Team 1],$CU14,tblActuals354[Team 2],EE$3)</f>
        <v>0</v>
      </c>
      <c r="EF14" s="56">
        <f>SUMIFS(tblActuals354[Team 2 GD],tblActuals354[Team 2],$CU14,tblActuals354[Team 1],EF$3)+SUMIFS(tblActuals354[Team 1 GD],tblActuals354[Team 1],$CU14,tblActuals354[Team 2],EF$3)</f>
        <v>0</v>
      </c>
      <c r="EG14" s="56">
        <f>SUMIFS(tblActuals354[Team 2 GD],tblActuals354[Team 2],$CU14,tblActuals354[Team 1],EG$3)+SUMIFS(tblActuals354[Team 1 GD],tblActuals354[Team 1],$CU14,tblActuals354[Team 2],EG$3)</f>
        <v>0</v>
      </c>
      <c r="EH14" s="56">
        <f>SUMIFS(tblActuals354[Team 2 GD],tblActuals354[Team 2],$CU14,tblActuals354[Team 1],EH$3)+SUMIFS(tblActuals354[Team 1 GD],tblActuals354[Team 1],$CU14,tblActuals354[Team 2],EH$3)</f>
        <v>0</v>
      </c>
      <c r="EI14" s="56">
        <f>SUMIFS(tblActuals354[Team 2 GD],tblActuals354[Team 2],$CU14,tblActuals354[Team 1],EI$3)+SUMIFS(tblActuals354[Team 1 GD],tblActuals354[Team 1],$CU14,tblActuals354[Team 2],EI$3)</f>
        <v>0</v>
      </c>
      <c r="EJ14" s="56">
        <f>SUMIFS(tblActuals354[Team 2 GD],tblActuals354[Team 2],$CU14,tblActuals354[Team 1],EJ$3)+SUMIFS(tblActuals354[Team 1 GD],tblActuals354[Team 1],$CU14,tblActuals354[Team 2],EJ$3)</f>
        <v>0</v>
      </c>
      <c r="EK14" s="56">
        <f>SUMIFS(tblActuals354[Team 2 GD],tblActuals354[Team 2],$CU14,tblActuals354[Team 1],EK$3)+SUMIFS(tblActuals354[Team 1 GD],tblActuals354[Team 1],$CU14,tblActuals354[Team 2],EK$3)</f>
        <v>0</v>
      </c>
      <c r="EL14" s="56">
        <f>SUMIFS(tblActuals354[Team 2 GD],tblActuals354[Team 2],$CU14,tblActuals354[Team 1],EL$3)+SUMIFS(tblActuals354[Team 1 GD],tblActuals354[Team 1],$CU14,tblActuals354[Team 2],EL$3)</f>
        <v>0</v>
      </c>
      <c r="EM14" s="56">
        <f>SUMIFS(tblActuals354[Team 2 GD],tblActuals354[Team 2],$CU14,tblActuals354[Team 1],EM$3)+SUMIFS(tblActuals354[Team 1 GD],tblActuals354[Team 1],$CU14,tblActuals354[Team 2],EM$3)</f>
        <v>0</v>
      </c>
      <c r="EN14" s="56">
        <f>SUMIFS(tblActuals354[Team 2 GD],tblActuals354[Team 2],$CU14,tblActuals354[Team 1],EN$3)+SUMIFS(tblActuals354[Team 1 GD],tblActuals354[Team 1],$CU14,tblActuals354[Team 2],EN$3)</f>
        <v>0</v>
      </c>
      <c r="EO14" s="56">
        <f>SUMIFS(tblActuals354[Team 2 GD],tblActuals354[Team 2],$CU14,tblActuals354[Team 1],EO$3)+SUMIFS(tblActuals354[Team 1 GD],tblActuals354[Team 1],$CU14,tblActuals354[Team 2],EO$3)</f>
        <v>0</v>
      </c>
      <c r="EP14" s="56">
        <f>SUMIFS(tblActuals354[Team 2 GD],tblActuals354[Team 2],$CU14,tblActuals354[Team 1],EP$3)+SUMIFS(tblActuals354[Team 1 GD],tblActuals354[Team 1],$CU14,tblActuals354[Team 2],EP$3)</f>
        <v>0</v>
      </c>
      <c r="EQ14" s="56">
        <f>SUMIFS(tblActuals354[Team 2 GD],tblActuals354[Team 2],$CU14,tblActuals354[Team 1],EQ$3)+SUMIFS(tblActuals354[Team 1 GD],tblActuals354[Team 1],$CU14,tblActuals354[Team 2],EQ$3)</f>
        <v>0</v>
      </c>
      <c r="ER14" s="56">
        <f>SUMIFS(tblActuals354[Team 2 GD],tblActuals354[Team 2],$CU14,tblActuals354[Team 1],ER$3)+SUMIFS(tblActuals354[Team 1 GD],tblActuals354[Team 1],$CU14,tblActuals354[Team 2],ER$3)</f>
        <v>0</v>
      </c>
      <c r="ES14" s="56">
        <f>SUMIFS(tblActuals354[Team 2 GD],tblActuals354[Team 2],$CU14,tblActuals354[Team 1],ES$3)+SUMIFS(tblActuals354[Team 1 GD],tblActuals354[Team 1],$CU14,tblActuals354[Team 2],ES$3)</f>
        <v>0</v>
      </c>
      <c r="ET14" s="56">
        <f>SUMIFS(tblActuals354[Team 2 GD],tblActuals354[Team 2],$CU14,tblActuals354[Team 1],ET$3)+SUMIFS(tblActuals354[Team 1 GD],tblActuals354[Team 1],$CU14,tblActuals354[Team 2],ET$3)</f>
        <v>0</v>
      </c>
      <c r="EU14" s="56">
        <f>SUMIFS(tblActuals354[Team 2 GD],tblActuals354[Team 2],$CU14,tblActuals354[Team 1],EU$3)+SUMIFS(tblActuals354[Team 1 GD],tblActuals354[Team 1],$CU14,tblActuals354[Team 2],EU$3)</f>
        <v>0</v>
      </c>
      <c r="EV14" s="56">
        <f>SUMIFS(tblActuals354[Team 2 GD],tblActuals354[Team 2],$CU14,tblActuals354[Team 1],EV$3)+SUMIFS(tblActuals354[Team 1 GD],tblActuals354[Team 1],$CU14,tblActuals354[Team 2],EV$3)</f>
        <v>0</v>
      </c>
      <c r="EW14" s="56">
        <f>SUMIFS(tblActuals354[Team 2 GD],tblActuals354[Team 2],$CU14,tblActuals354[Team 1],EW$3)+SUMIFS(tblActuals354[Team 1 GD],tblActuals354[Team 1],$CU14,tblActuals354[Team 2],EW$3)</f>
        <v>0</v>
      </c>
      <c r="EX14" s="56">
        <f>SUMIFS(tblActuals354[Team 2 GD],tblActuals354[Team 2],$CU14,tblActuals354[Team 1],EX$3)+SUMIFS(tblActuals354[Team 1 GD],tblActuals354[Team 1],$CU14,tblActuals354[Team 2],EX$3)</f>
        <v>0</v>
      </c>
      <c r="EY14" s="56">
        <f>SUMIFS(tblActuals354[Team 2 GD],tblActuals354[Team 2],$CU14,tblActuals354[Team 1],EY$3)+SUMIFS(tblActuals354[Team 1 GD],tblActuals354[Team 1],$CU14,tblActuals354[Team 2],EY$3)</f>
        <v>0</v>
      </c>
      <c r="EZ14" s="56">
        <f>SUMIFS(tblActuals354[Team 2 GD],tblActuals354[Team 2],$CU14,tblActuals354[Team 1],EZ$3)+SUMIFS(tblActuals354[Team 1 GD],tblActuals354[Team 1],$CU14,tblActuals354[Team 2],EZ$3)</f>
        <v>0</v>
      </c>
      <c r="FA14" s="56">
        <f>SUMIFS(tblActuals354[Team 2 GD],tblActuals354[Team 2],$CU14,tblActuals354[Team 1],FA$3)+SUMIFS(tblActuals354[Team 1 GD],tblActuals354[Team 1],$CU14,tblActuals354[Team 2],FA$3)</f>
        <v>0</v>
      </c>
      <c r="FB14" s="57"/>
      <c r="FC14" s="57"/>
      <c r="FD14" s="57"/>
      <c r="FE14" s="57"/>
      <c r="FF14" s="57"/>
      <c r="FG14" s="57"/>
      <c r="FH14" s="57"/>
      <c r="FI14" s="57"/>
      <c r="FJ14" s="4"/>
      <c r="FK14" s="4" t="s">
        <v>34</v>
      </c>
      <c r="FL14" s="56">
        <f>SUMIFS(tblActuals354[Team 2 Goals],tblActuals354[Team 2],$CU14,tblActuals354[Team 1],FL$3)+SUMIFS(tblActuals354[Team 1 Goals],tblActuals354[Team 1],$CU14,tblActuals354[Team 2],FL$3)</f>
        <v>0</v>
      </c>
      <c r="FM14" s="56">
        <f>SUMIFS(tblActuals354[Team 2 Goals],tblActuals354[Team 2],$CU14,tblActuals354[Team 1],FM$3)+SUMIFS(tblActuals354[Team 1 Goals],tblActuals354[Team 1],$CU14,tblActuals354[Team 2],FM$3)</f>
        <v>0</v>
      </c>
      <c r="FN14" s="56">
        <f>SUMIFS(tblActuals354[Team 2 Goals],tblActuals354[Team 2],$CU14,tblActuals354[Team 1],FN$3)+SUMIFS(tblActuals354[Team 1 Goals],tblActuals354[Team 1],$CU14,tblActuals354[Team 2],FN$3)</f>
        <v>0</v>
      </c>
      <c r="FO14" s="56">
        <f>SUMIFS(tblActuals354[Team 2 Goals],tblActuals354[Team 2],$CU14,tblActuals354[Team 1],FO$3)+SUMIFS(tblActuals354[Team 1 Goals],tblActuals354[Team 1],$CU14,tblActuals354[Team 2],FO$3)</f>
        <v>0</v>
      </c>
      <c r="FP14" s="56">
        <f>SUMIFS(tblActuals354[Team 2 Goals],tblActuals354[Team 2],$CU14,tblActuals354[Team 1],FP$3)+SUMIFS(tblActuals354[Team 1 Goals],tblActuals354[Team 1],$CU14,tblActuals354[Team 2],FP$3)</f>
        <v>0</v>
      </c>
      <c r="FQ14" s="56">
        <f>SUMIFS(tblActuals354[Team 2 Goals],tblActuals354[Team 2],$CU14,tblActuals354[Team 1],FQ$3)+SUMIFS(tblActuals354[Team 1 Goals],tblActuals354[Team 1],$CU14,tblActuals354[Team 2],FQ$3)</f>
        <v>0</v>
      </c>
      <c r="FR14" s="56">
        <f>SUMIFS(tblActuals354[Team 2 Goals],tblActuals354[Team 2],$CU14,tblActuals354[Team 1],FR$3)+SUMIFS(tblActuals354[Team 1 Goals],tblActuals354[Team 1],$CU14,tblActuals354[Team 2],FR$3)</f>
        <v>0</v>
      </c>
      <c r="FS14" s="56">
        <f>SUMIFS(tblActuals354[Team 2 Goals],tblActuals354[Team 2],$CU14,tblActuals354[Team 1],FS$3)+SUMIFS(tblActuals354[Team 1 Goals],tblActuals354[Team 1],$CU14,tblActuals354[Team 2],FS$3)</f>
        <v>0</v>
      </c>
      <c r="FT14" s="56">
        <f>SUMIFS(tblActuals354[Team 2 Goals],tblActuals354[Team 2],$CU14,tblActuals354[Team 1],FT$3)+SUMIFS(tblActuals354[Team 1 Goals],tblActuals354[Team 1],$CU14,tblActuals354[Team 2],FT$3)</f>
        <v>0</v>
      </c>
      <c r="FU14" s="56">
        <f>SUMIFS(tblActuals354[Team 2 Goals],tblActuals354[Team 2],$CU14,tblActuals354[Team 1],FU$3)+SUMIFS(tblActuals354[Team 1 Goals],tblActuals354[Team 1],$CU14,tblActuals354[Team 2],FU$3)</f>
        <v>0</v>
      </c>
      <c r="FV14" s="56">
        <f>SUMIFS(tblActuals354[Team 2 Goals],tblActuals354[Team 2],$CU14,tblActuals354[Team 1],FV$3)+SUMIFS(tblActuals354[Team 1 Goals],tblActuals354[Team 1],$CU14,tblActuals354[Team 2],FV$3)</f>
        <v>0</v>
      </c>
      <c r="FW14" s="56">
        <f>SUMIFS(tblActuals354[Team 2 Goals],tblActuals354[Team 2],$CU14,tblActuals354[Team 1],FW$3)+SUMIFS(tblActuals354[Team 1 Goals],tblActuals354[Team 1],$CU14,tblActuals354[Team 2],FW$3)</f>
        <v>0</v>
      </c>
      <c r="FX14" s="56">
        <f>SUMIFS(tblActuals354[Team 2 Goals],tblActuals354[Team 2],$CU14,tblActuals354[Team 1],FX$3)+SUMIFS(tblActuals354[Team 1 Goals],tblActuals354[Team 1],$CU14,tblActuals354[Team 2],FX$3)</f>
        <v>0</v>
      </c>
      <c r="FY14" s="56">
        <f>SUMIFS(tblActuals354[Team 2 Goals],tblActuals354[Team 2],$CU14,tblActuals354[Team 1],FY$3)+SUMIFS(tblActuals354[Team 1 Goals],tblActuals354[Team 1],$CU14,tblActuals354[Team 2],FY$3)</f>
        <v>0</v>
      </c>
      <c r="FZ14" s="56">
        <f>SUMIFS(tblActuals354[Team 2 Goals],tblActuals354[Team 2],$CU14,tblActuals354[Team 1],FZ$3)+SUMIFS(tblActuals354[Team 1 Goals],tblActuals354[Team 1],$CU14,tblActuals354[Team 2],FZ$3)</f>
        <v>0</v>
      </c>
      <c r="GA14" s="56">
        <f>SUMIFS(tblActuals354[Team 2 Goals],tblActuals354[Team 2],$CU14,tblActuals354[Team 1],GA$3)+SUMIFS(tblActuals354[Team 1 Goals],tblActuals354[Team 1],$CU14,tblActuals354[Team 2],GA$3)</f>
        <v>0</v>
      </c>
      <c r="GB14" s="56">
        <f>SUMIFS(tblActuals354[Team 2 Goals],tblActuals354[Team 2],$CU14,tblActuals354[Team 1],GB$3)+SUMIFS(tblActuals354[Team 1 Goals],tblActuals354[Team 1],$CU14,tblActuals354[Team 2],GB$3)</f>
        <v>0</v>
      </c>
      <c r="GC14" s="56">
        <f>SUMIFS(tblActuals354[Team 2 Goals],tblActuals354[Team 2],$CU14,tblActuals354[Team 1],GC$3)+SUMIFS(tblActuals354[Team 1 Goals],tblActuals354[Team 1],$CU14,tblActuals354[Team 2],GC$3)</f>
        <v>0</v>
      </c>
      <c r="GD14" s="56">
        <f>SUMIFS(tblActuals354[Team 2 Goals],tblActuals354[Team 2],$CU14,tblActuals354[Team 1],GD$3)+SUMIFS(tblActuals354[Team 1 Goals],tblActuals354[Team 1],$CU14,tblActuals354[Team 2],GD$3)</f>
        <v>0</v>
      </c>
      <c r="GE14" s="56">
        <f>SUMIFS(tblActuals354[Team 2 Goals],tblActuals354[Team 2],$CU14,tblActuals354[Team 1],GE$3)+SUMIFS(tblActuals354[Team 1 Goals],tblActuals354[Team 1],$CU14,tblActuals354[Team 2],GE$3)</f>
        <v>0</v>
      </c>
      <c r="GF14" s="56">
        <f>SUMIFS(tblActuals354[Team 2 Goals],tblActuals354[Team 2],$CU14,tblActuals354[Team 1],GF$3)+SUMIFS(tblActuals354[Team 1 Goals],tblActuals354[Team 1],$CU14,tblActuals354[Team 2],GF$3)</f>
        <v>0</v>
      </c>
      <c r="GG14" s="56">
        <f>SUMIFS(tblActuals354[Team 2 Goals],tblActuals354[Team 2],$CU14,tblActuals354[Team 1],GG$3)+SUMIFS(tblActuals354[Team 1 Goals],tblActuals354[Team 1],$CU14,tblActuals354[Team 2],GG$3)</f>
        <v>0</v>
      </c>
      <c r="GH14" s="56">
        <f>SUMIFS(tblActuals354[Team 2 Goals],tblActuals354[Team 2],$CU14,tblActuals354[Team 1],GH$3)+SUMIFS(tblActuals354[Team 1 Goals],tblActuals354[Team 1],$CU14,tblActuals354[Team 2],GH$3)</f>
        <v>0</v>
      </c>
      <c r="GI14" s="56">
        <f>SUMIFS(tblActuals354[Team 2 Goals],tblActuals354[Team 2],$CU14,tblActuals354[Team 1],GI$3)+SUMIFS(tblActuals354[Team 1 Goals],tblActuals354[Team 1],$CU14,tblActuals354[Team 2],GI$3)</f>
        <v>0</v>
      </c>
      <c r="GJ14" s="57"/>
      <c r="GK14" s="57"/>
      <c r="GL14" s="37"/>
      <c r="GM14" s="37"/>
      <c r="GN14" s="37"/>
      <c r="GO14" s="37"/>
      <c r="GP14" s="37"/>
      <c r="GQ14" s="37"/>
      <c r="GR14" s="75"/>
      <c r="GS14" s="156"/>
      <c r="GT14" s="156"/>
      <c r="GU14" s="75"/>
      <c r="GV14" s="75"/>
      <c r="GW14" s="75"/>
      <c r="GX14" s="75"/>
      <c r="GY14" s="75"/>
      <c r="GZ14" s="75"/>
      <c r="HB14" s="4" t="str">
        <f t="shared" si="12"/>
        <v>ADEF</v>
      </c>
      <c r="HC14" s="44" t="s">
        <v>1</v>
      </c>
      <c r="HD14" s="45"/>
      <c r="HE14" s="45"/>
      <c r="HF14" s="44" t="s">
        <v>7</v>
      </c>
      <c r="HG14" s="44" t="s">
        <v>12</v>
      </c>
      <c r="HH14" s="44" t="s">
        <v>45</v>
      </c>
      <c r="HI14" s="178"/>
      <c r="HJ14" s="45" t="s">
        <v>153</v>
      </c>
      <c r="HK14" s="45" t="s">
        <v>154</v>
      </c>
      <c r="HL14" s="45" t="s">
        <v>150</v>
      </c>
      <c r="HM14" s="45" t="s">
        <v>149</v>
      </c>
    </row>
    <row r="15" spans="1:221" s="11" customFormat="1" ht="30" customHeight="1" thickBot="1" x14ac:dyDescent="0.3">
      <c r="A15" s="20"/>
      <c r="B15" s="122">
        <v>12</v>
      </c>
      <c r="C15" s="122" t="s">
        <v>45</v>
      </c>
      <c r="D15" s="123">
        <v>45461</v>
      </c>
      <c r="E15" s="122" t="s">
        <v>87</v>
      </c>
      <c r="F15" s="124">
        <v>0.875</v>
      </c>
      <c r="G15" s="125">
        <f t="shared" si="11"/>
        <v>45461.625</v>
      </c>
      <c r="H15" s="122" t="s">
        <v>100</v>
      </c>
      <c r="I15" s="126"/>
      <c r="J15" s="118"/>
      <c r="K15" s="118"/>
      <c r="L15" s="174">
        <f>IF(I15="",0,IFERROR(IF(SCORING.RULES!$C$8="No",1,((VLOOKUP($B15,ACTUALS!$B$4:$L$100,7,FALSE)=$H15)+(VLOOKUP($B15,ACTUALS!$B$4:$L$100,7,FALSE)=S15)))*(M15+N15+O15+P15+Q15),0))+$R15</f>
        <v>0</v>
      </c>
      <c r="M15" s="168">
        <f>IFERROR(IF($B15="","",IF(U15=INDEX(ACTUALS!$AA$4:$AA$100,MATCH($B15,ACTUALS!$B$4:$B$100,0),1),CorrectScore,0)),0)</f>
        <v>0</v>
      </c>
      <c r="N15" s="157" t="str">
        <f>IFERROR(IF(I15="","",IF(INDEX(ACTUALS!$AB$4:$AB$100,MATCH($B15,ACTUALS!$B$4:$B$100,0),1)=(AB15+AC15+AH15+AI15),CorrectNumberofGoals,0)),0)</f>
        <v/>
      </c>
      <c r="O15" s="157"/>
      <c r="P15" s="157">
        <f>IFERROR(IF(B15="","",IF(INDEX(ACTUALS!$L$4:$L$100,MATCH($B15,ACTUALS!$B$4:$B$100,0),1)=W15,CorrectResult,0)),0)</f>
        <v>3</v>
      </c>
      <c r="Q15" s="157"/>
      <c r="R15" s="157"/>
      <c r="S15" s="157" t="str">
        <f t="shared" si="0"/>
        <v/>
      </c>
      <c r="T15" s="157"/>
      <c r="U15" s="157" t="str">
        <f t="shared" si="1"/>
        <v/>
      </c>
      <c r="V15" s="157" t="str">
        <f t="shared" si="2"/>
        <v/>
      </c>
      <c r="W15" s="119" t="str">
        <f>IF(tblActuals354[[#This Row],[SCORE]]="","",IF(AB15=AC15,"Draw",IF(AB15&gt;AC15,X15,Y15)))</f>
        <v/>
      </c>
      <c r="X15" s="120" t="str">
        <f>IF(tblActuals354[[#This Row],[TEAMS]]="","",LEFT(H15,FIND(" -",H15,1)-1))</f>
        <v>Portugal</v>
      </c>
      <c r="Y15" s="120" t="str">
        <f>IF(tblActuals354[[#This Row],[TEAMS]]="","",MID(H15,FIND("-",H15,1)+2,LEN(H15)-FIND("-",H15,1)+2))</f>
        <v>Czechia</v>
      </c>
      <c r="Z15" s="120" t="str">
        <f>IF(tblActuals354[[#This Row],[Team 1 Goals]]&gt;tblActuals354[[#This Row],[Team 2 Goals]],tblActuals354[[#This Row],[Team 1]],IF(tblActuals354[[#This Row],[Team 2 Goals]]&gt;tblActuals354[[#This Row],[Team 1 Goals]],tblActuals354[[#This Row],[Team 2]],""))</f>
        <v/>
      </c>
      <c r="AA15" s="120" t="str">
        <f>IF(tblActuals354[[#This Row],[Winner]]=tblActuals354[[#This Row],[Team 1]],tblActuals354[[#This Row],[Team 2]],IF(tblActuals354[[#This Row],[Winner]]=tblActuals354[[#This Row],[Team 2]],tblActuals354[[#This Row],[Team 1]],""))</f>
        <v/>
      </c>
      <c r="AB15" s="120" t="str">
        <f>IF(tblActuals354[[#This Row],[SCORE]]="","",LEFT(I15,FIND(":",I15,1)-1)*1)</f>
        <v/>
      </c>
      <c r="AC15" s="120" t="str">
        <f>IF(tblActuals354[[#This Row],[SCORE]]="","",MID(I15,FIND(":",I15,1)+1,LEN(I15)-FIND(":",I15,1)+1)*1)</f>
        <v/>
      </c>
      <c r="AD15" s="120" t="str">
        <f>IF(OR(tblActuals354[[#This Row],[Team 1 Goals]]="",tblActuals354[[#This Row],[Team 2 Goals]]=""),"",tblActuals354[[#This Row],[Team 1 Goals]]-tblActuals354[[#This Row],[Team 2 Goals]])</f>
        <v/>
      </c>
      <c r="AE15" s="120" t="str">
        <f>IF(OR(tblActuals354[[#This Row],[Team 1 Goals]]="",tblActuals354[[#This Row],[Team 2 Goals]]=""),"",tblActuals354[[#This Row],[Team 2 Goals]]-tblActuals354[[#This Row],[Team 1 Goals]])</f>
        <v/>
      </c>
      <c r="AF15" s="120" t="str">
        <f>IF(tblActuals354[[#This Row],[SCORE]]="","",IF(tblActuals354[[#This Row],[WINNER / RESULT]]="Draw",1,IF(tblActuals354[[#This Row],[WINNER / RESULT]]=tblActuals354[[#This Row],[Team 1]],3,0)))</f>
        <v/>
      </c>
      <c r="AG15" s="120" t="str">
        <f>IF(tblActuals354[[#This Row],[SCORE]]="","",IF(tblActuals354[[#This Row],[WINNER / RESULT]]="Draw",1,IF(tblActuals354[[#This Row],[WINNER / RESULT]]=tblActuals354[[#This Row],[Team 2]],3,0)))</f>
        <v/>
      </c>
      <c r="AH15" s="121"/>
      <c r="AI15" s="121"/>
      <c r="AJ15" s="121"/>
      <c r="AK15" s="121"/>
      <c r="AL15" s="120" t="e">
        <f>tblActuals354[[#This Row],[Team 1 Goals]]+tblActuals354[[#This Row],[Team 1 ET Goals]]&amp;":"&amp;tblActuals354[[#This Row],[Team 2 Goals]]+tblActuals354[[#This Row],[Team 2 ET Goals]]</f>
        <v>#VALUE!</v>
      </c>
      <c r="AM15" s="120" t="e">
        <f>+tblActuals354[[#This Row],[Team 1 Goals]]+tblActuals354[[#This Row],[Team 2 Goals]]</f>
        <v>#VALUE!</v>
      </c>
      <c r="AN15" s="161">
        <f t="shared" si="3"/>
        <v>45461</v>
      </c>
      <c r="AT15" s="77" t="s">
        <v>5</v>
      </c>
      <c r="AU15" s="145">
        <v>4</v>
      </c>
      <c r="AV15" s="146" t="str">
        <f ca="1">IFERROR(INDEX(BD:BD,MATCH("4"&amp;AT15,BN:BN,0),1),"")</f>
        <v>Spain</v>
      </c>
      <c r="AW15" s="146" t="str">
        <f ca="1">IF(AV15="","",VLOOKUP(AV15,BD:BI,2,FALSE)&amp;"-"&amp;VLOOKUP(AV15,BD:BI,3,FALSE)&amp;"-"&amp;VLOOKUP(AV15,BD:BI,4,FALSE))</f>
        <v>0-0-0</v>
      </c>
      <c r="AX15" s="146">
        <f ca="1">IF(AV15="","",VLOOKUP(AV15,BD:BK,8,FALSE))</f>
        <v>0</v>
      </c>
      <c r="AY15" s="147">
        <f ca="1">IF(AV15="","",VLOOKUP(AV15,BD:BN,5,FALSE))</f>
        <v>0</v>
      </c>
      <c r="AZ15" s="75"/>
      <c r="BA15" s="4"/>
      <c r="BB15" s="4"/>
      <c r="BC15" s="4" t="s">
        <v>6</v>
      </c>
      <c r="BD15" s="4" t="s">
        <v>24</v>
      </c>
      <c r="BE15" s="4">
        <f>COUNTIF(tblActuals354[Winner],BD15)</f>
        <v>0</v>
      </c>
      <c r="BF15" s="4">
        <f>COUNTIFS(tblActuals354[Team 2],BD15,tblActuals354[WINNER / RESULT],"Draw")+COUNTIFS(tblActuals354[Team 1],BD15,tblActuals354[WINNER / RESULT],"Draw")</f>
        <v>0</v>
      </c>
      <c r="BG15" s="4">
        <f>COUNTIF(tblActuals354[Loser],BD15)</f>
        <v>0</v>
      </c>
      <c r="BH15" s="4">
        <f>BF15+(3*BE15)</f>
        <v>0</v>
      </c>
      <c r="BI15" s="4">
        <f>SUMIFS(tblActuals354[Team 1 Goals],tblActuals354[Team 1],BD15)+SUMIFS(tblActuals354[Team 2 Goals],tblActuals354[Team 2],BD15)</f>
        <v>0</v>
      </c>
      <c r="BJ15" s="4">
        <f>SUMIFS(tblActuals354[Team 2 Goals],tblActuals354[Team 1],BD15)+SUMIFS(tblActuals354[Team 1 Goals],tblActuals354[Team 2],BD15)</f>
        <v>0</v>
      </c>
      <c r="BK15" s="4">
        <f>BI15-BJ15</f>
        <v>0</v>
      </c>
      <c r="BL15" s="4">
        <f ca="1">RANK(BY15,$BY$14:$BY$17,1)</f>
        <v>2</v>
      </c>
      <c r="BM15" s="4" t="str">
        <f t="shared" si="4"/>
        <v/>
      </c>
      <c r="BN15" s="4" t="str">
        <f ca="1">IF(BM15="",BL15&amp;BC15,BM15&amp;BC15)</f>
        <v>2C</v>
      </c>
      <c r="BO15" s="4">
        <f>RANK(BH15,$BH$14:$BH$17,0)</f>
        <v>1</v>
      </c>
      <c r="BP15" s="4" cm="1">
        <f t="array" aca="1" ref="BP15" ca="1">SUMPRODUCT((OFFSET($CV$3:$EA$3,MATCH($BD15,$CU$4:$CU$35,0),0))*((IF($BO16=$BO15,$CV$3:$EA$3=$BD16,0))+(IF($BO17=$BO15,$CV$3:$EA$3=$BD17,0))+(IF($BO14=$BO15,$CV$3:$EA$3=$BD14,0))))</f>
        <v>0</v>
      </c>
      <c r="BQ15" s="4" cm="1">
        <f t="array" aca="1" ref="BQ15" ca="1">SUMPRODUCT((OFFSET($ED$3:$FI$3,MATCH($BD15,$EC$4:$EC$35,0),0))*((IF($BO16=$BO15,$ED$3:$FI$3=$BD16,0))+(IF($BO17=$BO15,$ED$3:$FI$3=$BD17,0))+(IF($BO14=$BO15,$ED$3:$FI$3=$BD14,0))))</f>
        <v>0</v>
      </c>
      <c r="BR15" s="4" cm="1">
        <f t="array" aca="1" ref="BR15" ca="1">SUMPRODUCT((OFFSET($FL$3:$GQ$3,MATCH($BD15,$FK$4:$FK$35,0),0))*((IF($BO16=$BO15,$FL$3:$GQ$3=$BD16,0))+(IF($BO17=$BO15,$FL$3:$GQ$3=$BD17,0))+(IF($BO14=$BO15,$FL$3:$GQ$3=$BD14,0))))</f>
        <v>0</v>
      </c>
      <c r="BS15" s="4" cm="1">
        <f t="array" aca="1" ref="BS15" ca="1">SUMPRODUCT((OFFSET($CV$3:$EA$3,MATCH($BD15,$CU$4:$CU$35,0),0))*((IF($BO16&lt;&gt;$BO15,$CV$3:$EA$3=$BD16,0))+(IF($BO17&lt;&gt;$BO15,$CV$3:$EA$3=$BD17,0))+(IF($BO14&lt;&gt;$BO15,$CV$3:$EA$3=$BD14,0))))</f>
        <v>0</v>
      </c>
      <c r="BT15" s="4" cm="1">
        <f t="array" aca="1" ref="BT15" ca="1">SUMPRODUCT((OFFSET($ED$3:$FI$3,MATCH($BD15,$EC$4:$EC$35,0),0))*((IF($BO16&lt;&gt;$BO15,$ED$3:$FI$3=$BD16,0))+(IF($BO17&lt;&gt;$BO15,$ED$3:$FI$3=$BD17,0))+(IF($BO14&lt;&gt;$BO15,$ED$3:$FI$3=$BD14,0))))</f>
        <v>0</v>
      </c>
      <c r="BU15" s="4" cm="1">
        <f t="array" aca="1" ref="BU15" ca="1">SUMPRODUCT((OFFSET($FL$3:$GQ$3,MATCH($BD15,$FK$4:$FK$35,0),0))*((IF($BO16&lt;&gt;$BO15,$FL$3:$GQ$3=$BD16,0))+(IF($BO17&lt;&gt;$BO15,$FL$3:$GQ$3=$BD17,0))+(IF($BO14&lt;&gt;$BO15,$FL$3:$GQ$3=$BD14,0))))</f>
        <v>0</v>
      </c>
      <c r="BV15" s="4">
        <f>BK15</f>
        <v>0</v>
      </c>
      <c r="BW15" s="4">
        <f>BI15</f>
        <v>0</v>
      </c>
      <c r="BX15" s="4">
        <f ca="1">(BP15/10)+(BQ15/100)+(BR15/1000)+(BT15/10000)+(BU15/100000)+(BV15/1000000)+(BW15/10000000)+(ROW(BS16)/100000000)</f>
        <v>1.6E-7</v>
      </c>
      <c r="BY15" s="4">
        <f ca="1">+BO15-BX15</f>
        <v>0.99999983999999997</v>
      </c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U15" s="4" t="s">
        <v>24</v>
      </c>
      <c r="CV15" s="56">
        <f>SUMIFS(tblActuals354[Team 2 Points],tblActuals354[Team 2],$CU15,tblActuals354[Team 1],CV$3)+SUMIFS(tblActuals354[Team 1 Points],tblActuals354[Team 1],$CU15,tblActuals354[Team 2],CV$3)</f>
        <v>0</v>
      </c>
      <c r="CW15" s="56">
        <f>SUMIFS(tblActuals354[Team 2 Points],tblActuals354[Team 2],$CU15,tblActuals354[Team 1],CW$3)+SUMIFS(tblActuals354[Team 1 Points],tblActuals354[Team 1],$CU15,tblActuals354[Team 2],CW$3)</f>
        <v>0</v>
      </c>
      <c r="CX15" s="56">
        <f>SUMIFS(tblActuals354[Team 2 Points],tblActuals354[Team 2],$CU15,tblActuals354[Team 1],CX$3)+SUMIFS(tblActuals354[Team 1 Points],tblActuals354[Team 1],$CU15,tblActuals354[Team 2],CX$3)</f>
        <v>0</v>
      </c>
      <c r="CY15" s="56">
        <f>SUMIFS(tblActuals354[Team 2 Points],tblActuals354[Team 2],$CU15,tblActuals354[Team 1],CY$3)+SUMIFS(tblActuals354[Team 1 Points],tblActuals354[Team 1],$CU15,tblActuals354[Team 2],CY$3)</f>
        <v>0</v>
      </c>
      <c r="CZ15" s="56">
        <f>SUMIFS(tblActuals354[Team 2 Points],tblActuals354[Team 2],$CU15,tblActuals354[Team 1],CZ$3)+SUMIFS(tblActuals354[Team 1 Points],tblActuals354[Team 1],$CU15,tblActuals354[Team 2],CZ$3)</f>
        <v>0</v>
      </c>
      <c r="DA15" s="56">
        <f>SUMIFS(tblActuals354[Team 2 Points],tblActuals354[Team 2],$CU15,tblActuals354[Team 1],DA$3)+SUMIFS(tblActuals354[Team 1 Points],tblActuals354[Team 1],$CU15,tblActuals354[Team 2],DA$3)</f>
        <v>0</v>
      </c>
      <c r="DB15" s="56">
        <f>SUMIFS(tblActuals354[Team 2 Points],tblActuals354[Team 2],$CU15,tblActuals354[Team 1],DB$3)+SUMIFS(tblActuals354[Team 1 Points],tblActuals354[Team 1],$CU15,tblActuals354[Team 2],DB$3)</f>
        <v>0</v>
      </c>
      <c r="DC15" s="56">
        <f>SUMIFS(tblActuals354[Team 2 Points],tblActuals354[Team 2],$CU15,tblActuals354[Team 1],DC$3)+SUMIFS(tblActuals354[Team 1 Points],tblActuals354[Team 1],$CU15,tblActuals354[Team 2],DC$3)</f>
        <v>0</v>
      </c>
      <c r="DD15" s="56">
        <f>SUMIFS(tblActuals354[Team 2 Points],tblActuals354[Team 2],$CU15,tblActuals354[Team 1],DD$3)+SUMIFS(tblActuals354[Team 1 Points],tblActuals354[Team 1],$CU15,tblActuals354[Team 2],DD$3)</f>
        <v>0</v>
      </c>
      <c r="DE15" s="56">
        <f>SUMIFS(tblActuals354[Team 2 Points],tblActuals354[Team 2],$CU15,tblActuals354[Team 1],DE$3)+SUMIFS(tblActuals354[Team 1 Points],tblActuals354[Team 1],$CU15,tblActuals354[Team 2],DE$3)</f>
        <v>0</v>
      </c>
      <c r="DF15" s="56">
        <f>SUMIFS(tblActuals354[Team 2 Points],tblActuals354[Team 2],$CU15,tblActuals354[Team 1],DF$3)+SUMIFS(tblActuals354[Team 1 Points],tblActuals354[Team 1],$CU15,tblActuals354[Team 2],DF$3)</f>
        <v>0</v>
      </c>
      <c r="DG15" s="56">
        <f>SUMIFS(tblActuals354[Team 2 Points],tblActuals354[Team 2],$CU15,tblActuals354[Team 1],DG$3)+SUMIFS(tblActuals354[Team 1 Points],tblActuals354[Team 1],$CU15,tblActuals354[Team 2],DG$3)</f>
        <v>0</v>
      </c>
      <c r="DH15" s="56">
        <f>SUMIFS(tblActuals354[Team 2 Points],tblActuals354[Team 2],$CU15,tblActuals354[Team 1],DH$3)+SUMIFS(tblActuals354[Team 1 Points],tblActuals354[Team 1],$CU15,tblActuals354[Team 2],DH$3)</f>
        <v>0</v>
      </c>
      <c r="DI15" s="56">
        <f>SUMIFS(tblActuals354[Team 2 Points],tblActuals354[Team 2],$CU15,tblActuals354[Team 1],DI$3)+SUMIFS(tblActuals354[Team 1 Points],tblActuals354[Team 1],$CU15,tblActuals354[Team 2],DI$3)</f>
        <v>0</v>
      </c>
      <c r="DJ15" s="56">
        <f>SUMIFS(tblActuals354[Team 2 Points],tblActuals354[Team 2],$CU15,tblActuals354[Team 1],DJ$3)+SUMIFS(tblActuals354[Team 1 Points],tblActuals354[Team 1],$CU15,tblActuals354[Team 2],DJ$3)</f>
        <v>0</v>
      </c>
      <c r="DK15" s="56">
        <f>SUMIFS(tblActuals354[Team 2 Points],tblActuals354[Team 2],$CU15,tblActuals354[Team 1],DK$3)+SUMIFS(tblActuals354[Team 1 Points],tblActuals354[Team 1],$CU15,tblActuals354[Team 2],DK$3)</f>
        <v>0</v>
      </c>
      <c r="DL15" s="56">
        <f>SUMIFS(tblActuals354[Team 2 Points],tblActuals354[Team 2],$CU15,tblActuals354[Team 1],DL$3)+SUMIFS(tblActuals354[Team 1 Points],tblActuals354[Team 1],$CU15,tblActuals354[Team 2],DL$3)</f>
        <v>0</v>
      </c>
      <c r="DM15" s="56">
        <f>SUMIFS(tblActuals354[Team 2 Points],tblActuals354[Team 2],$CU15,tblActuals354[Team 1],DM$3)+SUMIFS(tblActuals354[Team 1 Points],tblActuals354[Team 1],$CU15,tblActuals354[Team 2],DM$3)</f>
        <v>0</v>
      </c>
      <c r="DN15" s="56">
        <f>SUMIFS(tblActuals354[Team 2 Points],tblActuals354[Team 2],$CU15,tblActuals354[Team 1],DN$3)+SUMIFS(tblActuals354[Team 1 Points],tblActuals354[Team 1],$CU15,tblActuals354[Team 2],DN$3)</f>
        <v>0</v>
      </c>
      <c r="DO15" s="56">
        <f>SUMIFS(tblActuals354[Team 2 Points],tblActuals354[Team 2],$CU15,tblActuals354[Team 1],DO$3)+SUMIFS(tblActuals354[Team 1 Points],tblActuals354[Team 1],$CU15,tblActuals354[Team 2],DO$3)</f>
        <v>0</v>
      </c>
      <c r="DP15" s="56">
        <f>SUMIFS(tblActuals354[Team 2 Points],tblActuals354[Team 2],$CU15,tblActuals354[Team 1],DP$3)+SUMIFS(tblActuals354[Team 1 Points],tblActuals354[Team 1],$CU15,tblActuals354[Team 2],DP$3)</f>
        <v>0</v>
      </c>
      <c r="DQ15" s="56">
        <f>SUMIFS(tblActuals354[Team 2 Points],tblActuals354[Team 2],$CU15,tblActuals354[Team 1],DQ$3)+SUMIFS(tblActuals354[Team 1 Points],tblActuals354[Team 1],$CU15,tblActuals354[Team 2],DQ$3)</f>
        <v>0</v>
      </c>
      <c r="DR15" s="56">
        <f>SUMIFS(tblActuals354[Team 2 Points],tblActuals354[Team 2],$CU15,tblActuals354[Team 1],DR$3)+SUMIFS(tblActuals354[Team 1 Points],tblActuals354[Team 1],$CU15,tblActuals354[Team 2],DR$3)</f>
        <v>0</v>
      </c>
      <c r="DS15" s="56">
        <f>SUMIFS(tblActuals354[Team 2 Points],tblActuals354[Team 2],$CU15,tblActuals354[Team 1],DS$3)+SUMIFS(tblActuals354[Team 1 Points],tblActuals354[Team 1],$CU15,tblActuals354[Team 2],DS$3)</f>
        <v>0</v>
      </c>
      <c r="DT15" s="57"/>
      <c r="DU15" s="57"/>
      <c r="DV15" s="57"/>
      <c r="DW15" s="57"/>
      <c r="DX15" s="57"/>
      <c r="DY15" s="57"/>
      <c r="DZ15" s="57"/>
      <c r="EA15" s="57"/>
      <c r="EB15" s="4"/>
      <c r="EC15" s="4" t="s">
        <v>24</v>
      </c>
      <c r="ED15" s="56">
        <f>SUMIFS(tblActuals354[Team 2 GD],tblActuals354[Team 2],$CU15,tblActuals354[Team 1],ED$3)+SUMIFS(tblActuals354[Team 1 GD],tblActuals354[Team 1],$CU15,tblActuals354[Team 2],ED$3)</f>
        <v>0</v>
      </c>
      <c r="EE15" s="56">
        <f>SUMIFS(tblActuals354[Team 2 GD],tblActuals354[Team 2],$CU15,tblActuals354[Team 1],EE$3)+SUMIFS(tblActuals354[Team 1 GD],tblActuals354[Team 1],$CU15,tblActuals354[Team 2],EE$3)</f>
        <v>0</v>
      </c>
      <c r="EF15" s="56">
        <f>SUMIFS(tblActuals354[Team 2 GD],tblActuals354[Team 2],$CU15,tblActuals354[Team 1],EF$3)+SUMIFS(tblActuals354[Team 1 GD],tblActuals354[Team 1],$CU15,tblActuals354[Team 2],EF$3)</f>
        <v>0</v>
      </c>
      <c r="EG15" s="56">
        <f>SUMIFS(tblActuals354[Team 2 GD],tblActuals354[Team 2],$CU15,tblActuals354[Team 1],EG$3)+SUMIFS(tblActuals354[Team 1 GD],tblActuals354[Team 1],$CU15,tblActuals354[Team 2],EG$3)</f>
        <v>0</v>
      </c>
      <c r="EH15" s="56">
        <f>SUMIFS(tblActuals354[Team 2 GD],tblActuals354[Team 2],$CU15,tblActuals354[Team 1],EH$3)+SUMIFS(tblActuals354[Team 1 GD],tblActuals354[Team 1],$CU15,tblActuals354[Team 2],EH$3)</f>
        <v>0</v>
      </c>
      <c r="EI15" s="56">
        <f>SUMIFS(tblActuals354[Team 2 GD],tblActuals354[Team 2],$CU15,tblActuals354[Team 1],EI$3)+SUMIFS(tblActuals354[Team 1 GD],tblActuals354[Team 1],$CU15,tblActuals354[Team 2],EI$3)</f>
        <v>0</v>
      </c>
      <c r="EJ15" s="56">
        <f>SUMIFS(tblActuals354[Team 2 GD],tblActuals354[Team 2],$CU15,tblActuals354[Team 1],EJ$3)+SUMIFS(tblActuals354[Team 1 GD],tblActuals354[Team 1],$CU15,tblActuals354[Team 2],EJ$3)</f>
        <v>0</v>
      </c>
      <c r="EK15" s="56">
        <f>SUMIFS(tblActuals354[Team 2 GD],tblActuals354[Team 2],$CU15,tblActuals354[Team 1],EK$3)+SUMIFS(tblActuals354[Team 1 GD],tblActuals354[Team 1],$CU15,tblActuals354[Team 2],EK$3)</f>
        <v>0</v>
      </c>
      <c r="EL15" s="56">
        <f>SUMIFS(tblActuals354[Team 2 GD],tblActuals354[Team 2],$CU15,tblActuals354[Team 1],EL$3)+SUMIFS(tblActuals354[Team 1 GD],tblActuals354[Team 1],$CU15,tblActuals354[Team 2],EL$3)</f>
        <v>0</v>
      </c>
      <c r="EM15" s="56">
        <f>SUMIFS(tblActuals354[Team 2 GD],tblActuals354[Team 2],$CU15,tblActuals354[Team 1],EM$3)+SUMIFS(tblActuals354[Team 1 GD],tblActuals354[Team 1],$CU15,tblActuals354[Team 2],EM$3)</f>
        <v>0</v>
      </c>
      <c r="EN15" s="56">
        <f>SUMIFS(tblActuals354[Team 2 GD],tblActuals354[Team 2],$CU15,tblActuals354[Team 1],EN$3)+SUMIFS(tblActuals354[Team 1 GD],tblActuals354[Team 1],$CU15,tblActuals354[Team 2],EN$3)</f>
        <v>0</v>
      </c>
      <c r="EO15" s="56">
        <f>SUMIFS(tblActuals354[Team 2 GD],tblActuals354[Team 2],$CU15,tblActuals354[Team 1],EO$3)+SUMIFS(tblActuals354[Team 1 GD],tblActuals354[Team 1],$CU15,tblActuals354[Team 2],EO$3)</f>
        <v>0</v>
      </c>
      <c r="EP15" s="56">
        <f>SUMIFS(tblActuals354[Team 2 GD],tblActuals354[Team 2],$CU15,tblActuals354[Team 1],EP$3)+SUMIFS(tblActuals354[Team 1 GD],tblActuals354[Team 1],$CU15,tblActuals354[Team 2],EP$3)</f>
        <v>0</v>
      </c>
      <c r="EQ15" s="56">
        <f>SUMIFS(tblActuals354[Team 2 GD],tblActuals354[Team 2],$CU15,tblActuals354[Team 1],EQ$3)+SUMIFS(tblActuals354[Team 1 GD],tblActuals354[Team 1],$CU15,tblActuals354[Team 2],EQ$3)</f>
        <v>0</v>
      </c>
      <c r="ER15" s="56">
        <f>SUMIFS(tblActuals354[Team 2 GD],tblActuals354[Team 2],$CU15,tblActuals354[Team 1],ER$3)+SUMIFS(tblActuals354[Team 1 GD],tblActuals354[Team 1],$CU15,tblActuals354[Team 2],ER$3)</f>
        <v>0</v>
      </c>
      <c r="ES15" s="56">
        <f>SUMIFS(tblActuals354[Team 2 GD],tblActuals354[Team 2],$CU15,tblActuals354[Team 1],ES$3)+SUMIFS(tblActuals354[Team 1 GD],tblActuals354[Team 1],$CU15,tblActuals354[Team 2],ES$3)</f>
        <v>0</v>
      </c>
      <c r="ET15" s="56">
        <f>SUMIFS(tblActuals354[Team 2 GD],tblActuals354[Team 2],$CU15,tblActuals354[Team 1],ET$3)+SUMIFS(tblActuals354[Team 1 GD],tblActuals354[Team 1],$CU15,tblActuals354[Team 2],ET$3)</f>
        <v>0</v>
      </c>
      <c r="EU15" s="56">
        <f>SUMIFS(tblActuals354[Team 2 GD],tblActuals354[Team 2],$CU15,tblActuals354[Team 1],EU$3)+SUMIFS(tblActuals354[Team 1 GD],tblActuals354[Team 1],$CU15,tblActuals354[Team 2],EU$3)</f>
        <v>0</v>
      </c>
      <c r="EV15" s="56">
        <f>SUMIFS(tblActuals354[Team 2 GD],tblActuals354[Team 2],$CU15,tblActuals354[Team 1],EV$3)+SUMIFS(tblActuals354[Team 1 GD],tblActuals354[Team 1],$CU15,tblActuals354[Team 2],EV$3)</f>
        <v>0</v>
      </c>
      <c r="EW15" s="56">
        <f>SUMIFS(tblActuals354[Team 2 GD],tblActuals354[Team 2],$CU15,tblActuals354[Team 1],EW$3)+SUMIFS(tblActuals354[Team 1 GD],tblActuals354[Team 1],$CU15,tblActuals354[Team 2],EW$3)</f>
        <v>0</v>
      </c>
      <c r="EX15" s="56">
        <f>SUMIFS(tblActuals354[Team 2 GD],tblActuals354[Team 2],$CU15,tblActuals354[Team 1],EX$3)+SUMIFS(tblActuals354[Team 1 GD],tblActuals354[Team 1],$CU15,tblActuals354[Team 2],EX$3)</f>
        <v>0</v>
      </c>
      <c r="EY15" s="56">
        <f>SUMIFS(tblActuals354[Team 2 GD],tblActuals354[Team 2],$CU15,tblActuals354[Team 1],EY$3)+SUMIFS(tblActuals354[Team 1 GD],tblActuals354[Team 1],$CU15,tblActuals354[Team 2],EY$3)</f>
        <v>0</v>
      </c>
      <c r="EZ15" s="56">
        <f>SUMIFS(tblActuals354[Team 2 GD],tblActuals354[Team 2],$CU15,tblActuals354[Team 1],EZ$3)+SUMIFS(tblActuals354[Team 1 GD],tblActuals354[Team 1],$CU15,tblActuals354[Team 2],EZ$3)</f>
        <v>0</v>
      </c>
      <c r="FA15" s="56">
        <f>SUMIFS(tblActuals354[Team 2 GD],tblActuals354[Team 2],$CU15,tblActuals354[Team 1],FA$3)+SUMIFS(tblActuals354[Team 1 GD],tblActuals354[Team 1],$CU15,tblActuals354[Team 2],FA$3)</f>
        <v>0</v>
      </c>
      <c r="FB15" s="57"/>
      <c r="FC15" s="57"/>
      <c r="FD15" s="57"/>
      <c r="FE15" s="57"/>
      <c r="FF15" s="57"/>
      <c r="FG15" s="57"/>
      <c r="FH15" s="57"/>
      <c r="FI15" s="57"/>
      <c r="FJ15" s="4"/>
      <c r="FK15" s="4" t="s">
        <v>24</v>
      </c>
      <c r="FL15" s="56">
        <f>SUMIFS(tblActuals354[Team 2 Goals],tblActuals354[Team 2],$CU15,tblActuals354[Team 1],FL$3)+SUMIFS(tblActuals354[Team 1 Goals],tblActuals354[Team 1],$CU15,tblActuals354[Team 2],FL$3)</f>
        <v>0</v>
      </c>
      <c r="FM15" s="56">
        <f>SUMIFS(tblActuals354[Team 2 Goals],tblActuals354[Team 2],$CU15,tblActuals354[Team 1],FM$3)+SUMIFS(tblActuals354[Team 1 Goals],tblActuals354[Team 1],$CU15,tblActuals354[Team 2],FM$3)</f>
        <v>0</v>
      </c>
      <c r="FN15" s="56">
        <f>SUMIFS(tblActuals354[Team 2 Goals],tblActuals354[Team 2],$CU15,tblActuals354[Team 1],FN$3)+SUMIFS(tblActuals354[Team 1 Goals],tblActuals354[Team 1],$CU15,tblActuals354[Team 2],FN$3)</f>
        <v>0</v>
      </c>
      <c r="FO15" s="56">
        <f>SUMIFS(tblActuals354[Team 2 Goals],tblActuals354[Team 2],$CU15,tblActuals354[Team 1],FO$3)+SUMIFS(tblActuals354[Team 1 Goals],tblActuals354[Team 1],$CU15,tblActuals354[Team 2],FO$3)</f>
        <v>0</v>
      </c>
      <c r="FP15" s="56">
        <f>SUMIFS(tblActuals354[Team 2 Goals],tblActuals354[Team 2],$CU15,tblActuals354[Team 1],FP$3)+SUMIFS(tblActuals354[Team 1 Goals],tblActuals354[Team 1],$CU15,tblActuals354[Team 2],FP$3)</f>
        <v>0</v>
      </c>
      <c r="FQ15" s="56">
        <f>SUMIFS(tblActuals354[Team 2 Goals],tblActuals354[Team 2],$CU15,tblActuals354[Team 1],FQ$3)+SUMIFS(tblActuals354[Team 1 Goals],tblActuals354[Team 1],$CU15,tblActuals354[Team 2],FQ$3)</f>
        <v>0</v>
      </c>
      <c r="FR15" s="56">
        <f>SUMIFS(tblActuals354[Team 2 Goals],tblActuals354[Team 2],$CU15,tblActuals354[Team 1],FR$3)+SUMIFS(tblActuals354[Team 1 Goals],tblActuals354[Team 1],$CU15,tblActuals354[Team 2],FR$3)</f>
        <v>0</v>
      </c>
      <c r="FS15" s="56">
        <f>SUMIFS(tblActuals354[Team 2 Goals],tblActuals354[Team 2],$CU15,tblActuals354[Team 1],FS$3)+SUMIFS(tblActuals354[Team 1 Goals],tblActuals354[Team 1],$CU15,tblActuals354[Team 2],FS$3)</f>
        <v>0</v>
      </c>
      <c r="FT15" s="56">
        <f>SUMIFS(tblActuals354[Team 2 Goals],tblActuals354[Team 2],$CU15,tblActuals354[Team 1],FT$3)+SUMIFS(tblActuals354[Team 1 Goals],tblActuals354[Team 1],$CU15,tblActuals354[Team 2],FT$3)</f>
        <v>0</v>
      </c>
      <c r="FU15" s="56">
        <f>SUMIFS(tblActuals354[Team 2 Goals],tblActuals354[Team 2],$CU15,tblActuals354[Team 1],FU$3)+SUMIFS(tblActuals354[Team 1 Goals],tblActuals354[Team 1],$CU15,tblActuals354[Team 2],FU$3)</f>
        <v>0</v>
      </c>
      <c r="FV15" s="56">
        <f>SUMIFS(tblActuals354[Team 2 Goals],tblActuals354[Team 2],$CU15,tblActuals354[Team 1],FV$3)+SUMIFS(tblActuals354[Team 1 Goals],tblActuals354[Team 1],$CU15,tblActuals354[Team 2],FV$3)</f>
        <v>0</v>
      </c>
      <c r="FW15" s="56">
        <f>SUMIFS(tblActuals354[Team 2 Goals],tblActuals354[Team 2],$CU15,tblActuals354[Team 1],FW$3)+SUMIFS(tblActuals354[Team 1 Goals],tblActuals354[Team 1],$CU15,tblActuals354[Team 2],FW$3)</f>
        <v>0</v>
      </c>
      <c r="FX15" s="56">
        <f>SUMIFS(tblActuals354[Team 2 Goals],tblActuals354[Team 2],$CU15,tblActuals354[Team 1],FX$3)+SUMIFS(tblActuals354[Team 1 Goals],tblActuals354[Team 1],$CU15,tblActuals354[Team 2],FX$3)</f>
        <v>0</v>
      </c>
      <c r="FY15" s="56">
        <f>SUMIFS(tblActuals354[Team 2 Goals],tblActuals354[Team 2],$CU15,tblActuals354[Team 1],FY$3)+SUMIFS(tblActuals354[Team 1 Goals],tblActuals354[Team 1],$CU15,tblActuals354[Team 2],FY$3)</f>
        <v>0</v>
      </c>
      <c r="FZ15" s="56">
        <f>SUMIFS(tblActuals354[Team 2 Goals],tblActuals354[Team 2],$CU15,tblActuals354[Team 1],FZ$3)+SUMIFS(tblActuals354[Team 1 Goals],tblActuals354[Team 1],$CU15,tblActuals354[Team 2],FZ$3)</f>
        <v>0</v>
      </c>
      <c r="GA15" s="56">
        <f>SUMIFS(tblActuals354[Team 2 Goals],tblActuals354[Team 2],$CU15,tblActuals354[Team 1],GA$3)+SUMIFS(tblActuals354[Team 1 Goals],tblActuals354[Team 1],$CU15,tblActuals354[Team 2],GA$3)</f>
        <v>0</v>
      </c>
      <c r="GB15" s="56">
        <f>SUMIFS(tblActuals354[Team 2 Goals],tblActuals354[Team 2],$CU15,tblActuals354[Team 1],GB$3)+SUMIFS(tblActuals354[Team 1 Goals],tblActuals354[Team 1],$CU15,tblActuals354[Team 2],GB$3)</f>
        <v>0</v>
      </c>
      <c r="GC15" s="56">
        <f>SUMIFS(tblActuals354[Team 2 Goals],tblActuals354[Team 2],$CU15,tblActuals354[Team 1],GC$3)+SUMIFS(tblActuals354[Team 1 Goals],tblActuals354[Team 1],$CU15,tblActuals354[Team 2],GC$3)</f>
        <v>0</v>
      </c>
      <c r="GD15" s="56">
        <f>SUMIFS(tblActuals354[Team 2 Goals],tblActuals354[Team 2],$CU15,tblActuals354[Team 1],GD$3)+SUMIFS(tblActuals354[Team 1 Goals],tblActuals354[Team 1],$CU15,tblActuals354[Team 2],GD$3)</f>
        <v>0</v>
      </c>
      <c r="GE15" s="56">
        <f>SUMIFS(tblActuals354[Team 2 Goals],tblActuals354[Team 2],$CU15,tblActuals354[Team 1],GE$3)+SUMIFS(tblActuals354[Team 1 Goals],tblActuals354[Team 1],$CU15,tblActuals354[Team 2],GE$3)</f>
        <v>0</v>
      </c>
      <c r="GF15" s="56">
        <f>SUMIFS(tblActuals354[Team 2 Goals],tblActuals354[Team 2],$CU15,tblActuals354[Team 1],GF$3)+SUMIFS(tblActuals354[Team 1 Goals],tblActuals354[Team 1],$CU15,tblActuals354[Team 2],GF$3)</f>
        <v>0</v>
      </c>
      <c r="GG15" s="56">
        <f>SUMIFS(tblActuals354[Team 2 Goals],tblActuals354[Team 2],$CU15,tblActuals354[Team 1],GG$3)+SUMIFS(tblActuals354[Team 1 Goals],tblActuals354[Team 1],$CU15,tblActuals354[Team 2],GG$3)</f>
        <v>0</v>
      </c>
      <c r="GH15" s="56">
        <f>SUMIFS(tblActuals354[Team 2 Goals],tblActuals354[Team 2],$CU15,tblActuals354[Team 1],GH$3)+SUMIFS(tblActuals354[Team 1 Goals],tblActuals354[Team 1],$CU15,tblActuals354[Team 2],GH$3)</f>
        <v>0</v>
      </c>
      <c r="GI15" s="56">
        <f>SUMIFS(tblActuals354[Team 2 Goals],tblActuals354[Team 2],$CU15,tblActuals354[Team 1],GI$3)+SUMIFS(tblActuals354[Team 1 Goals],tblActuals354[Team 1],$CU15,tblActuals354[Team 2],GI$3)</f>
        <v>0</v>
      </c>
      <c r="GJ15" s="57"/>
      <c r="GK15" s="57"/>
      <c r="GL15" s="37"/>
      <c r="GM15" s="37"/>
      <c r="GN15" s="37"/>
      <c r="GO15" s="37"/>
      <c r="GP15" s="37"/>
      <c r="GQ15" s="37"/>
      <c r="GR15" s="75"/>
      <c r="GS15" s="156"/>
      <c r="GT15" s="156"/>
      <c r="GU15" s="75"/>
      <c r="GV15" s="75"/>
      <c r="GW15" s="75"/>
      <c r="GX15" s="75"/>
      <c r="GY15" s="75"/>
      <c r="GZ15" s="75"/>
      <c r="HB15" s="4" t="str">
        <f t="shared" si="12"/>
        <v>BCDE</v>
      </c>
      <c r="HC15" s="45"/>
      <c r="HD15" s="44" t="s">
        <v>5</v>
      </c>
      <c r="HE15" s="44" t="s">
        <v>6</v>
      </c>
      <c r="HF15" s="44" t="s">
        <v>7</v>
      </c>
      <c r="HG15" s="44" t="s">
        <v>12</v>
      </c>
      <c r="HH15" s="45"/>
      <c r="HI15" s="178"/>
      <c r="HJ15" s="45" t="s">
        <v>153</v>
      </c>
      <c r="HK15" s="45" t="s">
        <v>150</v>
      </c>
      <c r="HL15" s="45" t="s">
        <v>151</v>
      </c>
      <c r="HM15" s="45" t="s">
        <v>152</v>
      </c>
    </row>
    <row r="16" spans="1:221" s="11" customFormat="1" ht="30" customHeight="1" thickBot="1" x14ac:dyDescent="0.3">
      <c r="A16" s="20"/>
      <c r="B16" s="122">
        <v>13</v>
      </c>
      <c r="C16" s="122" t="s">
        <v>1</v>
      </c>
      <c r="D16" s="123">
        <v>45462</v>
      </c>
      <c r="E16" s="122" t="s">
        <v>79</v>
      </c>
      <c r="F16" s="124">
        <v>0.875</v>
      </c>
      <c r="G16" s="125">
        <f t="shared" si="11"/>
        <v>45462.625</v>
      </c>
      <c r="H16" s="122" t="s">
        <v>101</v>
      </c>
      <c r="I16" s="126"/>
      <c r="J16" s="118"/>
      <c r="K16" s="118"/>
      <c r="L16" s="174">
        <f>IF(I16="",0,IFERROR(IF(SCORING.RULES!$C$8="No",1,((VLOOKUP($B16,ACTUALS!$B$4:$L$100,7,FALSE)=$H16)+(VLOOKUP($B16,ACTUALS!$B$4:$L$100,7,FALSE)=S16)))*(M16+N16+O16+P16+Q16),0))+$R16</f>
        <v>0</v>
      </c>
      <c r="M16" s="168">
        <f>IFERROR(IF($B16="","",IF(U16=INDEX(ACTUALS!$AA$4:$AA$100,MATCH($B16,ACTUALS!$B$4:$B$100,0),1),CorrectScore,0)),0)</f>
        <v>0</v>
      </c>
      <c r="N16" s="157" t="str">
        <f>IFERROR(IF(I16="","",IF(INDEX(ACTUALS!$AB$4:$AB$100,MATCH($B16,ACTUALS!$B$4:$B$100,0),1)=(AB16+AC16+AH16+AI16),CorrectNumberofGoals,0)),0)</f>
        <v/>
      </c>
      <c r="O16" s="157"/>
      <c r="P16" s="157">
        <f>IFERROR(IF(B16="","",IF(INDEX(ACTUALS!$L$4:$L$100,MATCH($B16,ACTUALS!$B$4:$B$100,0),1)=W16,CorrectResult,0)),0)</f>
        <v>3</v>
      </c>
      <c r="Q16" s="157"/>
      <c r="R16" s="157"/>
      <c r="S16" s="157" t="str">
        <f t="shared" si="0"/>
        <v/>
      </c>
      <c r="T16" s="157"/>
      <c r="U16" s="157" t="str">
        <f t="shared" si="1"/>
        <v/>
      </c>
      <c r="V16" s="157" t="str">
        <f t="shared" si="2"/>
        <v/>
      </c>
      <c r="W16" s="119" t="str">
        <f>IF(tblActuals354[[#This Row],[SCORE]]="","",IF(AB16=AC16,"Draw",IF(AB16&gt;AC16,X16,Y16)))</f>
        <v/>
      </c>
      <c r="X16" s="120" t="str">
        <f>IF(tblActuals354[[#This Row],[TEAMS]]="","",LEFT(H16,FIND(" -",H16,1)-1))</f>
        <v>Scotland</v>
      </c>
      <c r="Y16" s="120" t="str">
        <f>IF(tblActuals354[[#This Row],[TEAMS]]="","",MID(H16,FIND("-",H16,1)+2,LEN(H16)-FIND("-",H16,1)+2))</f>
        <v>Switzerland</v>
      </c>
      <c r="Z16" s="120" t="str">
        <f>IF(tblActuals354[[#This Row],[Team 1 Goals]]&gt;tblActuals354[[#This Row],[Team 2 Goals]],tblActuals354[[#This Row],[Team 1]],IF(tblActuals354[[#This Row],[Team 2 Goals]]&gt;tblActuals354[[#This Row],[Team 1 Goals]],tblActuals354[[#This Row],[Team 2]],""))</f>
        <v/>
      </c>
      <c r="AA16" s="120" t="str">
        <f>IF(tblActuals354[[#This Row],[Winner]]=tblActuals354[[#This Row],[Team 1]],tblActuals354[[#This Row],[Team 2]],IF(tblActuals354[[#This Row],[Winner]]=tblActuals354[[#This Row],[Team 2]],tblActuals354[[#This Row],[Team 1]],""))</f>
        <v/>
      </c>
      <c r="AB16" s="120" t="str">
        <f>IF(tblActuals354[[#This Row],[SCORE]]="","",LEFT(I16,FIND(":",I16,1)-1)*1)</f>
        <v/>
      </c>
      <c r="AC16" s="120" t="str">
        <f>IF(tblActuals354[[#This Row],[SCORE]]="","",MID(I16,FIND(":",I16,1)+1,LEN(I16)-FIND(":",I16,1)+1)*1)</f>
        <v/>
      </c>
      <c r="AD16" s="120" t="str">
        <f>IF(OR(tblActuals354[[#This Row],[Team 1 Goals]]="",tblActuals354[[#This Row],[Team 2 Goals]]=""),"",tblActuals354[[#This Row],[Team 1 Goals]]-tblActuals354[[#This Row],[Team 2 Goals]])</f>
        <v/>
      </c>
      <c r="AE16" s="120" t="str">
        <f>IF(OR(tblActuals354[[#This Row],[Team 1 Goals]]="",tblActuals354[[#This Row],[Team 2 Goals]]=""),"",tblActuals354[[#This Row],[Team 2 Goals]]-tblActuals354[[#This Row],[Team 1 Goals]])</f>
        <v/>
      </c>
      <c r="AF16" s="120" t="str">
        <f>IF(tblActuals354[[#This Row],[SCORE]]="","",IF(tblActuals354[[#This Row],[WINNER / RESULT]]="Draw",1,IF(tblActuals354[[#This Row],[WINNER / RESULT]]=tblActuals354[[#This Row],[Team 1]],3,0)))</f>
        <v/>
      </c>
      <c r="AG16" s="120" t="str">
        <f>IF(tblActuals354[[#This Row],[SCORE]]="","",IF(tblActuals354[[#This Row],[WINNER / RESULT]]="Draw",1,IF(tblActuals354[[#This Row],[WINNER / RESULT]]=tblActuals354[[#This Row],[Team 2]],3,0)))</f>
        <v/>
      </c>
      <c r="AH16" s="121"/>
      <c r="AI16" s="121"/>
      <c r="AJ16" s="121"/>
      <c r="AK16" s="121"/>
      <c r="AL16" s="120" t="e">
        <f>tblActuals354[[#This Row],[Team 1 Goals]]+tblActuals354[[#This Row],[Team 1 ET Goals]]&amp;":"&amp;tblActuals354[[#This Row],[Team 2 Goals]]+tblActuals354[[#This Row],[Team 2 ET Goals]]</f>
        <v>#VALUE!</v>
      </c>
      <c r="AM16" s="120" t="e">
        <f>+tblActuals354[[#This Row],[Team 1 Goals]]+tblActuals354[[#This Row],[Team 2 Goals]]</f>
        <v>#VALUE!</v>
      </c>
      <c r="AN16" s="161">
        <f t="shared" si="3"/>
        <v>45462</v>
      </c>
      <c r="AT16" s="77"/>
      <c r="AU16" s="148"/>
      <c r="AV16" s="148"/>
      <c r="AW16" s="148"/>
      <c r="AX16" s="148"/>
      <c r="AY16" s="148"/>
      <c r="AZ16" s="75"/>
      <c r="BA16" s="4"/>
      <c r="BB16" s="4"/>
      <c r="BC16" s="4" t="s">
        <v>6</v>
      </c>
      <c r="BD16" s="4" t="s">
        <v>34</v>
      </c>
      <c r="BE16" s="4">
        <f>COUNTIF(tblActuals354[Winner],BD16)</f>
        <v>0</v>
      </c>
      <c r="BF16" s="4">
        <f>COUNTIFS(tblActuals354[Team 2],BD16,tblActuals354[WINNER / RESULT],"Draw")+COUNTIFS(tblActuals354[Team 1],BD16,tblActuals354[WINNER / RESULT],"Draw")</f>
        <v>0</v>
      </c>
      <c r="BG16" s="4">
        <f>COUNTIF(tblActuals354[Loser],BD16)</f>
        <v>0</v>
      </c>
      <c r="BH16" s="4">
        <f>BF16+(3*BE16)</f>
        <v>0</v>
      </c>
      <c r="BI16" s="4">
        <f>SUMIFS(tblActuals354[Team 1 Goals],tblActuals354[Team 1],BD16)+SUMIFS(tblActuals354[Team 2 Goals],tblActuals354[Team 2],BD16)</f>
        <v>0</v>
      </c>
      <c r="BJ16" s="4">
        <f>SUMIFS(tblActuals354[Team 2 Goals],tblActuals354[Team 1],BD16)+SUMIFS(tblActuals354[Team 1 Goals],tblActuals354[Team 2],BD16)</f>
        <v>0</v>
      </c>
      <c r="BK16" s="4">
        <f>BI16-BJ16</f>
        <v>0</v>
      </c>
      <c r="BL16" s="4">
        <f ca="1">RANK(BY16,$BY$14:$BY$17,1)</f>
        <v>3</v>
      </c>
      <c r="BM16" s="4" t="str">
        <f t="shared" si="4"/>
        <v/>
      </c>
      <c r="BN16" s="4" t="str">
        <f ca="1">IF(BM16="",BL16&amp;BC16,BM16&amp;BC16)</f>
        <v>3C</v>
      </c>
      <c r="BO16" s="4">
        <f>RANK(BH16,$BH$14:$BH$17,0)</f>
        <v>1</v>
      </c>
      <c r="BP16" s="4" cm="1">
        <f t="array" aca="1" ref="BP16" ca="1">SUMPRODUCT((OFFSET($CV$3:$EA$3,MATCH($BD16,$CU$4:$CU$35,0),0))*((IF($BO14=$BO16,$CV$3:$EA$3=$BD14,0))+(IF($BO17=$BO16,$CV$3:$EA$3=$BD17,0))+(IF($BO15=$BO16,$CV$3:$EA$3=$BD15,0))))</f>
        <v>0</v>
      </c>
      <c r="BQ16" s="4" cm="1">
        <f t="array" aca="1" ref="BQ16" ca="1">SUMPRODUCT((OFFSET($ED$3:$FI$3,MATCH($BD16,$EC$4:$EC$35,0),0))*((IF($BO14=$BO16,$ED$3:$FI$3=$BD14,0))+(IF($BO17=$BO16,$ED$3:$FI$3=$BD17,0))+(IF($BO15=$BO16,$ED$3:$FI$3=$BD15,0))))</f>
        <v>0</v>
      </c>
      <c r="BR16" s="4" cm="1">
        <f t="array" aca="1" ref="BR16" ca="1">SUMPRODUCT((OFFSET($FL$3:$GQ$3,MATCH($BD16,$FK$4:$FK$35,0),0))*((IF($BO14=$BO16,$FL$3:$GQ$3=$BD14,0))+(IF($BO17=$BO16,$FL$3:$GQ$3=$BD17,0))+(IF($BO15=$BO16,$FL$3:$GQ$3=$BD15,0))))</f>
        <v>0</v>
      </c>
      <c r="BS16" s="4" cm="1">
        <f t="array" aca="1" ref="BS16" ca="1">SUMPRODUCT((OFFSET($CV$3:$EA$3,MATCH($BD16,$CU$4:$CU$35,0),0))*((IF($BO14&lt;&gt;$BO16,$CV$3:$EA$3=$BD14,0))+(IF($BO17&lt;&gt;$BO16,$CV$3:$EA$3=$BD17,0))+(IF($BO15&lt;&gt;$BO16,$CV$3:$EA$3=$BD15,0))))</f>
        <v>0</v>
      </c>
      <c r="BT16" s="4" cm="1">
        <f t="array" aca="1" ref="BT16" ca="1">SUMPRODUCT((OFFSET($ED$3:$FI$3,MATCH($BD16,$EC$4:$EC$35,0),0))*((IF($BO14&lt;&gt;$BO16,$ED$3:$FI$3=$BD14,0))+(IF($BO17&lt;&gt;$BO16,$ED$3:$FI$3=$BD17,0))+(IF($BO15&lt;&gt;$BO16,$ED$3:$FI$3=$BD15,0))))</f>
        <v>0</v>
      </c>
      <c r="BU16" s="4" cm="1">
        <f t="array" aca="1" ref="BU16" ca="1">SUMPRODUCT((OFFSET($FL$3:$GQ$3,MATCH($BD16,$FK$4:$FK$35,0),0))*((IF($BO14&lt;&gt;$BO16,$FL$3:$GQ$3=$BD14,0))+(IF($BO17&lt;&gt;$BO16,$FL$3:$GQ$3=$BD17,0))+(IF($BO15&lt;&gt;$BO16,$FL$3:$GQ$3=$BD15,0))))</f>
        <v>0</v>
      </c>
      <c r="BV16" s="4">
        <f>BK16</f>
        <v>0</v>
      </c>
      <c r="BW16" s="4">
        <f>BI16</f>
        <v>0</v>
      </c>
      <c r="BX16" s="4">
        <f ca="1">(BP16/10)+(BQ16/100)+(BR16/1000)+(BT16/10000)+(BU16/100000)+(BV16/1000000)+(BW16/10000000)+(ROW(BS15)/100000000)</f>
        <v>1.4999999999999999E-7</v>
      </c>
      <c r="BY16" s="4">
        <f ca="1">+BO16-BX16</f>
        <v>0.99999985000000002</v>
      </c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U16" s="4" t="s">
        <v>32</v>
      </c>
      <c r="CV16" s="56">
        <f>SUMIFS(tblActuals354[Team 2 Points],tblActuals354[Team 2],$CU16,tblActuals354[Team 1],CV$3)+SUMIFS(tblActuals354[Team 1 Points],tblActuals354[Team 1],$CU16,tblActuals354[Team 2],CV$3)</f>
        <v>0</v>
      </c>
      <c r="CW16" s="56">
        <f>SUMIFS(tblActuals354[Team 2 Points],tblActuals354[Team 2],$CU16,tblActuals354[Team 1],CW$3)+SUMIFS(tblActuals354[Team 1 Points],tblActuals354[Team 1],$CU16,tblActuals354[Team 2],CW$3)</f>
        <v>0</v>
      </c>
      <c r="CX16" s="56">
        <f>SUMIFS(tblActuals354[Team 2 Points],tblActuals354[Team 2],$CU16,tblActuals354[Team 1],CX$3)+SUMIFS(tblActuals354[Team 1 Points],tblActuals354[Team 1],$CU16,tblActuals354[Team 2],CX$3)</f>
        <v>0</v>
      </c>
      <c r="CY16" s="56">
        <f>SUMIFS(tblActuals354[Team 2 Points],tblActuals354[Team 2],$CU16,tblActuals354[Team 1],CY$3)+SUMIFS(tblActuals354[Team 1 Points],tblActuals354[Team 1],$CU16,tblActuals354[Team 2],CY$3)</f>
        <v>0</v>
      </c>
      <c r="CZ16" s="56">
        <f>SUMIFS(tblActuals354[Team 2 Points],tblActuals354[Team 2],$CU16,tblActuals354[Team 1],CZ$3)+SUMIFS(tblActuals354[Team 1 Points],tblActuals354[Team 1],$CU16,tblActuals354[Team 2],CZ$3)</f>
        <v>0</v>
      </c>
      <c r="DA16" s="56">
        <f>SUMIFS(tblActuals354[Team 2 Points],tblActuals354[Team 2],$CU16,tblActuals354[Team 1],DA$3)+SUMIFS(tblActuals354[Team 1 Points],tblActuals354[Team 1],$CU16,tblActuals354[Team 2],DA$3)</f>
        <v>0</v>
      </c>
      <c r="DB16" s="56">
        <f>SUMIFS(tblActuals354[Team 2 Points],tblActuals354[Team 2],$CU16,tblActuals354[Team 1],DB$3)+SUMIFS(tblActuals354[Team 1 Points],tblActuals354[Team 1],$CU16,tblActuals354[Team 2],DB$3)</f>
        <v>0</v>
      </c>
      <c r="DC16" s="56">
        <f>SUMIFS(tblActuals354[Team 2 Points],tblActuals354[Team 2],$CU16,tblActuals354[Team 1],DC$3)+SUMIFS(tblActuals354[Team 1 Points],tblActuals354[Team 1],$CU16,tblActuals354[Team 2],DC$3)</f>
        <v>0</v>
      </c>
      <c r="DD16" s="56">
        <f>SUMIFS(tblActuals354[Team 2 Points],tblActuals354[Team 2],$CU16,tblActuals354[Team 1],DD$3)+SUMIFS(tblActuals354[Team 1 Points],tblActuals354[Team 1],$CU16,tblActuals354[Team 2],DD$3)</f>
        <v>0</v>
      </c>
      <c r="DE16" s="56">
        <f>SUMIFS(tblActuals354[Team 2 Points],tblActuals354[Team 2],$CU16,tblActuals354[Team 1],DE$3)+SUMIFS(tblActuals354[Team 1 Points],tblActuals354[Team 1],$CU16,tblActuals354[Team 2],DE$3)</f>
        <v>0</v>
      </c>
      <c r="DF16" s="56">
        <f>SUMIFS(tblActuals354[Team 2 Points],tblActuals354[Team 2],$CU16,tblActuals354[Team 1],DF$3)+SUMIFS(tblActuals354[Team 1 Points],tblActuals354[Team 1],$CU16,tblActuals354[Team 2],DF$3)</f>
        <v>0</v>
      </c>
      <c r="DG16" s="56">
        <f>SUMIFS(tblActuals354[Team 2 Points],tblActuals354[Team 2],$CU16,tblActuals354[Team 1],DG$3)+SUMIFS(tblActuals354[Team 1 Points],tblActuals354[Team 1],$CU16,tblActuals354[Team 2],DG$3)</f>
        <v>0</v>
      </c>
      <c r="DH16" s="56">
        <f>SUMIFS(tblActuals354[Team 2 Points],tblActuals354[Team 2],$CU16,tblActuals354[Team 1],DH$3)+SUMIFS(tblActuals354[Team 1 Points],tblActuals354[Team 1],$CU16,tblActuals354[Team 2],DH$3)</f>
        <v>0</v>
      </c>
      <c r="DI16" s="56">
        <f>SUMIFS(tblActuals354[Team 2 Points],tblActuals354[Team 2],$CU16,tblActuals354[Team 1],DI$3)+SUMIFS(tblActuals354[Team 1 Points],tblActuals354[Team 1],$CU16,tblActuals354[Team 2],DI$3)</f>
        <v>0</v>
      </c>
      <c r="DJ16" s="56">
        <f>SUMIFS(tblActuals354[Team 2 Points],tblActuals354[Team 2],$CU16,tblActuals354[Team 1],DJ$3)+SUMIFS(tblActuals354[Team 1 Points],tblActuals354[Team 1],$CU16,tblActuals354[Team 2],DJ$3)</f>
        <v>0</v>
      </c>
      <c r="DK16" s="56">
        <f>SUMIFS(tblActuals354[Team 2 Points],tblActuals354[Team 2],$CU16,tblActuals354[Team 1],DK$3)+SUMIFS(tblActuals354[Team 1 Points],tblActuals354[Team 1],$CU16,tblActuals354[Team 2],DK$3)</f>
        <v>0</v>
      </c>
      <c r="DL16" s="56">
        <f>SUMIFS(tblActuals354[Team 2 Points],tblActuals354[Team 2],$CU16,tblActuals354[Team 1],DL$3)+SUMIFS(tblActuals354[Team 1 Points],tblActuals354[Team 1],$CU16,tblActuals354[Team 2],DL$3)</f>
        <v>0</v>
      </c>
      <c r="DM16" s="56">
        <f>SUMIFS(tblActuals354[Team 2 Points],tblActuals354[Team 2],$CU16,tblActuals354[Team 1],DM$3)+SUMIFS(tblActuals354[Team 1 Points],tblActuals354[Team 1],$CU16,tblActuals354[Team 2],DM$3)</f>
        <v>0</v>
      </c>
      <c r="DN16" s="56">
        <f>SUMIFS(tblActuals354[Team 2 Points],tblActuals354[Team 2],$CU16,tblActuals354[Team 1],DN$3)+SUMIFS(tblActuals354[Team 1 Points],tblActuals354[Team 1],$CU16,tblActuals354[Team 2],DN$3)</f>
        <v>0</v>
      </c>
      <c r="DO16" s="56">
        <f>SUMIFS(tblActuals354[Team 2 Points],tblActuals354[Team 2],$CU16,tblActuals354[Team 1],DO$3)+SUMIFS(tblActuals354[Team 1 Points],tblActuals354[Team 1],$CU16,tblActuals354[Team 2],DO$3)</f>
        <v>0</v>
      </c>
      <c r="DP16" s="56">
        <f>SUMIFS(tblActuals354[Team 2 Points],tblActuals354[Team 2],$CU16,tblActuals354[Team 1],DP$3)+SUMIFS(tblActuals354[Team 1 Points],tblActuals354[Team 1],$CU16,tblActuals354[Team 2],DP$3)</f>
        <v>0</v>
      </c>
      <c r="DQ16" s="56">
        <f>SUMIFS(tblActuals354[Team 2 Points],tblActuals354[Team 2],$CU16,tblActuals354[Team 1],DQ$3)+SUMIFS(tblActuals354[Team 1 Points],tblActuals354[Team 1],$CU16,tblActuals354[Team 2],DQ$3)</f>
        <v>0</v>
      </c>
      <c r="DR16" s="56">
        <f>SUMIFS(tblActuals354[Team 2 Points],tblActuals354[Team 2],$CU16,tblActuals354[Team 1],DR$3)+SUMIFS(tblActuals354[Team 1 Points],tblActuals354[Team 1],$CU16,tblActuals354[Team 2],DR$3)</f>
        <v>0</v>
      </c>
      <c r="DS16" s="56">
        <f>SUMIFS(tblActuals354[Team 2 Points],tblActuals354[Team 2],$CU16,tblActuals354[Team 1],DS$3)+SUMIFS(tblActuals354[Team 1 Points],tblActuals354[Team 1],$CU16,tblActuals354[Team 2],DS$3)</f>
        <v>0</v>
      </c>
      <c r="DT16" s="57"/>
      <c r="DU16" s="57"/>
      <c r="DV16" s="57"/>
      <c r="DW16" s="57"/>
      <c r="DX16" s="57"/>
      <c r="DY16" s="57"/>
      <c r="DZ16" s="57"/>
      <c r="EA16" s="57"/>
      <c r="EB16" s="4"/>
      <c r="EC16" s="4" t="s">
        <v>32</v>
      </c>
      <c r="ED16" s="56">
        <f>SUMIFS(tblActuals354[Team 2 GD],tblActuals354[Team 2],$CU16,tblActuals354[Team 1],ED$3)+SUMIFS(tblActuals354[Team 1 GD],tblActuals354[Team 1],$CU16,tblActuals354[Team 2],ED$3)</f>
        <v>0</v>
      </c>
      <c r="EE16" s="56">
        <f>SUMIFS(tblActuals354[Team 2 GD],tblActuals354[Team 2],$CU16,tblActuals354[Team 1],EE$3)+SUMIFS(tblActuals354[Team 1 GD],tblActuals354[Team 1],$CU16,tblActuals354[Team 2],EE$3)</f>
        <v>0</v>
      </c>
      <c r="EF16" s="56">
        <f>SUMIFS(tblActuals354[Team 2 GD],tblActuals354[Team 2],$CU16,tblActuals354[Team 1],EF$3)+SUMIFS(tblActuals354[Team 1 GD],tblActuals354[Team 1],$CU16,tblActuals354[Team 2],EF$3)</f>
        <v>0</v>
      </c>
      <c r="EG16" s="56">
        <f>SUMIFS(tblActuals354[Team 2 GD],tblActuals354[Team 2],$CU16,tblActuals354[Team 1],EG$3)+SUMIFS(tblActuals354[Team 1 GD],tblActuals354[Team 1],$CU16,tblActuals354[Team 2],EG$3)</f>
        <v>0</v>
      </c>
      <c r="EH16" s="56">
        <f>SUMIFS(tblActuals354[Team 2 GD],tblActuals354[Team 2],$CU16,tblActuals354[Team 1],EH$3)+SUMIFS(tblActuals354[Team 1 GD],tblActuals354[Team 1],$CU16,tblActuals354[Team 2],EH$3)</f>
        <v>0</v>
      </c>
      <c r="EI16" s="56">
        <f>SUMIFS(tblActuals354[Team 2 GD],tblActuals354[Team 2],$CU16,tblActuals354[Team 1],EI$3)+SUMIFS(tblActuals354[Team 1 GD],tblActuals354[Team 1],$CU16,tblActuals354[Team 2],EI$3)</f>
        <v>0</v>
      </c>
      <c r="EJ16" s="56">
        <f>SUMIFS(tblActuals354[Team 2 GD],tblActuals354[Team 2],$CU16,tblActuals354[Team 1],EJ$3)+SUMIFS(tblActuals354[Team 1 GD],tblActuals354[Team 1],$CU16,tblActuals354[Team 2],EJ$3)</f>
        <v>0</v>
      </c>
      <c r="EK16" s="56">
        <f>SUMIFS(tblActuals354[Team 2 GD],tblActuals354[Team 2],$CU16,tblActuals354[Team 1],EK$3)+SUMIFS(tblActuals354[Team 1 GD],tblActuals354[Team 1],$CU16,tblActuals354[Team 2],EK$3)</f>
        <v>0</v>
      </c>
      <c r="EL16" s="56">
        <f>SUMIFS(tblActuals354[Team 2 GD],tblActuals354[Team 2],$CU16,tblActuals354[Team 1],EL$3)+SUMIFS(tblActuals354[Team 1 GD],tblActuals354[Team 1],$CU16,tblActuals354[Team 2],EL$3)</f>
        <v>0</v>
      </c>
      <c r="EM16" s="56">
        <f>SUMIFS(tblActuals354[Team 2 GD],tblActuals354[Team 2],$CU16,tblActuals354[Team 1],EM$3)+SUMIFS(tblActuals354[Team 1 GD],tblActuals354[Team 1],$CU16,tblActuals354[Team 2],EM$3)</f>
        <v>0</v>
      </c>
      <c r="EN16" s="56">
        <f>SUMIFS(tblActuals354[Team 2 GD],tblActuals354[Team 2],$CU16,tblActuals354[Team 1],EN$3)+SUMIFS(tblActuals354[Team 1 GD],tblActuals354[Team 1],$CU16,tblActuals354[Team 2],EN$3)</f>
        <v>0</v>
      </c>
      <c r="EO16" s="56">
        <f>SUMIFS(tblActuals354[Team 2 GD],tblActuals354[Team 2],$CU16,tblActuals354[Team 1],EO$3)+SUMIFS(tblActuals354[Team 1 GD],tblActuals354[Team 1],$CU16,tblActuals354[Team 2],EO$3)</f>
        <v>0</v>
      </c>
      <c r="EP16" s="56">
        <f>SUMIFS(tblActuals354[Team 2 GD],tblActuals354[Team 2],$CU16,tblActuals354[Team 1],EP$3)+SUMIFS(tblActuals354[Team 1 GD],tblActuals354[Team 1],$CU16,tblActuals354[Team 2],EP$3)</f>
        <v>0</v>
      </c>
      <c r="EQ16" s="56">
        <f>SUMIFS(tblActuals354[Team 2 GD],tblActuals354[Team 2],$CU16,tblActuals354[Team 1],EQ$3)+SUMIFS(tblActuals354[Team 1 GD],tblActuals354[Team 1],$CU16,tblActuals354[Team 2],EQ$3)</f>
        <v>0</v>
      </c>
      <c r="ER16" s="56">
        <f>SUMIFS(tblActuals354[Team 2 GD],tblActuals354[Team 2],$CU16,tblActuals354[Team 1],ER$3)+SUMIFS(tblActuals354[Team 1 GD],tblActuals354[Team 1],$CU16,tblActuals354[Team 2],ER$3)</f>
        <v>0</v>
      </c>
      <c r="ES16" s="56">
        <f>SUMIFS(tblActuals354[Team 2 GD],tblActuals354[Team 2],$CU16,tblActuals354[Team 1],ES$3)+SUMIFS(tblActuals354[Team 1 GD],tblActuals354[Team 1],$CU16,tblActuals354[Team 2],ES$3)</f>
        <v>0</v>
      </c>
      <c r="ET16" s="56">
        <f>SUMIFS(tblActuals354[Team 2 GD],tblActuals354[Team 2],$CU16,tblActuals354[Team 1],ET$3)+SUMIFS(tblActuals354[Team 1 GD],tblActuals354[Team 1],$CU16,tblActuals354[Team 2],ET$3)</f>
        <v>0</v>
      </c>
      <c r="EU16" s="56">
        <f>SUMIFS(tblActuals354[Team 2 GD],tblActuals354[Team 2],$CU16,tblActuals354[Team 1],EU$3)+SUMIFS(tblActuals354[Team 1 GD],tblActuals354[Team 1],$CU16,tblActuals354[Team 2],EU$3)</f>
        <v>0</v>
      </c>
      <c r="EV16" s="56">
        <f>SUMIFS(tblActuals354[Team 2 GD],tblActuals354[Team 2],$CU16,tblActuals354[Team 1],EV$3)+SUMIFS(tblActuals354[Team 1 GD],tblActuals354[Team 1],$CU16,tblActuals354[Team 2],EV$3)</f>
        <v>0</v>
      </c>
      <c r="EW16" s="56">
        <f>SUMIFS(tblActuals354[Team 2 GD],tblActuals354[Team 2],$CU16,tblActuals354[Team 1],EW$3)+SUMIFS(tblActuals354[Team 1 GD],tblActuals354[Team 1],$CU16,tblActuals354[Team 2],EW$3)</f>
        <v>0</v>
      </c>
      <c r="EX16" s="56">
        <f>SUMIFS(tblActuals354[Team 2 GD],tblActuals354[Team 2],$CU16,tblActuals354[Team 1],EX$3)+SUMIFS(tblActuals354[Team 1 GD],tblActuals354[Team 1],$CU16,tblActuals354[Team 2],EX$3)</f>
        <v>0</v>
      </c>
      <c r="EY16" s="56">
        <f>SUMIFS(tblActuals354[Team 2 GD],tblActuals354[Team 2],$CU16,tblActuals354[Team 1],EY$3)+SUMIFS(tblActuals354[Team 1 GD],tblActuals354[Team 1],$CU16,tblActuals354[Team 2],EY$3)</f>
        <v>0</v>
      </c>
      <c r="EZ16" s="56">
        <f>SUMIFS(tblActuals354[Team 2 GD],tblActuals354[Team 2],$CU16,tblActuals354[Team 1],EZ$3)+SUMIFS(tblActuals354[Team 1 GD],tblActuals354[Team 1],$CU16,tblActuals354[Team 2],EZ$3)</f>
        <v>0</v>
      </c>
      <c r="FA16" s="56">
        <f>SUMIFS(tblActuals354[Team 2 GD],tblActuals354[Team 2],$CU16,tblActuals354[Team 1],FA$3)+SUMIFS(tblActuals354[Team 1 GD],tblActuals354[Team 1],$CU16,tblActuals354[Team 2],FA$3)</f>
        <v>0</v>
      </c>
      <c r="FB16" s="57"/>
      <c r="FC16" s="57"/>
      <c r="FD16" s="57"/>
      <c r="FE16" s="57"/>
      <c r="FF16" s="57"/>
      <c r="FG16" s="57"/>
      <c r="FH16" s="57"/>
      <c r="FI16" s="57"/>
      <c r="FJ16" s="4"/>
      <c r="FK16" s="4" t="s">
        <v>32</v>
      </c>
      <c r="FL16" s="56">
        <f>SUMIFS(tblActuals354[Team 2 Goals],tblActuals354[Team 2],$CU16,tblActuals354[Team 1],FL$3)+SUMIFS(tblActuals354[Team 1 Goals],tblActuals354[Team 1],$CU16,tblActuals354[Team 2],FL$3)</f>
        <v>0</v>
      </c>
      <c r="FM16" s="56">
        <f>SUMIFS(tblActuals354[Team 2 Goals],tblActuals354[Team 2],$CU16,tblActuals354[Team 1],FM$3)+SUMIFS(tblActuals354[Team 1 Goals],tblActuals354[Team 1],$CU16,tblActuals354[Team 2],FM$3)</f>
        <v>0</v>
      </c>
      <c r="FN16" s="56">
        <f>SUMIFS(tblActuals354[Team 2 Goals],tblActuals354[Team 2],$CU16,tblActuals354[Team 1],FN$3)+SUMIFS(tblActuals354[Team 1 Goals],tblActuals354[Team 1],$CU16,tblActuals354[Team 2],FN$3)</f>
        <v>0</v>
      </c>
      <c r="FO16" s="56">
        <f>SUMIFS(tblActuals354[Team 2 Goals],tblActuals354[Team 2],$CU16,tblActuals354[Team 1],FO$3)+SUMIFS(tblActuals354[Team 1 Goals],tblActuals354[Team 1],$CU16,tblActuals354[Team 2],FO$3)</f>
        <v>0</v>
      </c>
      <c r="FP16" s="56">
        <f>SUMIFS(tblActuals354[Team 2 Goals],tblActuals354[Team 2],$CU16,tblActuals354[Team 1],FP$3)+SUMIFS(tblActuals354[Team 1 Goals],tblActuals354[Team 1],$CU16,tblActuals354[Team 2],FP$3)</f>
        <v>0</v>
      </c>
      <c r="FQ16" s="56">
        <f>SUMIFS(tblActuals354[Team 2 Goals],tblActuals354[Team 2],$CU16,tblActuals354[Team 1],FQ$3)+SUMIFS(tblActuals354[Team 1 Goals],tblActuals354[Team 1],$CU16,tblActuals354[Team 2],FQ$3)</f>
        <v>0</v>
      </c>
      <c r="FR16" s="56">
        <f>SUMIFS(tblActuals354[Team 2 Goals],tblActuals354[Team 2],$CU16,tblActuals354[Team 1],FR$3)+SUMIFS(tblActuals354[Team 1 Goals],tblActuals354[Team 1],$CU16,tblActuals354[Team 2],FR$3)</f>
        <v>0</v>
      </c>
      <c r="FS16" s="56">
        <f>SUMIFS(tblActuals354[Team 2 Goals],tblActuals354[Team 2],$CU16,tblActuals354[Team 1],FS$3)+SUMIFS(tblActuals354[Team 1 Goals],tblActuals354[Team 1],$CU16,tblActuals354[Team 2],FS$3)</f>
        <v>0</v>
      </c>
      <c r="FT16" s="56">
        <f>SUMIFS(tblActuals354[Team 2 Goals],tblActuals354[Team 2],$CU16,tblActuals354[Team 1],FT$3)+SUMIFS(tblActuals354[Team 1 Goals],tblActuals354[Team 1],$CU16,tblActuals354[Team 2],FT$3)</f>
        <v>0</v>
      </c>
      <c r="FU16" s="56">
        <f>SUMIFS(tblActuals354[Team 2 Goals],tblActuals354[Team 2],$CU16,tblActuals354[Team 1],FU$3)+SUMIFS(tblActuals354[Team 1 Goals],tblActuals354[Team 1],$CU16,tblActuals354[Team 2],FU$3)</f>
        <v>0</v>
      </c>
      <c r="FV16" s="56">
        <f>SUMIFS(tblActuals354[Team 2 Goals],tblActuals354[Team 2],$CU16,tblActuals354[Team 1],FV$3)+SUMIFS(tblActuals354[Team 1 Goals],tblActuals354[Team 1],$CU16,tblActuals354[Team 2],FV$3)</f>
        <v>0</v>
      </c>
      <c r="FW16" s="56">
        <f>SUMIFS(tblActuals354[Team 2 Goals],tblActuals354[Team 2],$CU16,tblActuals354[Team 1],FW$3)+SUMIFS(tblActuals354[Team 1 Goals],tblActuals354[Team 1],$CU16,tblActuals354[Team 2],FW$3)</f>
        <v>0</v>
      </c>
      <c r="FX16" s="56">
        <f>SUMIFS(tblActuals354[Team 2 Goals],tblActuals354[Team 2],$CU16,tblActuals354[Team 1],FX$3)+SUMIFS(tblActuals354[Team 1 Goals],tblActuals354[Team 1],$CU16,tblActuals354[Team 2],FX$3)</f>
        <v>0</v>
      </c>
      <c r="FY16" s="56">
        <f>SUMIFS(tblActuals354[Team 2 Goals],tblActuals354[Team 2],$CU16,tblActuals354[Team 1],FY$3)+SUMIFS(tblActuals354[Team 1 Goals],tblActuals354[Team 1],$CU16,tblActuals354[Team 2],FY$3)</f>
        <v>0</v>
      </c>
      <c r="FZ16" s="56">
        <f>SUMIFS(tblActuals354[Team 2 Goals],tblActuals354[Team 2],$CU16,tblActuals354[Team 1],FZ$3)+SUMIFS(tblActuals354[Team 1 Goals],tblActuals354[Team 1],$CU16,tblActuals354[Team 2],FZ$3)</f>
        <v>0</v>
      </c>
      <c r="GA16" s="56">
        <f>SUMIFS(tblActuals354[Team 2 Goals],tblActuals354[Team 2],$CU16,tblActuals354[Team 1],GA$3)+SUMIFS(tblActuals354[Team 1 Goals],tblActuals354[Team 1],$CU16,tblActuals354[Team 2],GA$3)</f>
        <v>0</v>
      </c>
      <c r="GB16" s="56">
        <f>SUMIFS(tblActuals354[Team 2 Goals],tblActuals354[Team 2],$CU16,tblActuals354[Team 1],GB$3)+SUMIFS(tblActuals354[Team 1 Goals],tblActuals354[Team 1],$CU16,tblActuals354[Team 2],GB$3)</f>
        <v>0</v>
      </c>
      <c r="GC16" s="56">
        <f>SUMIFS(tblActuals354[Team 2 Goals],tblActuals354[Team 2],$CU16,tblActuals354[Team 1],GC$3)+SUMIFS(tblActuals354[Team 1 Goals],tblActuals354[Team 1],$CU16,tblActuals354[Team 2],GC$3)</f>
        <v>0</v>
      </c>
      <c r="GD16" s="56">
        <f>SUMIFS(tblActuals354[Team 2 Goals],tblActuals354[Team 2],$CU16,tblActuals354[Team 1],GD$3)+SUMIFS(tblActuals354[Team 1 Goals],tblActuals354[Team 1],$CU16,tblActuals354[Team 2],GD$3)</f>
        <v>0</v>
      </c>
      <c r="GE16" s="56">
        <f>SUMIFS(tblActuals354[Team 2 Goals],tblActuals354[Team 2],$CU16,tblActuals354[Team 1],GE$3)+SUMIFS(tblActuals354[Team 1 Goals],tblActuals354[Team 1],$CU16,tblActuals354[Team 2],GE$3)</f>
        <v>0</v>
      </c>
      <c r="GF16" s="56">
        <f>SUMIFS(tblActuals354[Team 2 Goals],tblActuals354[Team 2],$CU16,tblActuals354[Team 1],GF$3)+SUMIFS(tblActuals354[Team 1 Goals],tblActuals354[Team 1],$CU16,tblActuals354[Team 2],GF$3)</f>
        <v>0</v>
      </c>
      <c r="GG16" s="56">
        <f>SUMIFS(tblActuals354[Team 2 Goals],tblActuals354[Team 2],$CU16,tblActuals354[Team 1],GG$3)+SUMIFS(tblActuals354[Team 1 Goals],tblActuals354[Team 1],$CU16,tblActuals354[Team 2],GG$3)</f>
        <v>0</v>
      </c>
      <c r="GH16" s="56">
        <f>SUMIFS(tblActuals354[Team 2 Goals],tblActuals354[Team 2],$CU16,tblActuals354[Team 1],GH$3)+SUMIFS(tblActuals354[Team 1 Goals],tblActuals354[Team 1],$CU16,tblActuals354[Team 2],GH$3)</f>
        <v>0</v>
      </c>
      <c r="GI16" s="56">
        <f>SUMIFS(tblActuals354[Team 2 Goals],tblActuals354[Team 2],$CU16,tblActuals354[Team 1],GI$3)+SUMIFS(tblActuals354[Team 1 Goals],tblActuals354[Team 1],$CU16,tblActuals354[Team 2],GI$3)</f>
        <v>0</v>
      </c>
      <c r="GJ16" s="57"/>
      <c r="GK16" s="57"/>
      <c r="GL16" s="37"/>
      <c r="GM16" s="37"/>
      <c r="GN16" s="37"/>
      <c r="GO16" s="37"/>
      <c r="GP16" s="37"/>
      <c r="GQ16" s="37"/>
      <c r="GR16" s="75"/>
      <c r="GS16" s="156"/>
      <c r="GT16" s="156"/>
      <c r="GU16" s="75"/>
      <c r="GV16" s="75"/>
      <c r="GW16" s="75"/>
      <c r="GX16" s="75"/>
      <c r="GY16" s="75"/>
      <c r="GZ16" s="75"/>
      <c r="HB16" s="4" t="str">
        <f t="shared" si="12"/>
        <v>BCDF</v>
      </c>
      <c r="HC16" s="45"/>
      <c r="HD16" s="44" t="s">
        <v>5</v>
      </c>
      <c r="HE16" s="44" t="s">
        <v>6</v>
      </c>
      <c r="HF16" s="44" t="s">
        <v>7</v>
      </c>
      <c r="HG16" s="45"/>
      <c r="HH16" s="44" t="s">
        <v>45</v>
      </c>
      <c r="HI16" s="178"/>
      <c r="HJ16" s="45" t="s">
        <v>154</v>
      </c>
      <c r="HK16" s="45" t="s">
        <v>150</v>
      </c>
      <c r="HL16" s="45" t="s">
        <v>152</v>
      </c>
      <c r="HM16" s="45" t="s">
        <v>151</v>
      </c>
    </row>
    <row r="17" spans="1:221" s="11" customFormat="1" ht="30" customHeight="1" thickBot="1" x14ac:dyDescent="0.3">
      <c r="A17" s="20"/>
      <c r="B17" s="122">
        <v>14</v>
      </c>
      <c r="C17" s="122" t="s">
        <v>1</v>
      </c>
      <c r="D17" s="123">
        <v>45462</v>
      </c>
      <c r="E17" s="122" t="s">
        <v>83</v>
      </c>
      <c r="F17" s="124">
        <v>0.75</v>
      </c>
      <c r="G17" s="125">
        <f t="shared" si="11"/>
        <v>45462.5</v>
      </c>
      <c r="H17" s="122" t="s">
        <v>102</v>
      </c>
      <c r="I17" s="126"/>
      <c r="J17" s="118"/>
      <c r="K17" s="118"/>
      <c r="L17" s="174">
        <f>IF(I17="",0,IFERROR(IF(SCORING.RULES!$C$8="No",1,((VLOOKUP($B17,ACTUALS!$B$4:$L$100,7,FALSE)=$H17)+(VLOOKUP($B17,ACTUALS!$B$4:$L$100,7,FALSE)=S17)))*(M17+N17+O17+P17+Q17),0))+$R17</f>
        <v>0</v>
      </c>
      <c r="M17" s="168">
        <f>IFERROR(IF($B17="","",IF(U17=INDEX(ACTUALS!$AA$4:$AA$100,MATCH($B17,ACTUALS!$B$4:$B$100,0),1),CorrectScore,0)),0)</f>
        <v>0</v>
      </c>
      <c r="N17" s="157" t="str">
        <f>IFERROR(IF(I17="","",IF(INDEX(ACTUALS!$AB$4:$AB$100,MATCH($B17,ACTUALS!$B$4:$B$100,0),1)=(AB17+AC17+AH17+AI17),CorrectNumberofGoals,0)),0)</f>
        <v/>
      </c>
      <c r="O17" s="157"/>
      <c r="P17" s="157">
        <f>IFERROR(IF(B17="","",IF(INDEX(ACTUALS!$L$4:$L$100,MATCH($B17,ACTUALS!$B$4:$B$100,0),1)=W17,CorrectResult,0)),0)</f>
        <v>3</v>
      </c>
      <c r="Q17" s="157"/>
      <c r="R17" s="157"/>
      <c r="S17" s="157" t="str">
        <f t="shared" si="0"/>
        <v/>
      </c>
      <c r="T17" s="157"/>
      <c r="U17" s="157" t="str">
        <f t="shared" si="1"/>
        <v/>
      </c>
      <c r="V17" s="157" t="str">
        <f t="shared" si="2"/>
        <v/>
      </c>
      <c r="W17" s="119" t="str">
        <f>IF(tblActuals354[[#This Row],[SCORE]]="","",IF(AB17=AC17,"Draw",IF(AB17&gt;AC17,X17,Y17)))</f>
        <v/>
      </c>
      <c r="X17" s="120" t="str">
        <f>IF(tblActuals354[[#This Row],[TEAMS]]="","",LEFT(H17,FIND(" -",H17,1)-1))</f>
        <v>Germany</v>
      </c>
      <c r="Y17" s="120" t="str">
        <f>IF(tblActuals354[[#This Row],[TEAMS]]="","",MID(H17,FIND("-",H17,1)+2,LEN(H17)-FIND("-",H17,1)+2))</f>
        <v>Hungary</v>
      </c>
      <c r="Z17" s="120" t="str">
        <f>IF(tblActuals354[[#This Row],[Team 1 Goals]]&gt;tblActuals354[[#This Row],[Team 2 Goals]],tblActuals354[[#This Row],[Team 1]],IF(tblActuals354[[#This Row],[Team 2 Goals]]&gt;tblActuals354[[#This Row],[Team 1 Goals]],tblActuals354[[#This Row],[Team 2]],""))</f>
        <v/>
      </c>
      <c r="AA17" s="120" t="str">
        <f>IF(tblActuals354[[#This Row],[Winner]]=tblActuals354[[#This Row],[Team 1]],tblActuals354[[#This Row],[Team 2]],IF(tblActuals354[[#This Row],[Winner]]=tblActuals354[[#This Row],[Team 2]],tblActuals354[[#This Row],[Team 1]],""))</f>
        <v/>
      </c>
      <c r="AB17" s="120" t="str">
        <f>IF(tblActuals354[[#This Row],[SCORE]]="","",LEFT(I17,FIND(":",I17,1)-1)*1)</f>
        <v/>
      </c>
      <c r="AC17" s="120" t="str">
        <f>IF(tblActuals354[[#This Row],[SCORE]]="","",MID(I17,FIND(":",I17,1)+1,LEN(I17)-FIND(":",I17,1)+1)*1)</f>
        <v/>
      </c>
      <c r="AD17" s="120" t="str">
        <f>IF(OR(tblActuals354[[#This Row],[Team 1 Goals]]="",tblActuals354[[#This Row],[Team 2 Goals]]=""),"",tblActuals354[[#This Row],[Team 1 Goals]]-tblActuals354[[#This Row],[Team 2 Goals]])</f>
        <v/>
      </c>
      <c r="AE17" s="120" t="str">
        <f>IF(OR(tblActuals354[[#This Row],[Team 1 Goals]]="",tblActuals354[[#This Row],[Team 2 Goals]]=""),"",tblActuals354[[#This Row],[Team 2 Goals]]-tblActuals354[[#This Row],[Team 1 Goals]])</f>
        <v/>
      </c>
      <c r="AF17" s="120" t="str">
        <f>IF(tblActuals354[[#This Row],[SCORE]]="","",IF(tblActuals354[[#This Row],[WINNER / RESULT]]="Draw",1,IF(tblActuals354[[#This Row],[WINNER / RESULT]]=tblActuals354[[#This Row],[Team 1]],3,0)))</f>
        <v/>
      </c>
      <c r="AG17" s="120" t="str">
        <f>IF(tblActuals354[[#This Row],[SCORE]]="","",IF(tblActuals354[[#This Row],[WINNER / RESULT]]="Draw",1,IF(tblActuals354[[#This Row],[WINNER / RESULT]]=tblActuals354[[#This Row],[Team 2]],3,0)))</f>
        <v/>
      </c>
      <c r="AH17" s="121"/>
      <c r="AI17" s="121"/>
      <c r="AJ17" s="121"/>
      <c r="AK17" s="121"/>
      <c r="AL17" s="120" t="e">
        <f>tblActuals354[[#This Row],[Team 1 Goals]]+tblActuals354[[#This Row],[Team 1 ET Goals]]&amp;":"&amp;tblActuals354[[#This Row],[Team 2 Goals]]+tblActuals354[[#This Row],[Team 2 ET Goals]]</f>
        <v>#VALUE!</v>
      </c>
      <c r="AM17" s="120" t="e">
        <f>+tblActuals354[[#This Row],[Team 1 Goals]]+tblActuals354[[#This Row],[Team 2 Goals]]</f>
        <v>#VALUE!</v>
      </c>
      <c r="AN17" s="161">
        <f t="shared" si="3"/>
        <v>45462</v>
      </c>
      <c r="AT17" s="78"/>
      <c r="AU17" s="179" t="s">
        <v>53</v>
      </c>
      <c r="AV17" s="180"/>
      <c r="AW17" s="133" t="s">
        <v>46</v>
      </c>
      <c r="AX17" s="134" t="s">
        <v>57</v>
      </c>
      <c r="AY17" s="135" t="s">
        <v>11</v>
      </c>
      <c r="AZ17" s="75"/>
      <c r="BA17" s="4"/>
      <c r="BB17" s="4"/>
      <c r="BC17" s="4" t="s">
        <v>6</v>
      </c>
      <c r="BD17" s="4" t="s">
        <v>128</v>
      </c>
      <c r="BE17" s="4">
        <f>COUNTIF(tblActuals354[Winner],BD17)</f>
        <v>0</v>
      </c>
      <c r="BF17" s="4">
        <f>COUNTIFS(tblActuals354[Team 2],BD17,tblActuals354[WINNER / RESULT],"Draw")+COUNTIFS(tblActuals354[Team 1],BD17,tblActuals354[WINNER / RESULT],"Draw")</f>
        <v>0</v>
      </c>
      <c r="BG17" s="4">
        <f>COUNTIF(tblActuals354[Loser],BD17)</f>
        <v>0</v>
      </c>
      <c r="BH17" s="4">
        <f>BF17+(3*BE17)</f>
        <v>0</v>
      </c>
      <c r="BI17" s="4">
        <f>SUMIFS(tblActuals354[Team 1 Goals],tblActuals354[Team 1],BD17)+SUMIFS(tblActuals354[Team 2 Goals],tblActuals354[Team 2],BD17)</f>
        <v>0</v>
      </c>
      <c r="BJ17" s="4">
        <f>SUMIFS(tblActuals354[Team 2 Goals],tblActuals354[Team 1],BD17)+SUMIFS(tblActuals354[Team 1 Goals],tblActuals354[Team 2],BD17)</f>
        <v>0</v>
      </c>
      <c r="BK17" s="4">
        <f>BI17-BJ17</f>
        <v>0</v>
      </c>
      <c r="BL17" s="4">
        <f ca="1">RANK(BY17,$BY$14:$BY$17,1)</f>
        <v>4</v>
      </c>
      <c r="BM17" s="4" t="str">
        <f t="shared" si="4"/>
        <v/>
      </c>
      <c r="BN17" s="4" t="str">
        <f ca="1">IF(BM17="",BL17&amp;BC17,BM17&amp;BC17)</f>
        <v>4C</v>
      </c>
      <c r="BO17" s="4">
        <f>RANK(BH17,$BH$14:$BH$17,0)</f>
        <v>1</v>
      </c>
      <c r="BP17" s="4" cm="1">
        <f t="array" aca="1" ref="BP17" ca="1">SUMPRODUCT((OFFSET($CV$3:$EA$3,MATCH($BD17,$CU$4:$CU$35,0),0))*((IF($BO15=$BO17,$CV$3:$EA$3=$BD15,0))+(IF($BO14=$BO17,$CV$3:$EA$3=$BD14,0))+(IF($BO16=$BO17,$CV$3:$EA$3=$BD16,0))))</f>
        <v>0</v>
      </c>
      <c r="BQ17" s="4" cm="1">
        <f t="array" aca="1" ref="BQ17" ca="1">SUMPRODUCT((OFFSET($ED$3:$FI$3,MATCH($BD17,$EC$4:$EC$35,0),0))*((IF($BO15=$BO17,$ED$3:$FI$3=$BD15,0))+(IF($BO14=$BO17,$ED$3:$FI$3=$BD14,0))+(IF($BO16=$BO17,$ED$3:$FI$3=$BD16,0))))</f>
        <v>0</v>
      </c>
      <c r="BR17" s="4" cm="1">
        <f t="array" aca="1" ref="BR17" ca="1">SUMPRODUCT((OFFSET($FL$3:$GQ$3,MATCH($BD17,$FK$4:$FK$35,0),0))*((IF($BO15=$BO17,$FL$3:$GQ$3=$BD15,0))+(IF($BO14=$BO17,$FL$3:$GQ$3=$BD14,0))+(IF($BO16=$BO17,$FL$3:$GQ$3=$BD16,0))))</f>
        <v>0</v>
      </c>
      <c r="BS17" s="4" cm="1">
        <f t="array" aca="1" ref="BS17" ca="1">SUMPRODUCT((OFFSET($CV$3:$EA$3,MATCH($BD17,$CU$4:$CU$35,0),0))*((IF($BO15&lt;&gt;$BO17,$CV$3:$EA$3=$BD15,0))+(IF($BO14&lt;&gt;$BO17,$CV$3:$EA$3=$BD14,0))+(IF($BO16&lt;&gt;$BO17,$CV$3:$EA$3=$BD16,0))))</f>
        <v>0</v>
      </c>
      <c r="BT17" s="4" cm="1">
        <f t="array" aca="1" ref="BT17" ca="1">SUMPRODUCT((OFFSET($ED$3:$FI$3,MATCH($BD17,$EC$4:$EC$35,0),0))*((IF($BO15&lt;&gt;$BO17,$ED$3:$FI$3=$BD15,0))+(IF($BO14&lt;&gt;$BO17,$ED$3:$FI$3=$BD14,0))+(IF($BO16&lt;&gt;$BO17,$ED$3:$FI$3=$BD16,0))))</f>
        <v>0</v>
      </c>
      <c r="BU17" s="4" cm="1">
        <f t="array" aca="1" ref="BU17" ca="1">SUMPRODUCT((OFFSET($FL$3:$GQ$3,MATCH($BD17,$FK$4:$FK$35,0),0))*((IF($BO15&lt;&gt;$BO17,$FL$3:$GQ$3=$BD15,0))+(IF($BO14&lt;&gt;$BO17,$FL$3:$GQ$3=$BD14,0))+(IF($BO16&lt;&gt;$BO17,$FL$3:$GQ$3=$BD16,0))))</f>
        <v>0</v>
      </c>
      <c r="BV17" s="4">
        <f>BK17</f>
        <v>0</v>
      </c>
      <c r="BW17" s="4">
        <f>BI17</f>
        <v>0</v>
      </c>
      <c r="BX17" s="4">
        <f ca="1">(BP17/10)+(BQ17/100)+(BR17/1000)+(BT17/10000)+(BU17/100000)+(BV17/1000000)+(BW17/10000000)+(ROW(BS14)/100000000)</f>
        <v>1.4000000000000001E-7</v>
      </c>
      <c r="BY17" s="4">
        <f ca="1">+BO17-BX17</f>
        <v>0.99999985999999996</v>
      </c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U17" s="4" t="s">
        <v>8</v>
      </c>
      <c r="CV17" s="56">
        <f>SUMIFS(tblActuals354[Team 2 Points],tblActuals354[Team 2],$CU17,tblActuals354[Team 1],CV$3)+SUMIFS(tblActuals354[Team 1 Points],tblActuals354[Team 1],$CU17,tblActuals354[Team 2],CV$3)</f>
        <v>0</v>
      </c>
      <c r="CW17" s="56">
        <f>SUMIFS(tblActuals354[Team 2 Points],tblActuals354[Team 2],$CU17,tblActuals354[Team 1],CW$3)+SUMIFS(tblActuals354[Team 1 Points],tblActuals354[Team 1],$CU17,tblActuals354[Team 2],CW$3)</f>
        <v>0</v>
      </c>
      <c r="CX17" s="56">
        <f>SUMIFS(tblActuals354[Team 2 Points],tblActuals354[Team 2],$CU17,tblActuals354[Team 1],CX$3)+SUMIFS(tblActuals354[Team 1 Points],tblActuals354[Team 1],$CU17,tblActuals354[Team 2],CX$3)</f>
        <v>0</v>
      </c>
      <c r="CY17" s="56">
        <f>SUMIFS(tblActuals354[Team 2 Points],tblActuals354[Team 2],$CU17,tblActuals354[Team 1],CY$3)+SUMIFS(tblActuals354[Team 1 Points],tblActuals354[Team 1],$CU17,tblActuals354[Team 2],CY$3)</f>
        <v>0</v>
      </c>
      <c r="CZ17" s="56">
        <f>SUMIFS(tblActuals354[Team 2 Points],tblActuals354[Team 2],$CU17,tblActuals354[Team 1],CZ$3)+SUMIFS(tblActuals354[Team 1 Points],tblActuals354[Team 1],$CU17,tblActuals354[Team 2],CZ$3)</f>
        <v>0</v>
      </c>
      <c r="DA17" s="56">
        <f>SUMIFS(tblActuals354[Team 2 Points],tblActuals354[Team 2],$CU17,tblActuals354[Team 1],DA$3)+SUMIFS(tblActuals354[Team 1 Points],tblActuals354[Team 1],$CU17,tblActuals354[Team 2],DA$3)</f>
        <v>0</v>
      </c>
      <c r="DB17" s="56">
        <f>SUMIFS(tblActuals354[Team 2 Points],tblActuals354[Team 2],$CU17,tblActuals354[Team 1],DB$3)+SUMIFS(tblActuals354[Team 1 Points],tblActuals354[Team 1],$CU17,tblActuals354[Team 2],DB$3)</f>
        <v>0</v>
      </c>
      <c r="DC17" s="56">
        <f>SUMIFS(tblActuals354[Team 2 Points],tblActuals354[Team 2],$CU17,tblActuals354[Team 1],DC$3)+SUMIFS(tblActuals354[Team 1 Points],tblActuals354[Team 1],$CU17,tblActuals354[Team 2],DC$3)</f>
        <v>0</v>
      </c>
      <c r="DD17" s="56">
        <f>SUMIFS(tblActuals354[Team 2 Points],tblActuals354[Team 2],$CU17,tblActuals354[Team 1],DD$3)+SUMIFS(tblActuals354[Team 1 Points],tblActuals354[Team 1],$CU17,tblActuals354[Team 2],DD$3)</f>
        <v>0</v>
      </c>
      <c r="DE17" s="56">
        <f>SUMIFS(tblActuals354[Team 2 Points],tblActuals354[Team 2],$CU17,tblActuals354[Team 1],DE$3)+SUMIFS(tblActuals354[Team 1 Points],tblActuals354[Team 1],$CU17,tblActuals354[Team 2],DE$3)</f>
        <v>0</v>
      </c>
      <c r="DF17" s="56">
        <f>SUMIFS(tblActuals354[Team 2 Points],tblActuals354[Team 2],$CU17,tblActuals354[Team 1],DF$3)+SUMIFS(tblActuals354[Team 1 Points],tblActuals354[Team 1],$CU17,tblActuals354[Team 2],DF$3)</f>
        <v>0</v>
      </c>
      <c r="DG17" s="56">
        <f>SUMIFS(tblActuals354[Team 2 Points],tblActuals354[Team 2],$CU17,tblActuals354[Team 1],DG$3)+SUMIFS(tblActuals354[Team 1 Points],tblActuals354[Team 1],$CU17,tblActuals354[Team 2],DG$3)</f>
        <v>0</v>
      </c>
      <c r="DH17" s="56">
        <f>SUMIFS(tblActuals354[Team 2 Points],tblActuals354[Team 2],$CU17,tblActuals354[Team 1],DH$3)+SUMIFS(tblActuals354[Team 1 Points],tblActuals354[Team 1],$CU17,tblActuals354[Team 2],DH$3)</f>
        <v>0</v>
      </c>
      <c r="DI17" s="56">
        <f>SUMIFS(tblActuals354[Team 2 Points],tblActuals354[Team 2],$CU17,tblActuals354[Team 1],DI$3)+SUMIFS(tblActuals354[Team 1 Points],tblActuals354[Team 1],$CU17,tblActuals354[Team 2],DI$3)</f>
        <v>0</v>
      </c>
      <c r="DJ17" s="56">
        <f>SUMIFS(tblActuals354[Team 2 Points],tblActuals354[Team 2],$CU17,tblActuals354[Team 1],DJ$3)+SUMIFS(tblActuals354[Team 1 Points],tblActuals354[Team 1],$CU17,tblActuals354[Team 2],DJ$3)</f>
        <v>0</v>
      </c>
      <c r="DK17" s="56">
        <f>SUMIFS(tblActuals354[Team 2 Points],tblActuals354[Team 2],$CU17,tblActuals354[Team 1],DK$3)+SUMIFS(tblActuals354[Team 1 Points],tblActuals354[Team 1],$CU17,tblActuals354[Team 2],DK$3)</f>
        <v>0</v>
      </c>
      <c r="DL17" s="56">
        <f>SUMIFS(tblActuals354[Team 2 Points],tblActuals354[Team 2],$CU17,tblActuals354[Team 1],DL$3)+SUMIFS(tblActuals354[Team 1 Points],tblActuals354[Team 1],$CU17,tblActuals354[Team 2],DL$3)</f>
        <v>0</v>
      </c>
      <c r="DM17" s="56">
        <f>SUMIFS(tblActuals354[Team 2 Points],tblActuals354[Team 2],$CU17,tblActuals354[Team 1],DM$3)+SUMIFS(tblActuals354[Team 1 Points],tblActuals354[Team 1],$CU17,tblActuals354[Team 2],DM$3)</f>
        <v>0</v>
      </c>
      <c r="DN17" s="56">
        <f>SUMIFS(tblActuals354[Team 2 Points],tblActuals354[Team 2],$CU17,tblActuals354[Team 1],DN$3)+SUMIFS(tblActuals354[Team 1 Points],tblActuals354[Team 1],$CU17,tblActuals354[Team 2],DN$3)</f>
        <v>0</v>
      </c>
      <c r="DO17" s="56">
        <f>SUMIFS(tblActuals354[Team 2 Points],tblActuals354[Team 2],$CU17,tblActuals354[Team 1],DO$3)+SUMIFS(tblActuals354[Team 1 Points],tblActuals354[Team 1],$CU17,tblActuals354[Team 2],DO$3)</f>
        <v>0</v>
      </c>
      <c r="DP17" s="56">
        <f>SUMIFS(tblActuals354[Team 2 Points],tblActuals354[Team 2],$CU17,tblActuals354[Team 1],DP$3)+SUMIFS(tblActuals354[Team 1 Points],tblActuals354[Team 1],$CU17,tblActuals354[Team 2],DP$3)</f>
        <v>0</v>
      </c>
      <c r="DQ17" s="56">
        <f>SUMIFS(tblActuals354[Team 2 Points],tblActuals354[Team 2],$CU17,tblActuals354[Team 1],DQ$3)+SUMIFS(tblActuals354[Team 1 Points],tblActuals354[Team 1],$CU17,tblActuals354[Team 2],DQ$3)</f>
        <v>0</v>
      </c>
      <c r="DR17" s="56">
        <f>SUMIFS(tblActuals354[Team 2 Points],tblActuals354[Team 2],$CU17,tblActuals354[Team 1],DR$3)+SUMIFS(tblActuals354[Team 1 Points],tblActuals354[Team 1],$CU17,tblActuals354[Team 2],DR$3)</f>
        <v>0</v>
      </c>
      <c r="DS17" s="56">
        <f>SUMIFS(tblActuals354[Team 2 Points],tblActuals354[Team 2],$CU17,tblActuals354[Team 1],DS$3)+SUMIFS(tblActuals354[Team 1 Points],tblActuals354[Team 1],$CU17,tblActuals354[Team 2],DS$3)</f>
        <v>0</v>
      </c>
      <c r="DT17" s="57"/>
      <c r="DU17" s="57"/>
      <c r="DV17" s="57"/>
      <c r="DW17" s="57"/>
      <c r="DX17" s="57"/>
      <c r="DY17" s="57"/>
      <c r="DZ17" s="57"/>
      <c r="EA17" s="57"/>
      <c r="EB17" s="4"/>
      <c r="EC17" s="4" t="s">
        <v>8</v>
      </c>
      <c r="ED17" s="56">
        <f>SUMIFS(tblActuals354[Team 2 GD],tblActuals354[Team 2],$CU17,tblActuals354[Team 1],ED$3)+SUMIFS(tblActuals354[Team 1 GD],tblActuals354[Team 1],$CU17,tblActuals354[Team 2],ED$3)</f>
        <v>0</v>
      </c>
      <c r="EE17" s="56">
        <f>SUMIFS(tblActuals354[Team 2 GD],tblActuals354[Team 2],$CU17,tblActuals354[Team 1],EE$3)+SUMIFS(tblActuals354[Team 1 GD],tblActuals354[Team 1],$CU17,tblActuals354[Team 2],EE$3)</f>
        <v>0</v>
      </c>
      <c r="EF17" s="56">
        <f>SUMIFS(tblActuals354[Team 2 GD],tblActuals354[Team 2],$CU17,tblActuals354[Team 1],EF$3)+SUMIFS(tblActuals354[Team 1 GD],tblActuals354[Team 1],$CU17,tblActuals354[Team 2],EF$3)</f>
        <v>0</v>
      </c>
      <c r="EG17" s="56">
        <f>SUMIFS(tblActuals354[Team 2 GD],tblActuals354[Team 2],$CU17,tblActuals354[Team 1],EG$3)+SUMIFS(tblActuals354[Team 1 GD],tblActuals354[Team 1],$CU17,tblActuals354[Team 2],EG$3)</f>
        <v>0</v>
      </c>
      <c r="EH17" s="56">
        <f>SUMIFS(tblActuals354[Team 2 GD],tblActuals354[Team 2],$CU17,tblActuals354[Team 1],EH$3)+SUMIFS(tblActuals354[Team 1 GD],tblActuals354[Team 1],$CU17,tblActuals354[Team 2],EH$3)</f>
        <v>0</v>
      </c>
      <c r="EI17" s="56">
        <f>SUMIFS(tblActuals354[Team 2 GD],tblActuals354[Team 2],$CU17,tblActuals354[Team 1],EI$3)+SUMIFS(tblActuals354[Team 1 GD],tblActuals354[Team 1],$CU17,tblActuals354[Team 2],EI$3)</f>
        <v>0</v>
      </c>
      <c r="EJ17" s="56">
        <f>SUMIFS(tblActuals354[Team 2 GD],tblActuals354[Team 2],$CU17,tblActuals354[Team 1],EJ$3)+SUMIFS(tblActuals354[Team 1 GD],tblActuals354[Team 1],$CU17,tblActuals354[Team 2],EJ$3)</f>
        <v>0</v>
      </c>
      <c r="EK17" s="56">
        <f>SUMIFS(tblActuals354[Team 2 GD],tblActuals354[Team 2],$CU17,tblActuals354[Team 1],EK$3)+SUMIFS(tblActuals354[Team 1 GD],tblActuals354[Team 1],$CU17,tblActuals354[Team 2],EK$3)</f>
        <v>0</v>
      </c>
      <c r="EL17" s="56">
        <f>SUMIFS(tblActuals354[Team 2 GD],tblActuals354[Team 2],$CU17,tblActuals354[Team 1],EL$3)+SUMIFS(tblActuals354[Team 1 GD],tblActuals354[Team 1],$CU17,tblActuals354[Team 2],EL$3)</f>
        <v>0</v>
      </c>
      <c r="EM17" s="56">
        <f>SUMIFS(tblActuals354[Team 2 GD],tblActuals354[Team 2],$CU17,tblActuals354[Team 1],EM$3)+SUMIFS(tblActuals354[Team 1 GD],tblActuals354[Team 1],$CU17,tblActuals354[Team 2],EM$3)</f>
        <v>0</v>
      </c>
      <c r="EN17" s="56">
        <f>SUMIFS(tblActuals354[Team 2 GD],tblActuals354[Team 2],$CU17,tblActuals354[Team 1],EN$3)+SUMIFS(tblActuals354[Team 1 GD],tblActuals354[Team 1],$CU17,tblActuals354[Team 2],EN$3)</f>
        <v>0</v>
      </c>
      <c r="EO17" s="56">
        <f>SUMIFS(tblActuals354[Team 2 GD],tblActuals354[Team 2],$CU17,tblActuals354[Team 1],EO$3)+SUMIFS(tblActuals354[Team 1 GD],tblActuals354[Team 1],$CU17,tblActuals354[Team 2],EO$3)</f>
        <v>0</v>
      </c>
      <c r="EP17" s="56">
        <f>SUMIFS(tblActuals354[Team 2 GD],tblActuals354[Team 2],$CU17,tblActuals354[Team 1],EP$3)+SUMIFS(tblActuals354[Team 1 GD],tblActuals354[Team 1],$CU17,tblActuals354[Team 2],EP$3)</f>
        <v>0</v>
      </c>
      <c r="EQ17" s="56">
        <f>SUMIFS(tblActuals354[Team 2 GD],tblActuals354[Team 2],$CU17,tblActuals354[Team 1],EQ$3)+SUMIFS(tblActuals354[Team 1 GD],tblActuals354[Team 1],$CU17,tblActuals354[Team 2],EQ$3)</f>
        <v>0</v>
      </c>
      <c r="ER17" s="56">
        <f>SUMIFS(tblActuals354[Team 2 GD],tblActuals354[Team 2],$CU17,tblActuals354[Team 1],ER$3)+SUMIFS(tblActuals354[Team 1 GD],tblActuals354[Team 1],$CU17,tblActuals354[Team 2],ER$3)</f>
        <v>0</v>
      </c>
      <c r="ES17" s="56">
        <f>SUMIFS(tblActuals354[Team 2 GD],tblActuals354[Team 2],$CU17,tblActuals354[Team 1],ES$3)+SUMIFS(tblActuals354[Team 1 GD],tblActuals354[Team 1],$CU17,tblActuals354[Team 2],ES$3)</f>
        <v>0</v>
      </c>
      <c r="ET17" s="56">
        <f>SUMIFS(tblActuals354[Team 2 GD],tblActuals354[Team 2],$CU17,tblActuals354[Team 1],ET$3)+SUMIFS(tblActuals354[Team 1 GD],tblActuals354[Team 1],$CU17,tblActuals354[Team 2],ET$3)</f>
        <v>0</v>
      </c>
      <c r="EU17" s="56">
        <f>SUMIFS(tblActuals354[Team 2 GD],tblActuals354[Team 2],$CU17,tblActuals354[Team 1],EU$3)+SUMIFS(tblActuals354[Team 1 GD],tblActuals354[Team 1],$CU17,tblActuals354[Team 2],EU$3)</f>
        <v>0</v>
      </c>
      <c r="EV17" s="56">
        <f>SUMIFS(tblActuals354[Team 2 GD],tblActuals354[Team 2],$CU17,tblActuals354[Team 1],EV$3)+SUMIFS(tblActuals354[Team 1 GD],tblActuals354[Team 1],$CU17,tblActuals354[Team 2],EV$3)</f>
        <v>0</v>
      </c>
      <c r="EW17" s="56">
        <f>SUMIFS(tblActuals354[Team 2 GD],tblActuals354[Team 2],$CU17,tblActuals354[Team 1],EW$3)+SUMIFS(tblActuals354[Team 1 GD],tblActuals354[Team 1],$CU17,tblActuals354[Team 2],EW$3)</f>
        <v>0</v>
      </c>
      <c r="EX17" s="56">
        <f>SUMIFS(tblActuals354[Team 2 GD],tblActuals354[Team 2],$CU17,tblActuals354[Team 1],EX$3)+SUMIFS(tblActuals354[Team 1 GD],tblActuals354[Team 1],$CU17,tblActuals354[Team 2],EX$3)</f>
        <v>0</v>
      </c>
      <c r="EY17" s="56">
        <f>SUMIFS(tblActuals354[Team 2 GD],tblActuals354[Team 2],$CU17,tblActuals354[Team 1],EY$3)+SUMIFS(tblActuals354[Team 1 GD],tblActuals354[Team 1],$CU17,tblActuals354[Team 2],EY$3)</f>
        <v>0</v>
      </c>
      <c r="EZ17" s="56">
        <f>SUMIFS(tblActuals354[Team 2 GD],tblActuals354[Team 2],$CU17,tblActuals354[Team 1],EZ$3)+SUMIFS(tblActuals354[Team 1 GD],tblActuals354[Team 1],$CU17,tblActuals354[Team 2],EZ$3)</f>
        <v>0</v>
      </c>
      <c r="FA17" s="56">
        <f>SUMIFS(tblActuals354[Team 2 GD],tblActuals354[Team 2],$CU17,tblActuals354[Team 1],FA$3)+SUMIFS(tblActuals354[Team 1 GD],tblActuals354[Team 1],$CU17,tblActuals354[Team 2],FA$3)</f>
        <v>0</v>
      </c>
      <c r="FB17" s="57"/>
      <c r="FC17" s="57"/>
      <c r="FD17" s="57"/>
      <c r="FE17" s="57"/>
      <c r="FF17" s="57"/>
      <c r="FG17" s="57"/>
      <c r="FH17" s="57"/>
      <c r="FI17" s="57"/>
      <c r="FJ17" s="4"/>
      <c r="FK17" s="4" t="s">
        <v>8</v>
      </c>
      <c r="FL17" s="56">
        <f>SUMIFS(tblActuals354[Team 2 Goals],tblActuals354[Team 2],$CU17,tblActuals354[Team 1],FL$3)+SUMIFS(tblActuals354[Team 1 Goals],tblActuals354[Team 1],$CU17,tblActuals354[Team 2],FL$3)</f>
        <v>0</v>
      </c>
      <c r="FM17" s="56">
        <f>SUMIFS(tblActuals354[Team 2 Goals],tblActuals354[Team 2],$CU17,tblActuals354[Team 1],FM$3)+SUMIFS(tblActuals354[Team 1 Goals],tblActuals354[Team 1],$CU17,tblActuals354[Team 2],FM$3)</f>
        <v>0</v>
      </c>
      <c r="FN17" s="56">
        <f>SUMIFS(tblActuals354[Team 2 Goals],tblActuals354[Team 2],$CU17,tblActuals354[Team 1],FN$3)+SUMIFS(tblActuals354[Team 1 Goals],tblActuals354[Team 1],$CU17,tblActuals354[Team 2],FN$3)</f>
        <v>0</v>
      </c>
      <c r="FO17" s="56">
        <f>SUMIFS(tblActuals354[Team 2 Goals],tblActuals354[Team 2],$CU17,tblActuals354[Team 1],FO$3)+SUMIFS(tblActuals354[Team 1 Goals],tblActuals354[Team 1],$CU17,tblActuals354[Team 2],FO$3)</f>
        <v>0</v>
      </c>
      <c r="FP17" s="56">
        <f>SUMIFS(tblActuals354[Team 2 Goals],tblActuals354[Team 2],$CU17,tblActuals354[Team 1],FP$3)+SUMIFS(tblActuals354[Team 1 Goals],tblActuals354[Team 1],$CU17,tblActuals354[Team 2],FP$3)</f>
        <v>0</v>
      </c>
      <c r="FQ17" s="56">
        <f>SUMIFS(tblActuals354[Team 2 Goals],tblActuals354[Team 2],$CU17,tblActuals354[Team 1],FQ$3)+SUMIFS(tblActuals354[Team 1 Goals],tblActuals354[Team 1],$CU17,tblActuals354[Team 2],FQ$3)</f>
        <v>0</v>
      </c>
      <c r="FR17" s="56">
        <f>SUMIFS(tblActuals354[Team 2 Goals],tblActuals354[Team 2],$CU17,tblActuals354[Team 1],FR$3)+SUMIFS(tblActuals354[Team 1 Goals],tblActuals354[Team 1],$CU17,tblActuals354[Team 2],FR$3)</f>
        <v>0</v>
      </c>
      <c r="FS17" s="56">
        <f>SUMIFS(tblActuals354[Team 2 Goals],tblActuals354[Team 2],$CU17,tblActuals354[Team 1],FS$3)+SUMIFS(tblActuals354[Team 1 Goals],tblActuals354[Team 1],$CU17,tblActuals354[Team 2],FS$3)</f>
        <v>0</v>
      </c>
      <c r="FT17" s="56">
        <f>SUMIFS(tblActuals354[Team 2 Goals],tblActuals354[Team 2],$CU17,tblActuals354[Team 1],FT$3)+SUMIFS(tblActuals354[Team 1 Goals],tblActuals354[Team 1],$CU17,tblActuals354[Team 2],FT$3)</f>
        <v>0</v>
      </c>
      <c r="FU17" s="56">
        <f>SUMIFS(tblActuals354[Team 2 Goals],tblActuals354[Team 2],$CU17,tblActuals354[Team 1],FU$3)+SUMIFS(tblActuals354[Team 1 Goals],tblActuals354[Team 1],$CU17,tblActuals354[Team 2],FU$3)</f>
        <v>0</v>
      </c>
      <c r="FV17" s="56">
        <f>SUMIFS(tblActuals354[Team 2 Goals],tblActuals354[Team 2],$CU17,tblActuals354[Team 1],FV$3)+SUMIFS(tblActuals354[Team 1 Goals],tblActuals354[Team 1],$CU17,tblActuals354[Team 2],FV$3)</f>
        <v>0</v>
      </c>
      <c r="FW17" s="56">
        <f>SUMIFS(tblActuals354[Team 2 Goals],tblActuals354[Team 2],$CU17,tblActuals354[Team 1],FW$3)+SUMIFS(tblActuals354[Team 1 Goals],tblActuals354[Team 1],$CU17,tblActuals354[Team 2],FW$3)</f>
        <v>0</v>
      </c>
      <c r="FX17" s="56">
        <f>SUMIFS(tblActuals354[Team 2 Goals],tblActuals354[Team 2],$CU17,tblActuals354[Team 1],FX$3)+SUMIFS(tblActuals354[Team 1 Goals],tblActuals354[Team 1],$CU17,tblActuals354[Team 2],FX$3)</f>
        <v>0</v>
      </c>
      <c r="FY17" s="56">
        <f>SUMIFS(tblActuals354[Team 2 Goals],tblActuals354[Team 2],$CU17,tblActuals354[Team 1],FY$3)+SUMIFS(tblActuals354[Team 1 Goals],tblActuals354[Team 1],$CU17,tblActuals354[Team 2],FY$3)</f>
        <v>0</v>
      </c>
      <c r="FZ17" s="56">
        <f>SUMIFS(tblActuals354[Team 2 Goals],tblActuals354[Team 2],$CU17,tblActuals354[Team 1],FZ$3)+SUMIFS(tblActuals354[Team 1 Goals],tblActuals354[Team 1],$CU17,tblActuals354[Team 2],FZ$3)</f>
        <v>0</v>
      </c>
      <c r="GA17" s="56">
        <f>SUMIFS(tblActuals354[Team 2 Goals],tblActuals354[Team 2],$CU17,tblActuals354[Team 1],GA$3)+SUMIFS(tblActuals354[Team 1 Goals],tblActuals354[Team 1],$CU17,tblActuals354[Team 2],GA$3)</f>
        <v>0</v>
      </c>
      <c r="GB17" s="56">
        <f>SUMIFS(tblActuals354[Team 2 Goals],tblActuals354[Team 2],$CU17,tblActuals354[Team 1],GB$3)+SUMIFS(tblActuals354[Team 1 Goals],tblActuals354[Team 1],$CU17,tblActuals354[Team 2],GB$3)</f>
        <v>0</v>
      </c>
      <c r="GC17" s="56">
        <f>SUMIFS(tblActuals354[Team 2 Goals],tblActuals354[Team 2],$CU17,tblActuals354[Team 1],GC$3)+SUMIFS(tblActuals354[Team 1 Goals],tblActuals354[Team 1],$CU17,tblActuals354[Team 2],GC$3)</f>
        <v>0</v>
      </c>
      <c r="GD17" s="56">
        <f>SUMIFS(tblActuals354[Team 2 Goals],tblActuals354[Team 2],$CU17,tblActuals354[Team 1],GD$3)+SUMIFS(tblActuals354[Team 1 Goals],tblActuals354[Team 1],$CU17,tblActuals354[Team 2],GD$3)</f>
        <v>0</v>
      </c>
      <c r="GE17" s="56">
        <f>SUMIFS(tblActuals354[Team 2 Goals],tblActuals354[Team 2],$CU17,tblActuals354[Team 1],GE$3)+SUMIFS(tblActuals354[Team 1 Goals],tblActuals354[Team 1],$CU17,tblActuals354[Team 2],GE$3)</f>
        <v>0</v>
      </c>
      <c r="GF17" s="56">
        <f>SUMIFS(tblActuals354[Team 2 Goals],tblActuals354[Team 2],$CU17,tblActuals354[Team 1],GF$3)+SUMIFS(tblActuals354[Team 1 Goals],tblActuals354[Team 1],$CU17,tblActuals354[Team 2],GF$3)</f>
        <v>0</v>
      </c>
      <c r="GG17" s="56">
        <f>SUMIFS(tblActuals354[Team 2 Goals],tblActuals354[Team 2],$CU17,tblActuals354[Team 1],GG$3)+SUMIFS(tblActuals354[Team 1 Goals],tblActuals354[Team 1],$CU17,tblActuals354[Team 2],GG$3)</f>
        <v>0</v>
      </c>
      <c r="GH17" s="56">
        <f>SUMIFS(tblActuals354[Team 2 Goals],tblActuals354[Team 2],$CU17,tblActuals354[Team 1],GH$3)+SUMIFS(tblActuals354[Team 1 Goals],tblActuals354[Team 1],$CU17,tblActuals354[Team 2],GH$3)</f>
        <v>0</v>
      </c>
      <c r="GI17" s="56">
        <f>SUMIFS(tblActuals354[Team 2 Goals],tblActuals354[Team 2],$CU17,tblActuals354[Team 1],GI$3)+SUMIFS(tblActuals354[Team 1 Goals],tblActuals354[Team 1],$CU17,tblActuals354[Team 2],GI$3)</f>
        <v>0</v>
      </c>
      <c r="GJ17" s="57"/>
      <c r="GK17" s="57"/>
      <c r="GL17" s="37"/>
      <c r="GM17" s="37"/>
      <c r="GN17" s="37"/>
      <c r="GO17" s="37"/>
      <c r="GP17" s="37"/>
      <c r="GQ17" s="37"/>
      <c r="GR17" s="75"/>
      <c r="GS17" s="156"/>
      <c r="GT17" s="156"/>
      <c r="GU17" s="75"/>
      <c r="GV17" s="75"/>
      <c r="GW17" s="75"/>
      <c r="GX17" s="75"/>
      <c r="GY17" s="75"/>
      <c r="GZ17" s="75"/>
      <c r="HB17" s="4" t="str">
        <f t="shared" si="12"/>
        <v>BCEF</v>
      </c>
      <c r="HC17" s="45"/>
      <c r="HD17" s="44" t="s">
        <v>5</v>
      </c>
      <c r="HE17" s="44" t="s">
        <v>6</v>
      </c>
      <c r="HF17" s="45"/>
      <c r="HG17" s="44" t="s">
        <v>12</v>
      </c>
      <c r="HH17" s="44" t="s">
        <v>45</v>
      </c>
      <c r="HI17" s="178"/>
      <c r="HJ17" s="45" t="s">
        <v>154</v>
      </c>
      <c r="HK17" s="45" t="s">
        <v>153</v>
      </c>
      <c r="HL17" s="45" t="s">
        <v>152</v>
      </c>
      <c r="HM17" s="45" t="s">
        <v>151</v>
      </c>
    </row>
    <row r="18" spans="1:221" s="11" customFormat="1" ht="30" customHeight="1" x14ac:dyDescent="0.25">
      <c r="A18" s="20"/>
      <c r="B18" s="122">
        <v>15</v>
      </c>
      <c r="C18" s="122" t="s">
        <v>5</v>
      </c>
      <c r="D18" s="123">
        <v>45462</v>
      </c>
      <c r="E18" s="122" t="s">
        <v>84</v>
      </c>
      <c r="F18" s="124">
        <v>0.625</v>
      </c>
      <c r="G18" s="125">
        <f t="shared" si="11"/>
        <v>45462.375</v>
      </c>
      <c r="H18" s="122" t="s">
        <v>103</v>
      </c>
      <c r="I18" s="126"/>
      <c r="J18" s="118"/>
      <c r="K18" s="118"/>
      <c r="L18" s="174">
        <f>IF(I18="",0,IFERROR(IF(SCORING.RULES!$C$8="No",1,((VLOOKUP($B18,ACTUALS!$B$4:$L$100,7,FALSE)=$H18)+(VLOOKUP($B18,ACTUALS!$B$4:$L$100,7,FALSE)=S18)))*(M18+N18+O18+P18+Q18),0))+$R18</f>
        <v>0</v>
      </c>
      <c r="M18" s="168">
        <f>IFERROR(IF($B18="","",IF(U18=INDEX(ACTUALS!$AA$4:$AA$100,MATCH($B18,ACTUALS!$B$4:$B$100,0),1),CorrectScore,0)),0)</f>
        <v>0</v>
      </c>
      <c r="N18" s="157" t="str">
        <f>IFERROR(IF(I18="","",IF(INDEX(ACTUALS!$AB$4:$AB$100,MATCH($B18,ACTUALS!$B$4:$B$100,0),1)=(AB18+AC18+AH18+AI18),CorrectNumberofGoals,0)),0)</f>
        <v/>
      </c>
      <c r="O18" s="157"/>
      <c r="P18" s="157">
        <f>IFERROR(IF(B18="","",IF(INDEX(ACTUALS!$L$4:$L$100,MATCH($B18,ACTUALS!$B$4:$B$100,0),1)=W18,CorrectResult,0)),0)</f>
        <v>3</v>
      </c>
      <c r="Q18" s="157"/>
      <c r="R18" s="157"/>
      <c r="S18" s="157" t="str">
        <f t="shared" si="0"/>
        <v/>
      </c>
      <c r="T18" s="157"/>
      <c r="U18" s="157" t="str">
        <f t="shared" si="1"/>
        <v/>
      </c>
      <c r="V18" s="157" t="str">
        <f t="shared" si="2"/>
        <v/>
      </c>
      <c r="W18" s="119" t="str">
        <f>IF(tblActuals354[[#This Row],[SCORE]]="","",IF(AB18=AC18,"Draw",IF(AB18&gt;AC18,X18,Y18)))</f>
        <v/>
      </c>
      <c r="X18" s="120" t="str">
        <f>IF(tblActuals354[[#This Row],[TEAMS]]="","",LEFT(H18,FIND(" -",H18,1)-1))</f>
        <v>Croatia</v>
      </c>
      <c r="Y18" s="120" t="str">
        <f>IF(tblActuals354[[#This Row],[TEAMS]]="","",MID(H18,FIND("-",H18,1)+2,LEN(H18)-FIND("-",H18,1)+2))</f>
        <v>Albania</v>
      </c>
      <c r="Z18" s="120" t="str">
        <f>IF(tblActuals354[[#This Row],[Team 1 Goals]]&gt;tblActuals354[[#This Row],[Team 2 Goals]],tblActuals354[[#This Row],[Team 1]],IF(tblActuals354[[#This Row],[Team 2 Goals]]&gt;tblActuals354[[#This Row],[Team 1 Goals]],tblActuals354[[#This Row],[Team 2]],""))</f>
        <v/>
      </c>
      <c r="AA18" s="120" t="str">
        <f>IF(tblActuals354[[#This Row],[Winner]]=tblActuals354[[#This Row],[Team 1]],tblActuals354[[#This Row],[Team 2]],IF(tblActuals354[[#This Row],[Winner]]=tblActuals354[[#This Row],[Team 2]],tblActuals354[[#This Row],[Team 1]],""))</f>
        <v/>
      </c>
      <c r="AB18" s="120" t="str">
        <f>IF(tblActuals354[[#This Row],[SCORE]]="","",LEFT(I18,FIND(":",I18,1)-1)*1)</f>
        <v/>
      </c>
      <c r="AC18" s="120" t="str">
        <f>IF(tblActuals354[[#This Row],[SCORE]]="","",MID(I18,FIND(":",I18,1)+1,LEN(I18)-FIND(":",I18,1)+1)*1)</f>
        <v/>
      </c>
      <c r="AD18" s="120" t="str">
        <f>IF(OR(tblActuals354[[#This Row],[Team 1 Goals]]="",tblActuals354[[#This Row],[Team 2 Goals]]=""),"",tblActuals354[[#This Row],[Team 1 Goals]]-tblActuals354[[#This Row],[Team 2 Goals]])</f>
        <v/>
      </c>
      <c r="AE18" s="120" t="str">
        <f>IF(OR(tblActuals354[[#This Row],[Team 1 Goals]]="",tblActuals354[[#This Row],[Team 2 Goals]]=""),"",tblActuals354[[#This Row],[Team 2 Goals]]-tblActuals354[[#This Row],[Team 1 Goals]])</f>
        <v/>
      </c>
      <c r="AF18" s="120" t="str">
        <f>IF(tblActuals354[[#This Row],[SCORE]]="","",IF(tblActuals354[[#This Row],[WINNER / RESULT]]="Draw",1,IF(tblActuals354[[#This Row],[WINNER / RESULT]]=tblActuals354[[#This Row],[Team 1]],3,0)))</f>
        <v/>
      </c>
      <c r="AG18" s="120" t="str">
        <f>IF(tblActuals354[[#This Row],[SCORE]]="","",IF(tblActuals354[[#This Row],[WINNER / RESULT]]="Draw",1,IF(tblActuals354[[#This Row],[WINNER / RESULT]]=tblActuals354[[#This Row],[Team 2]],3,0)))</f>
        <v/>
      </c>
      <c r="AH18" s="121"/>
      <c r="AI18" s="121"/>
      <c r="AJ18" s="121"/>
      <c r="AK18" s="121"/>
      <c r="AL18" s="120" t="e">
        <f>tblActuals354[[#This Row],[Team 1 Goals]]+tblActuals354[[#This Row],[Team 1 ET Goals]]&amp;":"&amp;tblActuals354[[#This Row],[Team 2 Goals]]+tblActuals354[[#This Row],[Team 2 ET Goals]]</f>
        <v>#VALUE!</v>
      </c>
      <c r="AM18" s="120" t="e">
        <f>+tblActuals354[[#This Row],[Team 1 Goals]]+tblActuals354[[#This Row],[Team 2 Goals]]</f>
        <v>#VALUE!</v>
      </c>
      <c r="AN18" s="161">
        <f t="shared" si="3"/>
        <v>45462</v>
      </c>
      <c r="AT18" s="77" t="s">
        <v>6</v>
      </c>
      <c r="AU18" s="136">
        <v>1</v>
      </c>
      <c r="AV18" s="137" t="str">
        <f ca="1">IFERROR(INDEX(BD:BD,MATCH("1"&amp;AT18,BN:BN,0),1),"")</f>
        <v>Denmark</v>
      </c>
      <c r="AW18" s="137" t="str">
        <f ca="1">IF(AV18="","",VLOOKUP(AV18,BD:BI,2,FALSE)&amp;"-"&amp;VLOOKUP(AV18,BD:BI,3,FALSE)&amp;"-"&amp;VLOOKUP(AV18,BD:BI,4,FALSE))</f>
        <v>0-0-0</v>
      </c>
      <c r="AX18" s="137">
        <f ca="1">IF(AV18="","",VLOOKUP(AV18,BD:BK,8,FALSE))</f>
        <v>0</v>
      </c>
      <c r="AY18" s="138">
        <f ca="1">IF(AV18="","",VLOOKUP(AV18,BD:BN,5,FALSE))</f>
        <v>0</v>
      </c>
      <c r="AZ18" s="75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 t="str">
        <f t="shared" si="4"/>
        <v/>
      </c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U18" s="4" t="s">
        <v>129</v>
      </c>
      <c r="CV18" s="56">
        <f>SUMIFS(tblActuals354[Team 2 Points],tblActuals354[Team 2],$CU18,tblActuals354[Team 1],CV$3)+SUMIFS(tblActuals354[Team 1 Points],tblActuals354[Team 1],$CU18,tblActuals354[Team 2],CV$3)</f>
        <v>0</v>
      </c>
      <c r="CW18" s="56">
        <f>SUMIFS(tblActuals354[Team 2 Points],tblActuals354[Team 2],$CU18,tblActuals354[Team 1],CW$3)+SUMIFS(tblActuals354[Team 1 Points],tblActuals354[Team 1],$CU18,tblActuals354[Team 2],CW$3)</f>
        <v>0</v>
      </c>
      <c r="CX18" s="56">
        <f>SUMIFS(tblActuals354[Team 2 Points],tblActuals354[Team 2],$CU18,tblActuals354[Team 1],CX$3)+SUMIFS(tblActuals354[Team 1 Points],tblActuals354[Team 1],$CU18,tblActuals354[Team 2],CX$3)</f>
        <v>0</v>
      </c>
      <c r="CY18" s="56">
        <f>SUMIFS(tblActuals354[Team 2 Points],tblActuals354[Team 2],$CU18,tblActuals354[Team 1],CY$3)+SUMIFS(tblActuals354[Team 1 Points],tblActuals354[Team 1],$CU18,tblActuals354[Team 2],CY$3)</f>
        <v>0</v>
      </c>
      <c r="CZ18" s="56">
        <f>SUMIFS(tblActuals354[Team 2 Points],tblActuals354[Team 2],$CU18,tblActuals354[Team 1],CZ$3)+SUMIFS(tblActuals354[Team 1 Points],tblActuals354[Team 1],$CU18,tblActuals354[Team 2],CZ$3)</f>
        <v>0</v>
      </c>
      <c r="DA18" s="56">
        <f>SUMIFS(tblActuals354[Team 2 Points],tblActuals354[Team 2],$CU18,tblActuals354[Team 1],DA$3)+SUMIFS(tblActuals354[Team 1 Points],tblActuals354[Team 1],$CU18,tblActuals354[Team 2],DA$3)</f>
        <v>0</v>
      </c>
      <c r="DB18" s="56">
        <f>SUMIFS(tblActuals354[Team 2 Points],tblActuals354[Team 2],$CU18,tblActuals354[Team 1],DB$3)+SUMIFS(tblActuals354[Team 1 Points],tblActuals354[Team 1],$CU18,tblActuals354[Team 2],DB$3)</f>
        <v>0</v>
      </c>
      <c r="DC18" s="56">
        <f>SUMIFS(tblActuals354[Team 2 Points],tblActuals354[Team 2],$CU18,tblActuals354[Team 1],DC$3)+SUMIFS(tblActuals354[Team 1 Points],tblActuals354[Team 1],$CU18,tblActuals354[Team 2],DC$3)</f>
        <v>0</v>
      </c>
      <c r="DD18" s="56">
        <f>SUMIFS(tblActuals354[Team 2 Points],tblActuals354[Team 2],$CU18,tblActuals354[Team 1],DD$3)+SUMIFS(tblActuals354[Team 1 Points],tblActuals354[Team 1],$CU18,tblActuals354[Team 2],DD$3)</f>
        <v>0</v>
      </c>
      <c r="DE18" s="56">
        <f>SUMIFS(tblActuals354[Team 2 Points],tblActuals354[Team 2],$CU18,tblActuals354[Team 1],DE$3)+SUMIFS(tblActuals354[Team 1 Points],tblActuals354[Team 1],$CU18,tblActuals354[Team 2],DE$3)</f>
        <v>0</v>
      </c>
      <c r="DF18" s="56">
        <f>SUMIFS(tblActuals354[Team 2 Points],tblActuals354[Team 2],$CU18,tblActuals354[Team 1],DF$3)+SUMIFS(tblActuals354[Team 1 Points],tblActuals354[Team 1],$CU18,tblActuals354[Team 2],DF$3)</f>
        <v>0</v>
      </c>
      <c r="DG18" s="56">
        <f>SUMIFS(tblActuals354[Team 2 Points],tblActuals354[Team 2],$CU18,tblActuals354[Team 1],DG$3)+SUMIFS(tblActuals354[Team 1 Points],tblActuals354[Team 1],$CU18,tblActuals354[Team 2],DG$3)</f>
        <v>0</v>
      </c>
      <c r="DH18" s="56">
        <f>SUMIFS(tblActuals354[Team 2 Points],tblActuals354[Team 2],$CU18,tblActuals354[Team 1],DH$3)+SUMIFS(tblActuals354[Team 1 Points],tblActuals354[Team 1],$CU18,tblActuals354[Team 2],DH$3)</f>
        <v>0</v>
      </c>
      <c r="DI18" s="56">
        <f>SUMIFS(tblActuals354[Team 2 Points],tblActuals354[Team 2],$CU18,tblActuals354[Team 1],DI$3)+SUMIFS(tblActuals354[Team 1 Points],tblActuals354[Team 1],$CU18,tblActuals354[Team 2],DI$3)</f>
        <v>0</v>
      </c>
      <c r="DJ18" s="56">
        <f>SUMIFS(tblActuals354[Team 2 Points],tblActuals354[Team 2],$CU18,tblActuals354[Team 1],DJ$3)+SUMIFS(tblActuals354[Team 1 Points],tblActuals354[Team 1],$CU18,tblActuals354[Team 2],DJ$3)</f>
        <v>0</v>
      </c>
      <c r="DK18" s="56">
        <f>SUMIFS(tblActuals354[Team 2 Points],tblActuals354[Team 2],$CU18,tblActuals354[Team 1],DK$3)+SUMIFS(tblActuals354[Team 1 Points],tblActuals354[Team 1],$CU18,tblActuals354[Team 2],DK$3)</f>
        <v>0</v>
      </c>
      <c r="DL18" s="56">
        <f>SUMIFS(tblActuals354[Team 2 Points],tblActuals354[Team 2],$CU18,tblActuals354[Team 1],DL$3)+SUMIFS(tblActuals354[Team 1 Points],tblActuals354[Team 1],$CU18,tblActuals354[Team 2],DL$3)</f>
        <v>0</v>
      </c>
      <c r="DM18" s="56">
        <f>SUMIFS(tblActuals354[Team 2 Points],tblActuals354[Team 2],$CU18,tblActuals354[Team 1],DM$3)+SUMIFS(tblActuals354[Team 1 Points],tblActuals354[Team 1],$CU18,tblActuals354[Team 2],DM$3)</f>
        <v>0</v>
      </c>
      <c r="DN18" s="56">
        <f>SUMIFS(tblActuals354[Team 2 Points],tblActuals354[Team 2],$CU18,tblActuals354[Team 1],DN$3)+SUMIFS(tblActuals354[Team 1 Points],tblActuals354[Team 1],$CU18,tblActuals354[Team 2],DN$3)</f>
        <v>0</v>
      </c>
      <c r="DO18" s="56">
        <f>SUMIFS(tblActuals354[Team 2 Points],tblActuals354[Team 2],$CU18,tblActuals354[Team 1],DO$3)+SUMIFS(tblActuals354[Team 1 Points],tblActuals354[Team 1],$CU18,tblActuals354[Team 2],DO$3)</f>
        <v>0</v>
      </c>
      <c r="DP18" s="56">
        <f>SUMIFS(tblActuals354[Team 2 Points],tblActuals354[Team 2],$CU18,tblActuals354[Team 1],DP$3)+SUMIFS(tblActuals354[Team 1 Points],tblActuals354[Team 1],$CU18,tblActuals354[Team 2],DP$3)</f>
        <v>0</v>
      </c>
      <c r="DQ18" s="56">
        <f>SUMIFS(tblActuals354[Team 2 Points],tblActuals354[Team 2],$CU18,tblActuals354[Team 1],DQ$3)+SUMIFS(tblActuals354[Team 1 Points],tblActuals354[Team 1],$CU18,tblActuals354[Team 2],DQ$3)</f>
        <v>0</v>
      </c>
      <c r="DR18" s="56">
        <f>SUMIFS(tblActuals354[Team 2 Points],tblActuals354[Team 2],$CU18,tblActuals354[Team 1],DR$3)+SUMIFS(tblActuals354[Team 1 Points],tblActuals354[Team 1],$CU18,tblActuals354[Team 2],DR$3)</f>
        <v>0</v>
      </c>
      <c r="DS18" s="56">
        <f>SUMIFS(tblActuals354[Team 2 Points],tblActuals354[Team 2],$CU18,tblActuals354[Team 1],DS$3)+SUMIFS(tblActuals354[Team 1 Points],tblActuals354[Team 1],$CU18,tblActuals354[Team 2],DS$3)</f>
        <v>0</v>
      </c>
      <c r="DT18" s="57"/>
      <c r="DU18" s="57"/>
      <c r="DV18" s="57"/>
      <c r="DW18" s="57"/>
      <c r="DX18" s="57"/>
      <c r="DY18" s="57"/>
      <c r="DZ18" s="57"/>
      <c r="EA18" s="57"/>
      <c r="EB18" s="4"/>
      <c r="EC18" s="4" t="s">
        <v>129</v>
      </c>
      <c r="ED18" s="56">
        <f>SUMIFS(tblActuals354[Team 2 GD],tblActuals354[Team 2],$CU18,tblActuals354[Team 1],ED$3)+SUMIFS(tblActuals354[Team 1 GD],tblActuals354[Team 1],$CU18,tblActuals354[Team 2],ED$3)</f>
        <v>0</v>
      </c>
      <c r="EE18" s="56">
        <f>SUMIFS(tblActuals354[Team 2 GD],tblActuals354[Team 2],$CU18,tblActuals354[Team 1],EE$3)+SUMIFS(tblActuals354[Team 1 GD],tblActuals354[Team 1],$CU18,tblActuals354[Team 2],EE$3)</f>
        <v>0</v>
      </c>
      <c r="EF18" s="56">
        <f>SUMIFS(tblActuals354[Team 2 GD],tblActuals354[Team 2],$CU18,tblActuals354[Team 1],EF$3)+SUMIFS(tblActuals354[Team 1 GD],tblActuals354[Team 1],$CU18,tblActuals354[Team 2],EF$3)</f>
        <v>0</v>
      </c>
      <c r="EG18" s="56">
        <f>SUMIFS(tblActuals354[Team 2 GD],tblActuals354[Team 2],$CU18,tblActuals354[Team 1],EG$3)+SUMIFS(tblActuals354[Team 1 GD],tblActuals354[Team 1],$CU18,tblActuals354[Team 2],EG$3)</f>
        <v>0</v>
      </c>
      <c r="EH18" s="56">
        <f>SUMIFS(tblActuals354[Team 2 GD],tblActuals354[Team 2],$CU18,tblActuals354[Team 1],EH$3)+SUMIFS(tblActuals354[Team 1 GD],tblActuals354[Team 1],$CU18,tblActuals354[Team 2],EH$3)</f>
        <v>0</v>
      </c>
      <c r="EI18" s="56">
        <f>SUMIFS(tblActuals354[Team 2 GD],tblActuals354[Team 2],$CU18,tblActuals354[Team 1],EI$3)+SUMIFS(tblActuals354[Team 1 GD],tblActuals354[Team 1],$CU18,tblActuals354[Team 2],EI$3)</f>
        <v>0</v>
      </c>
      <c r="EJ18" s="56">
        <f>SUMIFS(tblActuals354[Team 2 GD],tblActuals354[Team 2],$CU18,tblActuals354[Team 1],EJ$3)+SUMIFS(tblActuals354[Team 1 GD],tblActuals354[Team 1],$CU18,tblActuals354[Team 2],EJ$3)</f>
        <v>0</v>
      </c>
      <c r="EK18" s="56">
        <f>SUMIFS(tblActuals354[Team 2 GD],tblActuals354[Team 2],$CU18,tblActuals354[Team 1],EK$3)+SUMIFS(tblActuals354[Team 1 GD],tblActuals354[Team 1],$CU18,tblActuals354[Team 2],EK$3)</f>
        <v>0</v>
      </c>
      <c r="EL18" s="56">
        <f>SUMIFS(tblActuals354[Team 2 GD],tblActuals354[Team 2],$CU18,tblActuals354[Team 1],EL$3)+SUMIFS(tblActuals354[Team 1 GD],tblActuals354[Team 1],$CU18,tblActuals354[Team 2],EL$3)</f>
        <v>0</v>
      </c>
      <c r="EM18" s="56">
        <f>SUMIFS(tblActuals354[Team 2 GD],tblActuals354[Team 2],$CU18,tblActuals354[Team 1],EM$3)+SUMIFS(tblActuals354[Team 1 GD],tblActuals354[Team 1],$CU18,tblActuals354[Team 2],EM$3)</f>
        <v>0</v>
      </c>
      <c r="EN18" s="56">
        <f>SUMIFS(tblActuals354[Team 2 GD],tblActuals354[Team 2],$CU18,tblActuals354[Team 1],EN$3)+SUMIFS(tblActuals354[Team 1 GD],tblActuals354[Team 1],$CU18,tblActuals354[Team 2],EN$3)</f>
        <v>0</v>
      </c>
      <c r="EO18" s="56">
        <f>SUMIFS(tblActuals354[Team 2 GD],tblActuals354[Team 2],$CU18,tblActuals354[Team 1],EO$3)+SUMIFS(tblActuals354[Team 1 GD],tblActuals354[Team 1],$CU18,tblActuals354[Team 2],EO$3)</f>
        <v>0</v>
      </c>
      <c r="EP18" s="56">
        <f>SUMIFS(tblActuals354[Team 2 GD],tblActuals354[Team 2],$CU18,tblActuals354[Team 1],EP$3)+SUMIFS(tblActuals354[Team 1 GD],tblActuals354[Team 1],$CU18,tblActuals354[Team 2],EP$3)</f>
        <v>0</v>
      </c>
      <c r="EQ18" s="56">
        <f>SUMIFS(tblActuals354[Team 2 GD],tblActuals354[Team 2],$CU18,tblActuals354[Team 1],EQ$3)+SUMIFS(tblActuals354[Team 1 GD],tblActuals354[Team 1],$CU18,tblActuals354[Team 2],EQ$3)</f>
        <v>0</v>
      </c>
      <c r="ER18" s="56">
        <f>SUMIFS(tblActuals354[Team 2 GD],tblActuals354[Team 2],$CU18,tblActuals354[Team 1],ER$3)+SUMIFS(tblActuals354[Team 1 GD],tblActuals354[Team 1],$CU18,tblActuals354[Team 2],ER$3)</f>
        <v>0</v>
      </c>
      <c r="ES18" s="56">
        <f>SUMIFS(tblActuals354[Team 2 GD],tblActuals354[Team 2],$CU18,tblActuals354[Team 1],ES$3)+SUMIFS(tblActuals354[Team 1 GD],tblActuals354[Team 1],$CU18,tblActuals354[Team 2],ES$3)</f>
        <v>0</v>
      </c>
      <c r="ET18" s="56">
        <f>SUMIFS(tblActuals354[Team 2 GD],tblActuals354[Team 2],$CU18,tblActuals354[Team 1],ET$3)+SUMIFS(tblActuals354[Team 1 GD],tblActuals354[Team 1],$CU18,tblActuals354[Team 2],ET$3)</f>
        <v>0</v>
      </c>
      <c r="EU18" s="56">
        <f>SUMIFS(tblActuals354[Team 2 GD],tblActuals354[Team 2],$CU18,tblActuals354[Team 1],EU$3)+SUMIFS(tblActuals354[Team 1 GD],tblActuals354[Team 1],$CU18,tblActuals354[Team 2],EU$3)</f>
        <v>0</v>
      </c>
      <c r="EV18" s="56">
        <f>SUMIFS(tblActuals354[Team 2 GD],tblActuals354[Team 2],$CU18,tblActuals354[Team 1],EV$3)+SUMIFS(tblActuals354[Team 1 GD],tblActuals354[Team 1],$CU18,tblActuals354[Team 2],EV$3)</f>
        <v>0</v>
      </c>
      <c r="EW18" s="56">
        <f>SUMIFS(tblActuals354[Team 2 GD],tblActuals354[Team 2],$CU18,tblActuals354[Team 1],EW$3)+SUMIFS(tblActuals354[Team 1 GD],tblActuals354[Team 1],$CU18,tblActuals354[Team 2],EW$3)</f>
        <v>0</v>
      </c>
      <c r="EX18" s="56">
        <f>SUMIFS(tblActuals354[Team 2 GD],tblActuals354[Team 2],$CU18,tblActuals354[Team 1],EX$3)+SUMIFS(tblActuals354[Team 1 GD],tblActuals354[Team 1],$CU18,tblActuals354[Team 2],EX$3)</f>
        <v>0</v>
      </c>
      <c r="EY18" s="56">
        <f>SUMIFS(tblActuals354[Team 2 GD],tblActuals354[Team 2],$CU18,tblActuals354[Team 1],EY$3)+SUMIFS(tblActuals354[Team 1 GD],tblActuals354[Team 1],$CU18,tblActuals354[Team 2],EY$3)</f>
        <v>0</v>
      </c>
      <c r="EZ18" s="56">
        <f>SUMIFS(tblActuals354[Team 2 GD],tblActuals354[Team 2],$CU18,tblActuals354[Team 1],EZ$3)+SUMIFS(tblActuals354[Team 1 GD],tblActuals354[Team 1],$CU18,tblActuals354[Team 2],EZ$3)</f>
        <v>0</v>
      </c>
      <c r="FA18" s="56">
        <f>SUMIFS(tblActuals354[Team 2 GD],tblActuals354[Team 2],$CU18,tblActuals354[Team 1],FA$3)+SUMIFS(tblActuals354[Team 1 GD],tblActuals354[Team 1],$CU18,tblActuals354[Team 2],FA$3)</f>
        <v>0</v>
      </c>
      <c r="FB18" s="57"/>
      <c r="FC18" s="57"/>
      <c r="FD18" s="57"/>
      <c r="FE18" s="57"/>
      <c r="FF18" s="57"/>
      <c r="FG18" s="57"/>
      <c r="FH18" s="57"/>
      <c r="FI18" s="57"/>
      <c r="FJ18" s="4"/>
      <c r="FK18" s="4" t="s">
        <v>129</v>
      </c>
      <c r="FL18" s="56">
        <f>SUMIFS(tblActuals354[Team 2 Goals],tblActuals354[Team 2],$CU18,tblActuals354[Team 1],FL$3)+SUMIFS(tblActuals354[Team 1 Goals],tblActuals354[Team 1],$CU18,tblActuals354[Team 2],FL$3)</f>
        <v>0</v>
      </c>
      <c r="FM18" s="56">
        <f>SUMIFS(tblActuals354[Team 2 Goals],tblActuals354[Team 2],$CU18,tblActuals354[Team 1],FM$3)+SUMIFS(tblActuals354[Team 1 Goals],tblActuals354[Team 1],$CU18,tblActuals354[Team 2],FM$3)</f>
        <v>0</v>
      </c>
      <c r="FN18" s="56">
        <f>SUMIFS(tblActuals354[Team 2 Goals],tblActuals354[Team 2],$CU18,tblActuals354[Team 1],FN$3)+SUMIFS(tblActuals354[Team 1 Goals],tblActuals354[Team 1],$CU18,tblActuals354[Team 2],FN$3)</f>
        <v>0</v>
      </c>
      <c r="FO18" s="56">
        <f>SUMIFS(tblActuals354[Team 2 Goals],tblActuals354[Team 2],$CU18,tblActuals354[Team 1],FO$3)+SUMIFS(tblActuals354[Team 1 Goals],tblActuals354[Team 1],$CU18,tblActuals354[Team 2],FO$3)</f>
        <v>0</v>
      </c>
      <c r="FP18" s="56">
        <f>SUMIFS(tblActuals354[Team 2 Goals],tblActuals354[Team 2],$CU18,tblActuals354[Team 1],FP$3)+SUMIFS(tblActuals354[Team 1 Goals],tblActuals354[Team 1],$CU18,tblActuals354[Team 2],FP$3)</f>
        <v>0</v>
      </c>
      <c r="FQ18" s="56">
        <f>SUMIFS(tblActuals354[Team 2 Goals],tblActuals354[Team 2],$CU18,tblActuals354[Team 1],FQ$3)+SUMIFS(tblActuals354[Team 1 Goals],tblActuals354[Team 1],$CU18,tblActuals354[Team 2],FQ$3)</f>
        <v>0</v>
      </c>
      <c r="FR18" s="56">
        <f>SUMIFS(tblActuals354[Team 2 Goals],tblActuals354[Team 2],$CU18,tblActuals354[Team 1],FR$3)+SUMIFS(tblActuals354[Team 1 Goals],tblActuals354[Team 1],$CU18,tblActuals354[Team 2],FR$3)</f>
        <v>0</v>
      </c>
      <c r="FS18" s="56">
        <f>SUMIFS(tblActuals354[Team 2 Goals],tblActuals354[Team 2],$CU18,tblActuals354[Team 1],FS$3)+SUMIFS(tblActuals354[Team 1 Goals],tblActuals354[Team 1],$CU18,tblActuals354[Team 2],FS$3)</f>
        <v>0</v>
      </c>
      <c r="FT18" s="56">
        <f>SUMIFS(tblActuals354[Team 2 Goals],tblActuals354[Team 2],$CU18,tblActuals354[Team 1],FT$3)+SUMIFS(tblActuals354[Team 1 Goals],tblActuals354[Team 1],$CU18,tblActuals354[Team 2],FT$3)</f>
        <v>0</v>
      </c>
      <c r="FU18" s="56">
        <f>SUMIFS(tblActuals354[Team 2 Goals],tblActuals354[Team 2],$CU18,tblActuals354[Team 1],FU$3)+SUMIFS(tblActuals354[Team 1 Goals],tblActuals354[Team 1],$CU18,tblActuals354[Team 2],FU$3)</f>
        <v>0</v>
      </c>
      <c r="FV18" s="56">
        <f>SUMIFS(tblActuals354[Team 2 Goals],tblActuals354[Team 2],$CU18,tblActuals354[Team 1],FV$3)+SUMIFS(tblActuals354[Team 1 Goals],tblActuals354[Team 1],$CU18,tblActuals354[Team 2],FV$3)</f>
        <v>0</v>
      </c>
      <c r="FW18" s="56">
        <f>SUMIFS(tblActuals354[Team 2 Goals],tblActuals354[Team 2],$CU18,tblActuals354[Team 1],FW$3)+SUMIFS(tblActuals354[Team 1 Goals],tblActuals354[Team 1],$CU18,tblActuals354[Team 2],FW$3)</f>
        <v>0</v>
      </c>
      <c r="FX18" s="56">
        <f>SUMIFS(tblActuals354[Team 2 Goals],tblActuals354[Team 2],$CU18,tblActuals354[Team 1],FX$3)+SUMIFS(tblActuals354[Team 1 Goals],tblActuals354[Team 1],$CU18,tblActuals354[Team 2],FX$3)</f>
        <v>0</v>
      </c>
      <c r="FY18" s="56">
        <f>SUMIFS(tblActuals354[Team 2 Goals],tblActuals354[Team 2],$CU18,tblActuals354[Team 1],FY$3)+SUMIFS(tblActuals354[Team 1 Goals],tblActuals354[Team 1],$CU18,tblActuals354[Team 2],FY$3)</f>
        <v>0</v>
      </c>
      <c r="FZ18" s="56">
        <f>SUMIFS(tblActuals354[Team 2 Goals],tblActuals354[Team 2],$CU18,tblActuals354[Team 1],FZ$3)+SUMIFS(tblActuals354[Team 1 Goals],tblActuals354[Team 1],$CU18,tblActuals354[Team 2],FZ$3)</f>
        <v>0</v>
      </c>
      <c r="GA18" s="56">
        <f>SUMIFS(tblActuals354[Team 2 Goals],tblActuals354[Team 2],$CU18,tblActuals354[Team 1],GA$3)+SUMIFS(tblActuals354[Team 1 Goals],tblActuals354[Team 1],$CU18,tblActuals354[Team 2],GA$3)</f>
        <v>0</v>
      </c>
      <c r="GB18" s="56">
        <f>SUMIFS(tblActuals354[Team 2 Goals],tblActuals354[Team 2],$CU18,tblActuals354[Team 1],GB$3)+SUMIFS(tblActuals354[Team 1 Goals],tblActuals354[Team 1],$CU18,tblActuals354[Team 2],GB$3)</f>
        <v>0</v>
      </c>
      <c r="GC18" s="56">
        <f>SUMIFS(tblActuals354[Team 2 Goals],tblActuals354[Team 2],$CU18,tblActuals354[Team 1],GC$3)+SUMIFS(tblActuals354[Team 1 Goals],tblActuals354[Team 1],$CU18,tblActuals354[Team 2],GC$3)</f>
        <v>0</v>
      </c>
      <c r="GD18" s="56">
        <f>SUMIFS(tblActuals354[Team 2 Goals],tblActuals354[Team 2],$CU18,tblActuals354[Team 1],GD$3)+SUMIFS(tblActuals354[Team 1 Goals],tblActuals354[Team 1],$CU18,tblActuals354[Team 2],GD$3)</f>
        <v>0</v>
      </c>
      <c r="GE18" s="56">
        <f>SUMIFS(tblActuals354[Team 2 Goals],tblActuals354[Team 2],$CU18,tblActuals354[Team 1],GE$3)+SUMIFS(tblActuals354[Team 1 Goals],tblActuals354[Team 1],$CU18,tblActuals354[Team 2],GE$3)</f>
        <v>0</v>
      </c>
      <c r="GF18" s="56">
        <f>SUMIFS(tblActuals354[Team 2 Goals],tblActuals354[Team 2],$CU18,tblActuals354[Team 1],GF$3)+SUMIFS(tblActuals354[Team 1 Goals],tblActuals354[Team 1],$CU18,tblActuals354[Team 2],GF$3)</f>
        <v>0</v>
      </c>
      <c r="GG18" s="56">
        <f>SUMIFS(tblActuals354[Team 2 Goals],tblActuals354[Team 2],$CU18,tblActuals354[Team 1],GG$3)+SUMIFS(tblActuals354[Team 1 Goals],tblActuals354[Team 1],$CU18,tblActuals354[Team 2],GG$3)</f>
        <v>0</v>
      </c>
      <c r="GH18" s="56">
        <f>SUMIFS(tblActuals354[Team 2 Goals],tblActuals354[Team 2],$CU18,tblActuals354[Team 1],GH$3)+SUMIFS(tblActuals354[Team 1 Goals],tblActuals354[Team 1],$CU18,tblActuals354[Team 2],GH$3)</f>
        <v>0</v>
      </c>
      <c r="GI18" s="56">
        <f>SUMIFS(tblActuals354[Team 2 Goals],tblActuals354[Team 2],$CU18,tblActuals354[Team 1],GI$3)+SUMIFS(tblActuals354[Team 1 Goals],tblActuals354[Team 1],$CU18,tblActuals354[Team 2],GI$3)</f>
        <v>0</v>
      </c>
      <c r="GJ18" s="57"/>
      <c r="GK18" s="57"/>
      <c r="GL18" s="37"/>
      <c r="GM18" s="37"/>
      <c r="GN18" s="37"/>
      <c r="GO18" s="37"/>
      <c r="GP18" s="37"/>
      <c r="GQ18" s="37"/>
      <c r="GR18" s="75"/>
      <c r="GS18" s="156"/>
      <c r="GT18" s="156"/>
      <c r="GU18" s="75"/>
      <c r="GV18" s="75"/>
      <c r="GW18" s="75"/>
      <c r="GX18" s="75"/>
      <c r="GY18" s="75"/>
      <c r="GZ18" s="75"/>
      <c r="HB18" s="4" t="str">
        <f t="shared" si="12"/>
        <v>BDEF</v>
      </c>
      <c r="HC18" s="45"/>
      <c r="HD18" s="44" t="s">
        <v>5</v>
      </c>
      <c r="HE18" s="45"/>
      <c r="HF18" s="44" t="s">
        <v>7</v>
      </c>
      <c r="HG18" s="44" t="s">
        <v>12</v>
      </c>
      <c r="HH18" s="44" t="s">
        <v>45</v>
      </c>
      <c r="HI18" s="178"/>
      <c r="HJ18" s="45" t="s">
        <v>154</v>
      </c>
      <c r="HK18" s="45" t="s">
        <v>153</v>
      </c>
      <c r="HL18" s="45" t="s">
        <v>150</v>
      </c>
      <c r="HM18" s="45" t="s">
        <v>151</v>
      </c>
    </row>
    <row r="19" spans="1:221" s="11" customFormat="1" ht="30" customHeight="1" x14ac:dyDescent="0.25">
      <c r="A19" s="20"/>
      <c r="B19" s="122">
        <v>16</v>
      </c>
      <c r="C19" s="122" t="s">
        <v>5</v>
      </c>
      <c r="D19" s="123">
        <v>45463</v>
      </c>
      <c r="E19" s="122" t="s">
        <v>82</v>
      </c>
      <c r="F19" s="124">
        <v>0.875</v>
      </c>
      <c r="G19" s="125">
        <f t="shared" si="11"/>
        <v>45463.625</v>
      </c>
      <c r="H19" s="124" t="s">
        <v>104</v>
      </c>
      <c r="I19" s="126"/>
      <c r="J19" s="118"/>
      <c r="K19" s="118"/>
      <c r="L19" s="174">
        <f>IF(I19="",0,IFERROR(IF(SCORING.RULES!$C$8="No",1,((VLOOKUP($B19,ACTUALS!$B$4:$L$100,7,FALSE)=$H19)+(VLOOKUP($B19,ACTUALS!$B$4:$L$100,7,FALSE)=S19)))*(M19+N19+O19+P19+Q19),0))+$R19</f>
        <v>0</v>
      </c>
      <c r="M19" s="168">
        <f>IFERROR(IF($B19="","",IF(U19=INDEX(ACTUALS!$AA$4:$AA$100,MATCH($B19,ACTUALS!$B$4:$B$100,0),1),CorrectScore,0)),0)</f>
        <v>0</v>
      </c>
      <c r="N19" s="157" t="str">
        <f>IFERROR(IF(I19="","",IF(INDEX(ACTUALS!$AB$4:$AB$100,MATCH($B19,ACTUALS!$B$4:$B$100,0),1)=(AB19+AC19+AH19+AI19),CorrectNumberofGoals,0)),0)</f>
        <v/>
      </c>
      <c r="O19" s="157"/>
      <c r="P19" s="157">
        <f>IFERROR(IF(B19="","",IF(INDEX(ACTUALS!$L$4:$L$100,MATCH($B19,ACTUALS!$B$4:$B$100,0),1)=W19,CorrectResult,0)),0)</f>
        <v>3</v>
      </c>
      <c r="Q19" s="157"/>
      <c r="R19" s="157"/>
      <c r="S19" s="157" t="str">
        <f t="shared" si="0"/>
        <v/>
      </c>
      <c r="T19" s="157"/>
      <c r="U19" s="157" t="str">
        <f t="shared" si="1"/>
        <v/>
      </c>
      <c r="V19" s="157" t="str">
        <f t="shared" si="2"/>
        <v/>
      </c>
      <c r="W19" s="119" t="str">
        <f>IF(tblActuals354[[#This Row],[SCORE]]="","",IF(AB19=AC19,"Draw",IF(AB19&gt;AC19,X19,Y19)))</f>
        <v/>
      </c>
      <c r="X19" s="120" t="str">
        <f>IF(tblActuals354[[#This Row],[TEAMS]]="","",LEFT(H19,FIND(" -",H19,1)-1))</f>
        <v>Spain</v>
      </c>
      <c r="Y19" s="120" t="str">
        <f>IF(tblActuals354[[#This Row],[TEAMS]]="","",MID(H19,FIND("-",H19,1)+2,LEN(H19)-FIND("-",H19,1)+2))</f>
        <v>Italy</v>
      </c>
      <c r="Z19" s="120" t="str">
        <f>IF(tblActuals354[[#This Row],[Team 1 Goals]]&gt;tblActuals354[[#This Row],[Team 2 Goals]],tblActuals354[[#This Row],[Team 1]],IF(tblActuals354[[#This Row],[Team 2 Goals]]&gt;tblActuals354[[#This Row],[Team 1 Goals]],tblActuals354[[#This Row],[Team 2]],""))</f>
        <v/>
      </c>
      <c r="AA19" s="120" t="str">
        <f>IF(tblActuals354[[#This Row],[Winner]]=tblActuals354[[#This Row],[Team 1]],tblActuals354[[#This Row],[Team 2]],IF(tblActuals354[[#This Row],[Winner]]=tblActuals354[[#This Row],[Team 2]],tblActuals354[[#This Row],[Team 1]],""))</f>
        <v/>
      </c>
      <c r="AB19" s="120" t="str">
        <f>IF(tblActuals354[[#This Row],[SCORE]]="","",LEFT(I19,FIND(":",I19,1)-1)*1)</f>
        <v/>
      </c>
      <c r="AC19" s="120" t="str">
        <f>IF(tblActuals354[[#This Row],[SCORE]]="","",MID(I19,FIND(":",I19,1)+1,LEN(I19)-FIND(":",I19,1)+1)*1)</f>
        <v/>
      </c>
      <c r="AD19" s="120" t="str">
        <f>IF(OR(tblActuals354[[#This Row],[Team 1 Goals]]="",tblActuals354[[#This Row],[Team 2 Goals]]=""),"",tblActuals354[[#This Row],[Team 1 Goals]]-tblActuals354[[#This Row],[Team 2 Goals]])</f>
        <v/>
      </c>
      <c r="AE19" s="120" t="str">
        <f>IF(OR(tblActuals354[[#This Row],[Team 1 Goals]]="",tblActuals354[[#This Row],[Team 2 Goals]]=""),"",tblActuals354[[#This Row],[Team 2 Goals]]-tblActuals354[[#This Row],[Team 1 Goals]])</f>
        <v/>
      </c>
      <c r="AF19" s="120" t="str">
        <f>IF(tblActuals354[[#This Row],[SCORE]]="","",IF(tblActuals354[[#This Row],[WINNER / RESULT]]="Draw",1,IF(tblActuals354[[#This Row],[WINNER / RESULT]]=tblActuals354[[#This Row],[Team 1]],3,0)))</f>
        <v/>
      </c>
      <c r="AG19" s="120" t="str">
        <f>IF(tblActuals354[[#This Row],[SCORE]]="","",IF(tblActuals354[[#This Row],[WINNER / RESULT]]="Draw",1,IF(tblActuals354[[#This Row],[WINNER / RESULT]]=tblActuals354[[#This Row],[Team 2]],3,0)))</f>
        <v/>
      </c>
      <c r="AH19" s="121"/>
      <c r="AI19" s="121"/>
      <c r="AJ19" s="121"/>
      <c r="AK19" s="121"/>
      <c r="AL19" s="120" t="e">
        <f>tblActuals354[[#This Row],[Team 1 Goals]]+tblActuals354[[#This Row],[Team 1 ET Goals]]&amp;":"&amp;tblActuals354[[#This Row],[Team 2 Goals]]+tblActuals354[[#This Row],[Team 2 ET Goals]]</f>
        <v>#VALUE!</v>
      </c>
      <c r="AM19" s="120" t="e">
        <f>+tblActuals354[[#This Row],[Team 1 Goals]]+tblActuals354[[#This Row],[Team 2 Goals]]</f>
        <v>#VALUE!</v>
      </c>
      <c r="AN19" s="161">
        <f t="shared" si="3"/>
        <v>45463</v>
      </c>
      <c r="AT19" s="77" t="s">
        <v>6</v>
      </c>
      <c r="AU19" s="139">
        <v>2</v>
      </c>
      <c r="AV19" s="140" t="str">
        <f ca="1">IFERROR(INDEX(BD:BD,MATCH("2"&amp;AT19,BN:BN,0),1),"")</f>
        <v>England</v>
      </c>
      <c r="AW19" s="140" t="str">
        <f ca="1">IF(AV19="","",VLOOKUP(AV19,BD:BI,2,FALSE)&amp;"-"&amp;VLOOKUP(AV19,BD:BI,3,FALSE)&amp;"-"&amp;VLOOKUP(AV19,BD:BI,4,FALSE))</f>
        <v>0-0-0</v>
      </c>
      <c r="AX19" s="140">
        <f ca="1">IF(AV19="","",VLOOKUP(AV19,BD:BK,8,FALSE))</f>
        <v>0</v>
      </c>
      <c r="AY19" s="141">
        <f ca="1">IF(AV19="","",VLOOKUP(AV19,BD:BN,5,FALSE))</f>
        <v>0</v>
      </c>
      <c r="AZ19" s="75"/>
      <c r="BA19" s="4"/>
      <c r="BB19" s="4"/>
      <c r="BC19" s="4" t="s">
        <v>7</v>
      </c>
      <c r="BD19" s="4" t="s">
        <v>129</v>
      </c>
      <c r="BE19" s="4">
        <f>COUNTIF(tblActuals354[Winner],BD19)</f>
        <v>0</v>
      </c>
      <c r="BF19" s="4">
        <f>COUNTIFS(tblActuals354[Team 2],BD19,tblActuals354[WINNER / RESULT],"Draw")+COUNTIFS(tblActuals354[Team 1],BD19,tblActuals354[WINNER / RESULT],"Draw")</f>
        <v>0</v>
      </c>
      <c r="BG19" s="4">
        <f>COUNTIF(tblActuals354[Loser],BD19)</f>
        <v>0</v>
      </c>
      <c r="BH19" s="4">
        <f>BF19+(3*BE19)</f>
        <v>0</v>
      </c>
      <c r="BI19" s="4">
        <f>SUMIFS(tblActuals354[Team 1 Goals],tblActuals354[Team 1],BD19)+SUMIFS(tblActuals354[Team 2 Goals],tblActuals354[Team 2],BD19)</f>
        <v>0</v>
      </c>
      <c r="BJ19" s="4">
        <f>SUMIFS(tblActuals354[Team 2 Goals],tblActuals354[Team 1],BD19)+SUMIFS(tblActuals354[Team 1 Goals],tblActuals354[Team 2],BD19)</f>
        <v>0</v>
      </c>
      <c r="BK19" s="4">
        <f>BI19-BJ19</f>
        <v>0</v>
      </c>
      <c r="BL19" s="4">
        <f ca="1">RANK(BY19,$BY$19:$BY$22,1)</f>
        <v>1</v>
      </c>
      <c r="BM19" s="4" t="str">
        <f t="shared" si="4"/>
        <v/>
      </c>
      <c r="BN19" s="4" t="str">
        <f ca="1">IF(BM19="",BL19&amp;BC19,BM19&amp;BC19)</f>
        <v>1D</v>
      </c>
      <c r="BO19" s="4">
        <f>RANK(BH19,$BH$19:$BH$22,0)</f>
        <v>1</v>
      </c>
      <c r="BP19" s="4" cm="1">
        <f t="array" aca="1" ref="BP19" ca="1">SUMPRODUCT((OFFSET($CV$3:$EA$3,MATCH($BD19,$CU$4:$CU$35,0),0))*((IF($BO21=$BO19,$CV$3:$EA$3=$BD21,0))+(IF($BO22=$BO19,$CV$3:$EA$3=$BD22,0))+(IF($BO20=$BO19,$CV$3:$EA$3=$BD20,0))))</f>
        <v>0</v>
      </c>
      <c r="BQ19" s="4" cm="1">
        <f t="array" aca="1" ref="BQ19" ca="1">SUMPRODUCT((OFFSET($ED$3:$FI$3,MATCH($BD19,$EC$4:$EC$35,0),0))*((IF($BO21=$BO19,$ED$3:$FI$3=$BD21,0))+(IF($BO22=$BO19,$ED$3:$FI$3=$BD22,0))+(IF($BO20=$BO19,$ED$3:$FI$3=$BD20,0))))</f>
        <v>0</v>
      </c>
      <c r="BR19" s="4" cm="1">
        <f t="array" aca="1" ref="BR19" ca="1">SUMPRODUCT((OFFSET($FL$3:$GQ$3,MATCH($BD19,$FK$4:$FK$35,0),0))*((IF($BO21=$BO19,$FL$3:$GQ$3=$BD21,0))+(IF($BO22=$BO19,$FL$3:$GQ$3=$BD22,0))+(IF($BO20=$BO19,$FL$3:$GQ$3=$BD20,0))))</f>
        <v>0</v>
      </c>
      <c r="BS19" s="4" cm="1">
        <f t="array" aca="1" ref="BS19" ca="1">SUMPRODUCT((OFFSET($CV$3:$EA$3,MATCH($BD19,$CU$4:$CU$35,0),0))*((IF($BO21&lt;&gt;$BO19,$CV$3:$EA$3=$BD21,0))+(IF($BO22&lt;&gt;$BO19,$CV$3:$EA$3=$BD22,0))+(IF($BO20&lt;&gt;$BO19,$CV$3:$EA$3=$BD20,0))))</f>
        <v>0</v>
      </c>
      <c r="BT19" s="4" cm="1">
        <f t="array" aca="1" ref="BT19" ca="1">SUMPRODUCT((OFFSET($ED$3:$FI$3,MATCH($BD19,$EC$4:$EC$35,0),0))*((IF($BO21&lt;&gt;$BO19,$ED$3:$FI$3=$BD21,0))+(IF($BO22&lt;&gt;$BO19,$ED$3:$FI$3=$BD22,0))+(IF($BO20&lt;&gt;$BO19,$ED$3:$FI$3=$BD20,0))))</f>
        <v>0</v>
      </c>
      <c r="BU19" s="4" cm="1">
        <f t="array" aca="1" ref="BU19" ca="1">SUMPRODUCT((OFFSET($FL$3:$GQ$3,MATCH($BD19,$FK$4:$FK$35,0),0))*((IF($BO21&lt;&gt;$BO19,$FL$3:$GQ$3=$BD21,0))+(IF($BO22&lt;&gt;$BO19,$FL$3:$GQ$3=$BD22,0))+(IF($BO20&lt;&gt;$BO19,$FL$3:$GQ$3=$BD20,0))))</f>
        <v>0</v>
      </c>
      <c r="BV19" s="4">
        <f>BK19</f>
        <v>0</v>
      </c>
      <c r="BW19" s="4">
        <f>BI19</f>
        <v>0</v>
      </c>
      <c r="BX19" s="4">
        <f ca="1">(BP19/10)+(BQ19/100)+(BR19/1000)+(BT19/10000)+(BU19/100000)+(BV19/1000000)+(BW19/10000000)+(ROW(BS22)/100000000)</f>
        <v>2.2000000000000001E-7</v>
      </c>
      <c r="BY19" s="4">
        <f ca="1">+BO19-BX19</f>
        <v>0.99999978</v>
      </c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U19" s="4" t="s">
        <v>26</v>
      </c>
      <c r="CV19" s="56">
        <f>SUMIFS(tblActuals354[Team 2 Points],tblActuals354[Team 2],$CU19,tblActuals354[Team 1],CV$3)+SUMIFS(tblActuals354[Team 1 Points],tblActuals354[Team 1],$CU19,tblActuals354[Team 2],CV$3)</f>
        <v>0</v>
      </c>
      <c r="CW19" s="56">
        <f>SUMIFS(tblActuals354[Team 2 Points],tblActuals354[Team 2],$CU19,tblActuals354[Team 1],CW$3)+SUMIFS(tblActuals354[Team 1 Points],tblActuals354[Team 1],$CU19,tblActuals354[Team 2],CW$3)</f>
        <v>0</v>
      </c>
      <c r="CX19" s="56">
        <f>SUMIFS(tblActuals354[Team 2 Points],tblActuals354[Team 2],$CU19,tblActuals354[Team 1],CX$3)+SUMIFS(tblActuals354[Team 1 Points],tblActuals354[Team 1],$CU19,tblActuals354[Team 2],CX$3)</f>
        <v>0</v>
      </c>
      <c r="CY19" s="56">
        <f>SUMIFS(tblActuals354[Team 2 Points],tblActuals354[Team 2],$CU19,tblActuals354[Team 1],CY$3)+SUMIFS(tblActuals354[Team 1 Points],tblActuals354[Team 1],$CU19,tblActuals354[Team 2],CY$3)</f>
        <v>0</v>
      </c>
      <c r="CZ19" s="56">
        <f>SUMIFS(tblActuals354[Team 2 Points],tblActuals354[Team 2],$CU19,tblActuals354[Team 1],CZ$3)+SUMIFS(tblActuals354[Team 1 Points],tblActuals354[Team 1],$CU19,tblActuals354[Team 2],CZ$3)</f>
        <v>0</v>
      </c>
      <c r="DA19" s="56">
        <f>SUMIFS(tblActuals354[Team 2 Points],tblActuals354[Team 2],$CU19,tblActuals354[Team 1],DA$3)+SUMIFS(tblActuals354[Team 1 Points],tblActuals354[Team 1],$CU19,tblActuals354[Team 2],DA$3)</f>
        <v>0</v>
      </c>
      <c r="DB19" s="56">
        <f>SUMIFS(tblActuals354[Team 2 Points],tblActuals354[Team 2],$CU19,tblActuals354[Team 1],DB$3)+SUMIFS(tblActuals354[Team 1 Points],tblActuals354[Team 1],$CU19,tblActuals354[Team 2],DB$3)</f>
        <v>0</v>
      </c>
      <c r="DC19" s="56">
        <f>SUMIFS(tblActuals354[Team 2 Points],tblActuals354[Team 2],$CU19,tblActuals354[Team 1],DC$3)+SUMIFS(tblActuals354[Team 1 Points],tblActuals354[Team 1],$CU19,tblActuals354[Team 2],DC$3)</f>
        <v>0</v>
      </c>
      <c r="DD19" s="56">
        <f>SUMIFS(tblActuals354[Team 2 Points],tblActuals354[Team 2],$CU19,tblActuals354[Team 1],DD$3)+SUMIFS(tblActuals354[Team 1 Points],tblActuals354[Team 1],$CU19,tblActuals354[Team 2],DD$3)</f>
        <v>0</v>
      </c>
      <c r="DE19" s="56">
        <f>SUMIFS(tblActuals354[Team 2 Points],tblActuals354[Team 2],$CU19,tblActuals354[Team 1],DE$3)+SUMIFS(tblActuals354[Team 1 Points],tblActuals354[Team 1],$CU19,tblActuals354[Team 2],DE$3)</f>
        <v>0</v>
      </c>
      <c r="DF19" s="56">
        <f>SUMIFS(tblActuals354[Team 2 Points],tblActuals354[Team 2],$CU19,tblActuals354[Team 1],DF$3)+SUMIFS(tblActuals354[Team 1 Points],tblActuals354[Team 1],$CU19,tblActuals354[Team 2],DF$3)</f>
        <v>0</v>
      </c>
      <c r="DG19" s="56">
        <f>SUMIFS(tblActuals354[Team 2 Points],tblActuals354[Team 2],$CU19,tblActuals354[Team 1],DG$3)+SUMIFS(tblActuals354[Team 1 Points],tblActuals354[Team 1],$CU19,tblActuals354[Team 2],DG$3)</f>
        <v>0</v>
      </c>
      <c r="DH19" s="56">
        <f>SUMIFS(tblActuals354[Team 2 Points],tblActuals354[Team 2],$CU19,tblActuals354[Team 1],DH$3)+SUMIFS(tblActuals354[Team 1 Points],tblActuals354[Team 1],$CU19,tblActuals354[Team 2],DH$3)</f>
        <v>0</v>
      </c>
      <c r="DI19" s="56">
        <f>SUMIFS(tblActuals354[Team 2 Points],tblActuals354[Team 2],$CU19,tblActuals354[Team 1],DI$3)+SUMIFS(tblActuals354[Team 1 Points],tblActuals354[Team 1],$CU19,tblActuals354[Team 2],DI$3)</f>
        <v>0</v>
      </c>
      <c r="DJ19" s="56">
        <f>SUMIFS(tblActuals354[Team 2 Points],tblActuals354[Team 2],$CU19,tblActuals354[Team 1],DJ$3)+SUMIFS(tblActuals354[Team 1 Points],tblActuals354[Team 1],$CU19,tblActuals354[Team 2],DJ$3)</f>
        <v>0</v>
      </c>
      <c r="DK19" s="56">
        <f>SUMIFS(tblActuals354[Team 2 Points],tblActuals354[Team 2],$CU19,tblActuals354[Team 1],DK$3)+SUMIFS(tblActuals354[Team 1 Points],tblActuals354[Team 1],$CU19,tblActuals354[Team 2],DK$3)</f>
        <v>0</v>
      </c>
      <c r="DL19" s="56">
        <f>SUMIFS(tblActuals354[Team 2 Points],tblActuals354[Team 2],$CU19,tblActuals354[Team 1],DL$3)+SUMIFS(tblActuals354[Team 1 Points],tblActuals354[Team 1],$CU19,tblActuals354[Team 2],DL$3)</f>
        <v>0</v>
      </c>
      <c r="DM19" s="56">
        <f>SUMIFS(tblActuals354[Team 2 Points],tblActuals354[Team 2],$CU19,tblActuals354[Team 1],DM$3)+SUMIFS(tblActuals354[Team 1 Points],tblActuals354[Team 1],$CU19,tblActuals354[Team 2],DM$3)</f>
        <v>0</v>
      </c>
      <c r="DN19" s="56">
        <f>SUMIFS(tblActuals354[Team 2 Points],tblActuals354[Team 2],$CU19,tblActuals354[Team 1],DN$3)+SUMIFS(tblActuals354[Team 1 Points],tblActuals354[Team 1],$CU19,tblActuals354[Team 2],DN$3)</f>
        <v>0</v>
      </c>
      <c r="DO19" s="56">
        <f>SUMIFS(tblActuals354[Team 2 Points],tblActuals354[Team 2],$CU19,tblActuals354[Team 1],DO$3)+SUMIFS(tblActuals354[Team 1 Points],tblActuals354[Team 1],$CU19,tblActuals354[Team 2],DO$3)</f>
        <v>0</v>
      </c>
      <c r="DP19" s="56">
        <f>SUMIFS(tblActuals354[Team 2 Points],tblActuals354[Team 2],$CU19,tblActuals354[Team 1],DP$3)+SUMIFS(tblActuals354[Team 1 Points],tblActuals354[Team 1],$CU19,tblActuals354[Team 2],DP$3)</f>
        <v>0</v>
      </c>
      <c r="DQ19" s="56">
        <f>SUMIFS(tblActuals354[Team 2 Points],tblActuals354[Team 2],$CU19,tblActuals354[Team 1],DQ$3)+SUMIFS(tblActuals354[Team 1 Points],tblActuals354[Team 1],$CU19,tblActuals354[Team 2],DQ$3)</f>
        <v>0</v>
      </c>
      <c r="DR19" s="56">
        <f>SUMIFS(tblActuals354[Team 2 Points],tblActuals354[Team 2],$CU19,tblActuals354[Team 1],DR$3)+SUMIFS(tblActuals354[Team 1 Points],tblActuals354[Team 1],$CU19,tblActuals354[Team 2],DR$3)</f>
        <v>0</v>
      </c>
      <c r="DS19" s="56">
        <f>SUMIFS(tblActuals354[Team 2 Points],tblActuals354[Team 2],$CU19,tblActuals354[Team 1],DS$3)+SUMIFS(tblActuals354[Team 1 Points],tblActuals354[Team 1],$CU19,tblActuals354[Team 2],DS$3)</f>
        <v>0</v>
      </c>
      <c r="DT19" s="57"/>
      <c r="DU19" s="57"/>
      <c r="DV19" s="57"/>
      <c r="DW19" s="57"/>
      <c r="DX19" s="57"/>
      <c r="DY19" s="57"/>
      <c r="DZ19" s="57"/>
      <c r="EA19" s="57"/>
      <c r="EB19" s="4"/>
      <c r="EC19" s="4" t="s">
        <v>26</v>
      </c>
      <c r="ED19" s="56">
        <f>SUMIFS(tblActuals354[Team 2 GD],tblActuals354[Team 2],$CU19,tblActuals354[Team 1],ED$3)+SUMIFS(tblActuals354[Team 1 GD],tblActuals354[Team 1],$CU19,tblActuals354[Team 2],ED$3)</f>
        <v>0</v>
      </c>
      <c r="EE19" s="56">
        <f>SUMIFS(tblActuals354[Team 2 GD],tblActuals354[Team 2],$CU19,tblActuals354[Team 1],EE$3)+SUMIFS(tblActuals354[Team 1 GD],tblActuals354[Team 1],$CU19,tblActuals354[Team 2],EE$3)</f>
        <v>0</v>
      </c>
      <c r="EF19" s="56">
        <f>SUMIFS(tblActuals354[Team 2 GD],tblActuals354[Team 2],$CU19,tblActuals354[Team 1],EF$3)+SUMIFS(tblActuals354[Team 1 GD],tblActuals354[Team 1],$CU19,tblActuals354[Team 2],EF$3)</f>
        <v>0</v>
      </c>
      <c r="EG19" s="56">
        <f>SUMIFS(tblActuals354[Team 2 GD],tblActuals354[Team 2],$CU19,tblActuals354[Team 1],EG$3)+SUMIFS(tblActuals354[Team 1 GD],tblActuals354[Team 1],$CU19,tblActuals354[Team 2],EG$3)</f>
        <v>0</v>
      </c>
      <c r="EH19" s="56">
        <f>SUMIFS(tblActuals354[Team 2 GD],tblActuals354[Team 2],$CU19,tblActuals354[Team 1],EH$3)+SUMIFS(tblActuals354[Team 1 GD],tblActuals354[Team 1],$CU19,tblActuals354[Team 2],EH$3)</f>
        <v>0</v>
      </c>
      <c r="EI19" s="56">
        <f>SUMIFS(tblActuals354[Team 2 GD],tblActuals354[Team 2],$CU19,tblActuals354[Team 1],EI$3)+SUMIFS(tblActuals354[Team 1 GD],tblActuals354[Team 1],$CU19,tblActuals354[Team 2],EI$3)</f>
        <v>0</v>
      </c>
      <c r="EJ19" s="56">
        <f>SUMIFS(tblActuals354[Team 2 GD],tblActuals354[Team 2],$CU19,tblActuals354[Team 1],EJ$3)+SUMIFS(tblActuals354[Team 1 GD],tblActuals354[Team 1],$CU19,tblActuals354[Team 2],EJ$3)</f>
        <v>0</v>
      </c>
      <c r="EK19" s="56">
        <f>SUMIFS(tblActuals354[Team 2 GD],tblActuals354[Team 2],$CU19,tblActuals354[Team 1],EK$3)+SUMIFS(tblActuals354[Team 1 GD],tblActuals354[Team 1],$CU19,tblActuals354[Team 2],EK$3)</f>
        <v>0</v>
      </c>
      <c r="EL19" s="56">
        <f>SUMIFS(tblActuals354[Team 2 GD],tblActuals354[Team 2],$CU19,tblActuals354[Team 1],EL$3)+SUMIFS(tblActuals354[Team 1 GD],tblActuals354[Team 1],$CU19,tblActuals354[Team 2],EL$3)</f>
        <v>0</v>
      </c>
      <c r="EM19" s="56">
        <f>SUMIFS(tblActuals354[Team 2 GD],tblActuals354[Team 2],$CU19,tblActuals354[Team 1],EM$3)+SUMIFS(tblActuals354[Team 1 GD],tblActuals354[Team 1],$CU19,tblActuals354[Team 2],EM$3)</f>
        <v>0</v>
      </c>
      <c r="EN19" s="56">
        <f>SUMIFS(tblActuals354[Team 2 GD],tblActuals354[Team 2],$CU19,tblActuals354[Team 1],EN$3)+SUMIFS(tblActuals354[Team 1 GD],tblActuals354[Team 1],$CU19,tblActuals354[Team 2],EN$3)</f>
        <v>0</v>
      </c>
      <c r="EO19" s="56">
        <f>SUMIFS(tblActuals354[Team 2 GD],tblActuals354[Team 2],$CU19,tblActuals354[Team 1],EO$3)+SUMIFS(tblActuals354[Team 1 GD],tblActuals354[Team 1],$CU19,tblActuals354[Team 2],EO$3)</f>
        <v>0</v>
      </c>
      <c r="EP19" s="56">
        <f>SUMIFS(tblActuals354[Team 2 GD],tblActuals354[Team 2],$CU19,tblActuals354[Team 1],EP$3)+SUMIFS(tblActuals354[Team 1 GD],tblActuals354[Team 1],$CU19,tblActuals354[Team 2],EP$3)</f>
        <v>0</v>
      </c>
      <c r="EQ19" s="56">
        <f>SUMIFS(tblActuals354[Team 2 GD],tblActuals354[Team 2],$CU19,tblActuals354[Team 1],EQ$3)+SUMIFS(tblActuals354[Team 1 GD],tblActuals354[Team 1],$CU19,tblActuals354[Team 2],EQ$3)</f>
        <v>0</v>
      </c>
      <c r="ER19" s="56">
        <f>SUMIFS(tblActuals354[Team 2 GD],tblActuals354[Team 2],$CU19,tblActuals354[Team 1],ER$3)+SUMIFS(tblActuals354[Team 1 GD],tblActuals354[Team 1],$CU19,tblActuals354[Team 2],ER$3)</f>
        <v>0</v>
      </c>
      <c r="ES19" s="56">
        <f>SUMIFS(tblActuals354[Team 2 GD],tblActuals354[Team 2],$CU19,tblActuals354[Team 1],ES$3)+SUMIFS(tblActuals354[Team 1 GD],tblActuals354[Team 1],$CU19,tblActuals354[Team 2],ES$3)</f>
        <v>0</v>
      </c>
      <c r="ET19" s="56">
        <f>SUMIFS(tblActuals354[Team 2 GD],tblActuals354[Team 2],$CU19,tblActuals354[Team 1],ET$3)+SUMIFS(tblActuals354[Team 1 GD],tblActuals354[Team 1],$CU19,tblActuals354[Team 2],ET$3)</f>
        <v>0</v>
      </c>
      <c r="EU19" s="56">
        <f>SUMIFS(tblActuals354[Team 2 GD],tblActuals354[Team 2],$CU19,tblActuals354[Team 1],EU$3)+SUMIFS(tblActuals354[Team 1 GD],tblActuals354[Team 1],$CU19,tblActuals354[Team 2],EU$3)</f>
        <v>0</v>
      </c>
      <c r="EV19" s="56">
        <f>SUMIFS(tblActuals354[Team 2 GD],tblActuals354[Team 2],$CU19,tblActuals354[Team 1],EV$3)+SUMIFS(tblActuals354[Team 1 GD],tblActuals354[Team 1],$CU19,tblActuals354[Team 2],EV$3)</f>
        <v>0</v>
      </c>
      <c r="EW19" s="56">
        <f>SUMIFS(tblActuals354[Team 2 GD],tblActuals354[Team 2],$CU19,tblActuals354[Team 1],EW$3)+SUMIFS(tblActuals354[Team 1 GD],tblActuals354[Team 1],$CU19,tblActuals354[Team 2],EW$3)</f>
        <v>0</v>
      </c>
      <c r="EX19" s="56">
        <f>SUMIFS(tblActuals354[Team 2 GD],tblActuals354[Team 2],$CU19,tblActuals354[Team 1],EX$3)+SUMIFS(tblActuals354[Team 1 GD],tblActuals354[Team 1],$CU19,tblActuals354[Team 2],EX$3)</f>
        <v>0</v>
      </c>
      <c r="EY19" s="56">
        <f>SUMIFS(tblActuals354[Team 2 GD],tblActuals354[Team 2],$CU19,tblActuals354[Team 1],EY$3)+SUMIFS(tblActuals354[Team 1 GD],tblActuals354[Team 1],$CU19,tblActuals354[Team 2],EY$3)</f>
        <v>0</v>
      </c>
      <c r="EZ19" s="56">
        <f>SUMIFS(tblActuals354[Team 2 GD],tblActuals354[Team 2],$CU19,tblActuals354[Team 1],EZ$3)+SUMIFS(tblActuals354[Team 1 GD],tblActuals354[Team 1],$CU19,tblActuals354[Team 2],EZ$3)</f>
        <v>0</v>
      </c>
      <c r="FA19" s="56">
        <f>SUMIFS(tblActuals354[Team 2 GD],tblActuals354[Team 2],$CU19,tblActuals354[Team 1],FA$3)+SUMIFS(tblActuals354[Team 1 GD],tblActuals354[Team 1],$CU19,tblActuals354[Team 2],FA$3)</f>
        <v>0</v>
      </c>
      <c r="FB19" s="57"/>
      <c r="FC19" s="57"/>
      <c r="FD19" s="57"/>
      <c r="FE19" s="57"/>
      <c r="FF19" s="57"/>
      <c r="FG19" s="57"/>
      <c r="FH19" s="57"/>
      <c r="FI19" s="57"/>
      <c r="FJ19" s="4"/>
      <c r="FK19" s="4" t="s">
        <v>26</v>
      </c>
      <c r="FL19" s="56">
        <f>SUMIFS(tblActuals354[Team 2 Goals],tblActuals354[Team 2],$CU19,tblActuals354[Team 1],FL$3)+SUMIFS(tblActuals354[Team 1 Goals],tblActuals354[Team 1],$CU19,tblActuals354[Team 2],FL$3)</f>
        <v>0</v>
      </c>
      <c r="FM19" s="56">
        <f>SUMIFS(tblActuals354[Team 2 Goals],tblActuals354[Team 2],$CU19,tblActuals354[Team 1],FM$3)+SUMIFS(tblActuals354[Team 1 Goals],tblActuals354[Team 1],$CU19,tblActuals354[Team 2],FM$3)</f>
        <v>0</v>
      </c>
      <c r="FN19" s="56">
        <f>SUMIFS(tblActuals354[Team 2 Goals],tblActuals354[Team 2],$CU19,tblActuals354[Team 1],FN$3)+SUMIFS(tblActuals354[Team 1 Goals],tblActuals354[Team 1],$CU19,tblActuals354[Team 2],FN$3)</f>
        <v>0</v>
      </c>
      <c r="FO19" s="56">
        <f>SUMIFS(tblActuals354[Team 2 Goals],tblActuals354[Team 2],$CU19,tblActuals354[Team 1],FO$3)+SUMIFS(tblActuals354[Team 1 Goals],tblActuals354[Team 1],$CU19,tblActuals354[Team 2],FO$3)</f>
        <v>0</v>
      </c>
      <c r="FP19" s="56">
        <f>SUMIFS(tblActuals354[Team 2 Goals],tblActuals354[Team 2],$CU19,tblActuals354[Team 1],FP$3)+SUMIFS(tblActuals354[Team 1 Goals],tblActuals354[Team 1],$CU19,tblActuals354[Team 2],FP$3)</f>
        <v>0</v>
      </c>
      <c r="FQ19" s="56">
        <f>SUMIFS(tblActuals354[Team 2 Goals],tblActuals354[Team 2],$CU19,tblActuals354[Team 1],FQ$3)+SUMIFS(tblActuals354[Team 1 Goals],tblActuals354[Team 1],$CU19,tblActuals354[Team 2],FQ$3)</f>
        <v>0</v>
      </c>
      <c r="FR19" s="56">
        <f>SUMIFS(tblActuals354[Team 2 Goals],tblActuals354[Team 2],$CU19,tblActuals354[Team 1],FR$3)+SUMIFS(tblActuals354[Team 1 Goals],tblActuals354[Team 1],$CU19,tblActuals354[Team 2],FR$3)</f>
        <v>0</v>
      </c>
      <c r="FS19" s="56">
        <f>SUMIFS(tblActuals354[Team 2 Goals],tblActuals354[Team 2],$CU19,tblActuals354[Team 1],FS$3)+SUMIFS(tblActuals354[Team 1 Goals],tblActuals354[Team 1],$CU19,tblActuals354[Team 2],FS$3)</f>
        <v>0</v>
      </c>
      <c r="FT19" s="56">
        <f>SUMIFS(tblActuals354[Team 2 Goals],tblActuals354[Team 2],$CU19,tblActuals354[Team 1],FT$3)+SUMIFS(tblActuals354[Team 1 Goals],tblActuals354[Team 1],$CU19,tblActuals354[Team 2],FT$3)</f>
        <v>0</v>
      </c>
      <c r="FU19" s="56">
        <f>SUMIFS(tblActuals354[Team 2 Goals],tblActuals354[Team 2],$CU19,tblActuals354[Team 1],FU$3)+SUMIFS(tblActuals354[Team 1 Goals],tblActuals354[Team 1],$CU19,tblActuals354[Team 2],FU$3)</f>
        <v>0</v>
      </c>
      <c r="FV19" s="56">
        <f>SUMIFS(tblActuals354[Team 2 Goals],tblActuals354[Team 2],$CU19,tblActuals354[Team 1],FV$3)+SUMIFS(tblActuals354[Team 1 Goals],tblActuals354[Team 1],$CU19,tblActuals354[Team 2],FV$3)</f>
        <v>0</v>
      </c>
      <c r="FW19" s="56">
        <f>SUMIFS(tblActuals354[Team 2 Goals],tblActuals354[Team 2],$CU19,tblActuals354[Team 1],FW$3)+SUMIFS(tblActuals354[Team 1 Goals],tblActuals354[Team 1],$CU19,tblActuals354[Team 2],FW$3)</f>
        <v>0</v>
      </c>
      <c r="FX19" s="56">
        <f>SUMIFS(tblActuals354[Team 2 Goals],tblActuals354[Team 2],$CU19,tblActuals354[Team 1],FX$3)+SUMIFS(tblActuals354[Team 1 Goals],tblActuals354[Team 1],$CU19,tblActuals354[Team 2],FX$3)</f>
        <v>0</v>
      </c>
      <c r="FY19" s="56">
        <f>SUMIFS(tblActuals354[Team 2 Goals],tblActuals354[Team 2],$CU19,tblActuals354[Team 1],FY$3)+SUMIFS(tblActuals354[Team 1 Goals],tblActuals354[Team 1],$CU19,tblActuals354[Team 2],FY$3)</f>
        <v>0</v>
      </c>
      <c r="FZ19" s="56">
        <f>SUMIFS(tblActuals354[Team 2 Goals],tblActuals354[Team 2],$CU19,tblActuals354[Team 1],FZ$3)+SUMIFS(tblActuals354[Team 1 Goals],tblActuals354[Team 1],$CU19,tblActuals354[Team 2],FZ$3)</f>
        <v>0</v>
      </c>
      <c r="GA19" s="56">
        <f>SUMIFS(tblActuals354[Team 2 Goals],tblActuals354[Team 2],$CU19,tblActuals354[Team 1],GA$3)+SUMIFS(tblActuals354[Team 1 Goals],tblActuals354[Team 1],$CU19,tblActuals354[Team 2],GA$3)</f>
        <v>0</v>
      </c>
      <c r="GB19" s="56">
        <f>SUMIFS(tblActuals354[Team 2 Goals],tblActuals354[Team 2],$CU19,tblActuals354[Team 1],GB$3)+SUMIFS(tblActuals354[Team 1 Goals],tblActuals354[Team 1],$CU19,tblActuals354[Team 2],GB$3)</f>
        <v>0</v>
      </c>
      <c r="GC19" s="56">
        <f>SUMIFS(tblActuals354[Team 2 Goals],tblActuals354[Team 2],$CU19,tblActuals354[Team 1],GC$3)+SUMIFS(tblActuals354[Team 1 Goals],tblActuals354[Team 1],$CU19,tblActuals354[Team 2],GC$3)</f>
        <v>0</v>
      </c>
      <c r="GD19" s="56">
        <f>SUMIFS(tblActuals354[Team 2 Goals],tblActuals354[Team 2],$CU19,tblActuals354[Team 1],GD$3)+SUMIFS(tblActuals354[Team 1 Goals],tblActuals354[Team 1],$CU19,tblActuals354[Team 2],GD$3)</f>
        <v>0</v>
      </c>
      <c r="GE19" s="56">
        <f>SUMIFS(tblActuals354[Team 2 Goals],tblActuals354[Team 2],$CU19,tblActuals354[Team 1],GE$3)+SUMIFS(tblActuals354[Team 1 Goals],tblActuals354[Team 1],$CU19,tblActuals354[Team 2],GE$3)</f>
        <v>0</v>
      </c>
      <c r="GF19" s="56">
        <f>SUMIFS(tblActuals354[Team 2 Goals],tblActuals354[Team 2],$CU19,tblActuals354[Team 1],GF$3)+SUMIFS(tblActuals354[Team 1 Goals],tblActuals354[Team 1],$CU19,tblActuals354[Team 2],GF$3)</f>
        <v>0</v>
      </c>
      <c r="GG19" s="56">
        <f>SUMIFS(tblActuals354[Team 2 Goals],tblActuals354[Team 2],$CU19,tblActuals354[Team 1],GG$3)+SUMIFS(tblActuals354[Team 1 Goals],tblActuals354[Team 1],$CU19,tblActuals354[Team 2],GG$3)</f>
        <v>0</v>
      </c>
      <c r="GH19" s="56">
        <f>SUMIFS(tblActuals354[Team 2 Goals],tblActuals354[Team 2],$CU19,tblActuals354[Team 1],GH$3)+SUMIFS(tblActuals354[Team 1 Goals],tblActuals354[Team 1],$CU19,tblActuals354[Team 2],GH$3)</f>
        <v>0</v>
      </c>
      <c r="GI19" s="56">
        <f>SUMIFS(tblActuals354[Team 2 Goals],tblActuals354[Team 2],$CU19,tblActuals354[Team 1],GI$3)+SUMIFS(tblActuals354[Team 1 Goals],tblActuals354[Team 1],$CU19,tblActuals354[Team 2],GI$3)</f>
        <v>0</v>
      </c>
      <c r="GJ19" s="57"/>
      <c r="GK19" s="57"/>
      <c r="GL19" s="37"/>
      <c r="GM19" s="37"/>
      <c r="GN19" s="37"/>
      <c r="GO19" s="37"/>
      <c r="GP19" s="37"/>
      <c r="GQ19" s="37"/>
      <c r="GR19" s="75"/>
      <c r="GS19" s="156"/>
      <c r="GT19" s="156"/>
      <c r="GU19" s="75"/>
      <c r="GV19" s="75"/>
      <c r="GW19" s="75"/>
      <c r="GX19" s="75"/>
      <c r="GY19" s="75"/>
      <c r="GZ19" s="75"/>
      <c r="HB19" s="4" t="str">
        <f t="shared" si="12"/>
        <v>CDEF</v>
      </c>
      <c r="HC19" s="45"/>
      <c r="HD19" s="45"/>
      <c r="HE19" s="44" t="s">
        <v>6</v>
      </c>
      <c r="HF19" s="44" t="s">
        <v>7</v>
      </c>
      <c r="HG19" s="44" t="s">
        <v>12</v>
      </c>
      <c r="HH19" s="44" t="s">
        <v>45</v>
      </c>
      <c r="HI19" s="178"/>
      <c r="HJ19" s="45" t="s">
        <v>154</v>
      </c>
      <c r="HK19" s="45" t="s">
        <v>153</v>
      </c>
      <c r="HL19" s="45" t="s">
        <v>150</v>
      </c>
      <c r="HM19" s="45" t="s">
        <v>152</v>
      </c>
    </row>
    <row r="20" spans="1:221" s="11" customFormat="1" ht="30" customHeight="1" x14ac:dyDescent="0.25">
      <c r="A20" s="20"/>
      <c r="B20" s="122">
        <v>17</v>
      </c>
      <c r="C20" s="122" t="s">
        <v>6</v>
      </c>
      <c r="D20" s="123">
        <v>45463</v>
      </c>
      <c r="E20" s="122" t="s">
        <v>86</v>
      </c>
      <c r="F20" s="124">
        <v>0.75</v>
      </c>
      <c r="G20" s="125">
        <f t="shared" si="11"/>
        <v>45463.5</v>
      </c>
      <c r="H20" s="122" t="s">
        <v>105</v>
      </c>
      <c r="I20" s="126"/>
      <c r="J20" s="118"/>
      <c r="K20" s="118"/>
      <c r="L20" s="174">
        <f>IF(I20="",0,IFERROR(IF(SCORING.RULES!$C$8="No",1,((VLOOKUP($B20,ACTUALS!$B$4:$L$100,7,FALSE)=$H20)+(VLOOKUP($B20,ACTUALS!$B$4:$L$100,7,FALSE)=S20)))*(M20+N20+O20+P20+Q20),0))+$R20</f>
        <v>0</v>
      </c>
      <c r="M20" s="168">
        <f>IFERROR(IF($B20="","",IF(U20=INDEX(ACTUALS!$AA$4:$AA$100,MATCH($B20,ACTUALS!$B$4:$B$100,0),1),CorrectScore,0)),0)</f>
        <v>0</v>
      </c>
      <c r="N20" s="157" t="str">
        <f>IFERROR(IF(I20="","",IF(INDEX(ACTUALS!$AB$4:$AB$100,MATCH($B20,ACTUALS!$B$4:$B$100,0),1)=(AB20+AC20+AH20+AI20),CorrectNumberofGoals,0)),0)</f>
        <v/>
      </c>
      <c r="O20" s="157"/>
      <c r="P20" s="157">
        <f>IFERROR(IF(B20="","",IF(INDEX(ACTUALS!$L$4:$L$100,MATCH($B20,ACTUALS!$B$4:$B$100,0),1)=W20,CorrectResult,0)),0)</f>
        <v>3</v>
      </c>
      <c r="Q20" s="157"/>
      <c r="R20" s="157"/>
      <c r="S20" s="157" t="str">
        <f t="shared" si="0"/>
        <v/>
      </c>
      <c r="T20" s="157"/>
      <c r="U20" s="157" t="str">
        <f t="shared" si="1"/>
        <v/>
      </c>
      <c r="V20" s="157" t="str">
        <f t="shared" si="2"/>
        <v/>
      </c>
      <c r="W20" s="119" t="str">
        <f>IF(tblActuals354[[#This Row],[SCORE]]="","",IF(AB20=AC20,"Draw",IF(AB20&gt;AC20,X20,Y20)))</f>
        <v/>
      </c>
      <c r="X20" s="120" t="str">
        <f>IF(tblActuals354[[#This Row],[TEAMS]]="","",LEFT(H20,FIND(" -",H20,1)-1))</f>
        <v>Denmark</v>
      </c>
      <c r="Y20" s="120" t="str">
        <f>IF(tblActuals354[[#This Row],[TEAMS]]="","",MID(H20,FIND("-",H20,1)+2,LEN(H20)-FIND("-",H20,1)+2))</f>
        <v>England</v>
      </c>
      <c r="Z20" s="120" t="str">
        <f>IF(tblActuals354[[#This Row],[Team 1 Goals]]&gt;tblActuals354[[#This Row],[Team 2 Goals]],tblActuals354[[#This Row],[Team 1]],IF(tblActuals354[[#This Row],[Team 2 Goals]]&gt;tblActuals354[[#This Row],[Team 1 Goals]],tblActuals354[[#This Row],[Team 2]],""))</f>
        <v/>
      </c>
      <c r="AA20" s="120" t="str">
        <f>IF(tblActuals354[[#This Row],[Winner]]=tblActuals354[[#This Row],[Team 1]],tblActuals354[[#This Row],[Team 2]],IF(tblActuals354[[#This Row],[Winner]]=tblActuals354[[#This Row],[Team 2]],tblActuals354[[#This Row],[Team 1]],""))</f>
        <v/>
      </c>
      <c r="AB20" s="120" t="str">
        <f>IF(tblActuals354[[#This Row],[SCORE]]="","",LEFT(I20,FIND(":",I20,1)-1)*1)</f>
        <v/>
      </c>
      <c r="AC20" s="120" t="str">
        <f>IF(tblActuals354[[#This Row],[SCORE]]="","",MID(I20,FIND(":",I20,1)+1,LEN(I20)-FIND(":",I20,1)+1)*1)</f>
        <v/>
      </c>
      <c r="AD20" s="120" t="str">
        <f>IF(OR(tblActuals354[[#This Row],[Team 1 Goals]]="",tblActuals354[[#This Row],[Team 2 Goals]]=""),"",tblActuals354[[#This Row],[Team 1 Goals]]-tblActuals354[[#This Row],[Team 2 Goals]])</f>
        <v/>
      </c>
      <c r="AE20" s="120" t="str">
        <f>IF(OR(tblActuals354[[#This Row],[Team 1 Goals]]="",tblActuals354[[#This Row],[Team 2 Goals]]=""),"",tblActuals354[[#This Row],[Team 2 Goals]]-tblActuals354[[#This Row],[Team 1 Goals]])</f>
        <v/>
      </c>
      <c r="AF20" s="120" t="str">
        <f>IF(tblActuals354[[#This Row],[SCORE]]="","",IF(tblActuals354[[#This Row],[WINNER / RESULT]]="Draw",1,IF(tblActuals354[[#This Row],[WINNER / RESULT]]=tblActuals354[[#This Row],[Team 1]],3,0)))</f>
        <v/>
      </c>
      <c r="AG20" s="120" t="str">
        <f>IF(tblActuals354[[#This Row],[SCORE]]="","",IF(tblActuals354[[#This Row],[WINNER / RESULT]]="Draw",1,IF(tblActuals354[[#This Row],[WINNER / RESULT]]=tblActuals354[[#This Row],[Team 2]],3,0)))</f>
        <v/>
      </c>
      <c r="AH20" s="121"/>
      <c r="AI20" s="121"/>
      <c r="AJ20" s="121"/>
      <c r="AK20" s="121"/>
      <c r="AL20" s="120" t="e">
        <f>tblActuals354[[#This Row],[Team 1 Goals]]+tblActuals354[[#This Row],[Team 1 ET Goals]]&amp;":"&amp;tblActuals354[[#This Row],[Team 2 Goals]]+tblActuals354[[#This Row],[Team 2 ET Goals]]</f>
        <v>#VALUE!</v>
      </c>
      <c r="AM20" s="120" t="e">
        <f>+tblActuals354[[#This Row],[Team 1 Goals]]+tblActuals354[[#This Row],[Team 2 Goals]]</f>
        <v>#VALUE!</v>
      </c>
      <c r="AN20" s="161">
        <f t="shared" si="3"/>
        <v>45463</v>
      </c>
      <c r="AT20" s="77" t="s">
        <v>6</v>
      </c>
      <c r="AU20" s="142">
        <v>3</v>
      </c>
      <c r="AV20" s="143" t="str">
        <f ca="1">IFERROR(INDEX(BD:BD,MATCH("3"&amp;AT20,BN:BN,0),1),"")</f>
        <v>Serbia</v>
      </c>
      <c r="AW20" s="143" t="str">
        <f ca="1">IF(AV20="","",VLOOKUP(AV20,BD:BI,2,FALSE)&amp;"-"&amp;VLOOKUP(AV20,BD:BI,3,FALSE)&amp;"-"&amp;VLOOKUP(AV20,BD:BI,4,FALSE))</f>
        <v>0-0-0</v>
      </c>
      <c r="AX20" s="143">
        <f ca="1">IF(AV20="","",VLOOKUP(AV20,BD:BK,8,FALSE))</f>
        <v>0</v>
      </c>
      <c r="AY20" s="144">
        <f ca="1">IF(AV20="","",VLOOKUP(AV20,BD:BN,5,FALSE))</f>
        <v>0</v>
      </c>
      <c r="AZ20" s="75" t="str">
        <f ca="1">IF(INDEX($AU$43:$AU$48,MATCH(AV20,$AV$43:$AV$48,0),1)&lt;=4,"X","")</f>
        <v>X</v>
      </c>
      <c r="BA20" s="4"/>
      <c r="BB20" s="4"/>
      <c r="BC20" s="4" t="s">
        <v>7</v>
      </c>
      <c r="BD20" s="4" t="s">
        <v>26</v>
      </c>
      <c r="BE20" s="4">
        <f>COUNTIF(tblActuals354[Winner],BD20)</f>
        <v>0</v>
      </c>
      <c r="BF20" s="4">
        <f>COUNTIFS(tblActuals354[Team 2],BD20,tblActuals354[WINNER / RESULT],"Draw")+COUNTIFS(tblActuals354[Team 1],BD20,tblActuals354[WINNER / RESULT],"Draw")</f>
        <v>0</v>
      </c>
      <c r="BG20" s="4">
        <f>COUNTIF(tblActuals354[Loser],BD20)</f>
        <v>0</v>
      </c>
      <c r="BH20" s="4">
        <f>BF20+(3*BE20)</f>
        <v>0</v>
      </c>
      <c r="BI20" s="4">
        <f>SUMIFS(tblActuals354[Team 1 Goals],tblActuals354[Team 1],BD20)+SUMIFS(tblActuals354[Team 2 Goals],tblActuals354[Team 2],BD20)</f>
        <v>0</v>
      </c>
      <c r="BJ20" s="4">
        <f>SUMIFS(tblActuals354[Team 2 Goals],tblActuals354[Team 1],BD20)+SUMIFS(tblActuals354[Team 1 Goals],tblActuals354[Team 2],BD20)</f>
        <v>0</v>
      </c>
      <c r="BK20" s="4">
        <f>BI20-BJ20</f>
        <v>0</v>
      </c>
      <c r="BL20" s="4">
        <f ca="1">RANK(BY20,$BY$19:$BY$22,1)</f>
        <v>2</v>
      </c>
      <c r="BM20" s="4" t="str">
        <f t="shared" si="4"/>
        <v/>
      </c>
      <c r="BN20" s="4" t="str">
        <f ca="1">IF(BM20="",BL20&amp;BC20,BM20&amp;BC20)</f>
        <v>2D</v>
      </c>
      <c r="BO20" s="4">
        <f>RANK(BH20,$BH$19:$BH$22,0)</f>
        <v>1</v>
      </c>
      <c r="BP20" s="4" cm="1">
        <f t="array" aca="1" ref="BP20" ca="1">SUMPRODUCT((OFFSET($CV$3:$EA$3,MATCH($BD20,$CU$4:$CU$35,0),0))*((IF($BO21=$BO20,$CV$3:$EA$3=$BD21,0))+(IF($BO22=$BO20,$CV$3:$EA$3=$BD22,0))+(IF($BO19=$BO20,$CV$3:$EA$3=$BD19,0))))</f>
        <v>0</v>
      </c>
      <c r="BQ20" s="4" cm="1">
        <f t="array" aca="1" ref="BQ20" ca="1">SUMPRODUCT((OFFSET($ED$3:$FI$3,MATCH($BD20,$EC$4:$EC$35,0),0))*((IF($BO21=$BO20,$ED$3:$FI$3=$BD21,0))+(IF($BO22=$BO20,$ED$3:$FI$3=$BD22,0))+(IF($BO19=$BO20,$ED$3:$FI$3=$BD19,0))))</f>
        <v>0</v>
      </c>
      <c r="BR20" s="4" cm="1">
        <f t="array" aca="1" ref="BR20" ca="1">SUMPRODUCT((OFFSET($FL$3:$GQ$3,MATCH($BD20,$FK$4:$FK$35,0),0))*((IF($BO21=$BO20,$FL$3:$GQ$3=$BD21,0))+(IF($BO22=$BO20,$FL$3:$GQ$3=$BD22,0))+(IF($BO19=$BO20,$FL$3:$GQ$3=$BD19,0))))</f>
        <v>0</v>
      </c>
      <c r="BS20" s="4" cm="1">
        <f t="array" aca="1" ref="BS20" ca="1">SUMPRODUCT((OFFSET($CV$3:$EA$3,MATCH($BD20,$CU$4:$CU$35,0),0))*((IF($BO21&lt;&gt;$BO20,$CV$3:$EA$3=$BD21,0))+(IF($BO22&lt;&gt;$BO20,$CV$3:$EA$3=$BD22,0))+(IF($BO19&lt;&gt;$BO20,$CV$3:$EA$3=$BD19,0))))</f>
        <v>0</v>
      </c>
      <c r="BT20" s="4" cm="1">
        <f t="array" aca="1" ref="BT20" ca="1">SUMPRODUCT((OFFSET($ED$3:$FI$3,MATCH($BD20,$EC$4:$EC$35,0),0))*((IF($BO21&lt;&gt;$BO20,$ED$3:$FI$3=$BD21,0))+(IF($BO22&lt;&gt;$BO20,$ED$3:$FI$3=$BD22,0))+(IF($BO19&lt;&gt;$BO20,$ED$3:$FI$3=$BD19,0))))</f>
        <v>0</v>
      </c>
      <c r="BU20" s="4" cm="1">
        <f t="array" aca="1" ref="BU20" ca="1">SUMPRODUCT((OFFSET($FL$3:$GQ$3,MATCH($BD20,$FK$4:$FK$35,0),0))*((IF($BO21&lt;&gt;$BO20,$FL$3:$GQ$3=$BD21,0))+(IF($BO22&lt;&gt;$BO20,$FL$3:$GQ$3=$BD22,0))+(IF($BO19&lt;&gt;$BO20,$FL$3:$GQ$3=$BD19,0))))</f>
        <v>0</v>
      </c>
      <c r="BV20" s="4">
        <f>BK20</f>
        <v>0</v>
      </c>
      <c r="BW20" s="4">
        <f>BI20</f>
        <v>0</v>
      </c>
      <c r="BX20" s="4">
        <f ca="1">(BP20/10)+(BQ20/100)+(BR20/1000)+(BT20/10000)+(BU20/100000)+(BV20/1000000)+(BW20/10000000)+(ROW(BS21)/100000000)</f>
        <v>2.1E-7</v>
      </c>
      <c r="BY20" s="4">
        <f ca="1">+BO20-BX20</f>
        <v>0.99999979000000006</v>
      </c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U20" s="4" t="s">
        <v>29</v>
      </c>
      <c r="CV20" s="56">
        <f>SUMIFS(tblActuals354[Team 2 Points],tblActuals354[Team 2],$CU20,tblActuals354[Team 1],CV$3)+SUMIFS(tblActuals354[Team 1 Points],tblActuals354[Team 1],$CU20,tblActuals354[Team 2],CV$3)</f>
        <v>0</v>
      </c>
      <c r="CW20" s="56">
        <f>SUMIFS(tblActuals354[Team 2 Points],tblActuals354[Team 2],$CU20,tblActuals354[Team 1],CW$3)+SUMIFS(tblActuals354[Team 1 Points],tblActuals354[Team 1],$CU20,tblActuals354[Team 2],CW$3)</f>
        <v>0</v>
      </c>
      <c r="CX20" s="56">
        <f>SUMIFS(tblActuals354[Team 2 Points],tblActuals354[Team 2],$CU20,tblActuals354[Team 1],CX$3)+SUMIFS(tblActuals354[Team 1 Points],tblActuals354[Team 1],$CU20,tblActuals354[Team 2],CX$3)</f>
        <v>0</v>
      </c>
      <c r="CY20" s="56">
        <f>SUMIFS(tblActuals354[Team 2 Points],tblActuals354[Team 2],$CU20,tblActuals354[Team 1],CY$3)+SUMIFS(tblActuals354[Team 1 Points],tblActuals354[Team 1],$CU20,tblActuals354[Team 2],CY$3)</f>
        <v>0</v>
      </c>
      <c r="CZ20" s="56">
        <f>SUMIFS(tblActuals354[Team 2 Points],tblActuals354[Team 2],$CU20,tblActuals354[Team 1],CZ$3)+SUMIFS(tblActuals354[Team 1 Points],tblActuals354[Team 1],$CU20,tblActuals354[Team 2],CZ$3)</f>
        <v>0</v>
      </c>
      <c r="DA20" s="56">
        <f>SUMIFS(tblActuals354[Team 2 Points],tblActuals354[Team 2],$CU20,tblActuals354[Team 1],DA$3)+SUMIFS(tblActuals354[Team 1 Points],tblActuals354[Team 1],$CU20,tblActuals354[Team 2],DA$3)</f>
        <v>0</v>
      </c>
      <c r="DB20" s="56">
        <f>SUMIFS(tblActuals354[Team 2 Points],tblActuals354[Team 2],$CU20,tblActuals354[Team 1],DB$3)+SUMIFS(tblActuals354[Team 1 Points],tblActuals354[Team 1],$CU20,tblActuals354[Team 2],DB$3)</f>
        <v>0</v>
      </c>
      <c r="DC20" s="56">
        <f>SUMIFS(tblActuals354[Team 2 Points],tblActuals354[Team 2],$CU20,tblActuals354[Team 1],DC$3)+SUMIFS(tblActuals354[Team 1 Points],tblActuals354[Team 1],$CU20,tblActuals354[Team 2],DC$3)</f>
        <v>0</v>
      </c>
      <c r="DD20" s="56">
        <f>SUMIFS(tblActuals354[Team 2 Points],tblActuals354[Team 2],$CU20,tblActuals354[Team 1],DD$3)+SUMIFS(tblActuals354[Team 1 Points],tblActuals354[Team 1],$CU20,tblActuals354[Team 2],DD$3)</f>
        <v>0</v>
      </c>
      <c r="DE20" s="56">
        <f>SUMIFS(tblActuals354[Team 2 Points],tblActuals354[Team 2],$CU20,tblActuals354[Team 1],DE$3)+SUMIFS(tblActuals354[Team 1 Points],tblActuals354[Team 1],$CU20,tblActuals354[Team 2],DE$3)</f>
        <v>0</v>
      </c>
      <c r="DF20" s="56">
        <f>SUMIFS(tblActuals354[Team 2 Points],tblActuals354[Team 2],$CU20,tblActuals354[Team 1],DF$3)+SUMIFS(tblActuals354[Team 1 Points],tblActuals354[Team 1],$CU20,tblActuals354[Team 2],DF$3)</f>
        <v>0</v>
      </c>
      <c r="DG20" s="56">
        <f>SUMIFS(tblActuals354[Team 2 Points],tblActuals354[Team 2],$CU20,tblActuals354[Team 1],DG$3)+SUMIFS(tblActuals354[Team 1 Points],tblActuals354[Team 1],$CU20,tblActuals354[Team 2],DG$3)</f>
        <v>0</v>
      </c>
      <c r="DH20" s="56">
        <f>SUMIFS(tblActuals354[Team 2 Points],tblActuals354[Team 2],$CU20,tblActuals354[Team 1],DH$3)+SUMIFS(tblActuals354[Team 1 Points],tblActuals354[Team 1],$CU20,tblActuals354[Team 2],DH$3)</f>
        <v>0</v>
      </c>
      <c r="DI20" s="56">
        <f>SUMIFS(tblActuals354[Team 2 Points],tblActuals354[Team 2],$CU20,tblActuals354[Team 1],DI$3)+SUMIFS(tblActuals354[Team 1 Points],tblActuals354[Team 1],$CU20,tblActuals354[Team 2],DI$3)</f>
        <v>0</v>
      </c>
      <c r="DJ20" s="56">
        <f>SUMIFS(tblActuals354[Team 2 Points],tblActuals354[Team 2],$CU20,tblActuals354[Team 1],DJ$3)+SUMIFS(tblActuals354[Team 1 Points],tblActuals354[Team 1],$CU20,tblActuals354[Team 2],DJ$3)</f>
        <v>0</v>
      </c>
      <c r="DK20" s="56">
        <f>SUMIFS(tblActuals354[Team 2 Points],tblActuals354[Team 2],$CU20,tblActuals354[Team 1],DK$3)+SUMIFS(tblActuals354[Team 1 Points],tblActuals354[Team 1],$CU20,tblActuals354[Team 2],DK$3)</f>
        <v>0</v>
      </c>
      <c r="DL20" s="56">
        <f>SUMIFS(tblActuals354[Team 2 Points],tblActuals354[Team 2],$CU20,tblActuals354[Team 1],DL$3)+SUMIFS(tblActuals354[Team 1 Points],tblActuals354[Team 1],$CU20,tblActuals354[Team 2],DL$3)</f>
        <v>0</v>
      </c>
      <c r="DM20" s="56">
        <f>SUMIFS(tblActuals354[Team 2 Points],tblActuals354[Team 2],$CU20,tblActuals354[Team 1],DM$3)+SUMIFS(tblActuals354[Team 1 Points],tblActuals354[Team 1],$CU20,tblActuals354[Team 2],DM$3)</f>
        <v>0</v>
      </c>
      <c r="DN20" s="56">
        <f>SUMIFS(tblActuals354[Team 2 Points],tblActuals354[Team 2],$CU20,tblActuals354[Team 1],DN$3)+SUMIFS(tblActuals354[Team 1 Points],tblActuals354[Team 1],$CU20,tblActuals354[Team 2],DN$3)</f>
        <v>0</v>
      </c>
      <c r="DO20" s="56">
        <f>SUMIFS(tblActuals354[Team 2 Points],tblActuals354[Team 2],$CU20,tblActuals354[Team 1],DO$3)+SUMIFS(tblActuals354[Team 1 Points],tblActuals354[Team 1],$CU20,tblActuals354[Team 2],DO$3)</f>
        <v>0</v>
      </c>
      <c r="DP20" s="56">
        <f>SUMIFS(tblActuals354[Team 2 Points],tblActuals354[Team 2],$CU20,tblActuals354[Team 1],DP$3)+SUMIFS(tblActuals354[Team 1 Points],tblActuals354[Team 1],$CU20,tblActuals354[Team 2],DP$3)</f>
        <v>0</v>
      </c>
      <c r="DQ20" s="56">
        <f>SUMIFS(tblActuals354[Team 2 Points],tblActuals354[Team 2],$CU20,tblActuals354[Team 1],DQ$3)+SUMIFS(tblActuals354[Team 1 Points],tblActuals354[Team 1],$CU20,tblActuals354[Team 2],DQ$3)</f>
        <v>0</v>
      </c>
      <c r="DR20" s="56">
        <f>SUMIFS(tblActuals354[Team 2 Points],tblActuals354[Team 2],$CU20,tblActuals354[Team 1],DR$3)+SUMIFS(tblActuals354[Team 1 Points],tblActuals354[Team 1],$CU20,tblActuals354[Team 2],DR$3)</f>
        <v>0</v>
      </c>
      <c r="DS20" s="56">
        <f>SUMIFS(tblActuals354[Team 2 Points],tblActuals354[Team 2],$CU20,tblActuals354[Team 1],DS$3)+SUMIFS(tblActuals354[Team 1 Points],tblActuals354[Team 1],$CU20,tblActuals354[Team 2],DS$3)</f>
        <v>0</v>
      </c>
      <c r="DT20" s="57"/>
      <c r="DU20" s="57"/>
      <c r="DV20" s="57"/>
      <c r="DW20" s="57"/>
      <c r="DX20" s="57"/>
      <c r="DY20" s="57"/>
      <c r="DZ20" s="57"/>
      <c r="EA20" s="57"/>
      <c r="EB20" s="4"/>
      <c r="EC20" s="4" t="s">
        <v>29</v>
      </c>
      <c r="ED20" s="56">
        <f>SUMIFS(tblActuals354[Team 2 GD],tblActuals354[Team 2],$CU20,tblActuals354[Team 1],ED$3)+SUMIFS(tblActuals354[Team 1 GD],tblActuals354[Team 1],$CU20,tblActuals354[Team 2],ED$3)</f>
        <v>0</v>
      </c>
      <c r="EE20" s="56">
        <f>SUMIFS(tblActuals354[Team 2 GD],tblActuals354[Team 2],$CU20,tblActuals354[Team 1],EE$3)+SUMIFS(tblActuals354[Team 1 GD],tblActuals354[Team 1],$CU20,tblActuals354[Team 2],EE$3)</f>
        <v>0</v>
      </c>
      <c r="EF20" s="56">
        <f>SUMIFS(tblActuals354[Team 2 GD],tblActuals354[Team 2],$CU20,tblActuals354[Team 1],EF$3)+SUMIFS(tblActuals354[Team 1 GD],tblActuals354[Team 1],$CU20,tblActuals354[Team 2],EF$3)</f>
        <v>0</v>
      </c>
      <c r="EG20" s="56">
        <f>SUMIFS(tblActuals354[Team 2 GD],tblActuals354[Team 2],$CU20,tblActuals354[Team 1],EG$3)+SUMIFS(tblActuals354[Team 1 GD],tblActuals354[Team 1],$CU20,tblActuals354[Team 2],EG$3)</f>
        <v>0</v>
      </c>
      <c r="EH20" s="56">
        <f>SUMIFS(tblActuals354[Team 2 GD],tblActuals354[Team 2],$CU20,tblActuals354[Team 1],EH$3)+SUMIFS(tblActuals354[Team 1 GD],tblActuals354[Team 1],$CU20,tblActuals354[Team 2],EH$3)</f>
        <v>0</v>
      </c>
      <c r="EI20" s="56">
        <f>SUMIFS(tblActuals354[Team 2 GD],tblActuals354[Team 2],$CU20,tblActuals354[Team 1],EI$3)+SUMIFS(tblActuals354[Team 1 GD],tblActuals354[Team 1],$CU20,tblActuals354[Team 2],EI$3)</f>
        <v>0</v>
      </c>
      <c r="EJ20" s="56">
        <f>SUMIFS(tblActuals354[Team 2 GD],tblActuals354[Team 2],$CU20,tblActuals354[Team 1],EJ$3)+SUMIFS(tblActuals354[Team 1 GD],tblActuals354[Team 1],$CU20,tblActuals354[Team 2],EJ$3)</f>
        <v>0</v>
      </c>
      <c r="EK20" s="56">
        <f>SUMIFS(tblActuals354[Team 2 GD],tblActuals354[Team 2],$CU20,tblActuals354[Team 1],EK$3)+SUMIFS(tblActuals354[Team 1 GD],tblActuals354[Team 1],$CU20,tblActuals354[Team 2],EK$3)</f>
        <v>0</v>
      </c>
      <c r="EL20" s="56">
        <f>SUMIFS(tblActuals354[Team 2 GD],tblActuals354[Team 2],$CU20,tblActuals354[Team 1],EL$3)+SUMIFS(tblActuals354[Team 1 GD],tblActuals354[Team 1],$CU20,tblActuals354[Team 2],EL$3)</f>
        <v>0</v>
      </c>
      <c r="EM20" s="56">
        <f>SUMIFS(tblActuals354[Team 2 GD],tblActuals354[Team 2],$CU20,tblActuals354[Team 1],EM$3)+SUMIFS(tblActuals354[Team 1 GD],tblActuals354[Team 1],$CU20,tblActuals354[Team 2],EM$3)</f>
        <v>0</v>
      </c>
      <c r="EN20" s="56">
        <f>SUMIFS(tblActuals354[Team 2 GD],tblActuals354[Team 2],$CU20,tblActuals354[Team 1],EN$3)+SUMIFS(tblActuals354[Team 1 GD],tblActuals354[Team 1],$CU20,tblActuals354[Team 2],EN$3)</f>
        <v>0</v>
      </c>
      <c r="EO20" s="56">
        <f>SUMIFS(tblActuals354[Team 2 GD],tblActuals354[Team 2],$CU20,tblActuals354[Team 1],EO$3)+SUMIFS(tblActuals354[Team 1 GD],tblActuals354[Team 1],$CU20,tblActuals354[Team 2],EO$3)</f>
        <v>0</v>
      </c>
      <c r="EP20" s="56">
        <f>SUMIFS(tblActuals354[Team 2 GD],tblActuals354[Team 2],$CU20,tblActuals354[Team 1],EP$3)+SUMIFS(tblActuals354[Team 1 GD],tblActuals354[Team 1],$CU20,tblActuals354[Team 2],EP$3)</f>
        <v>0</v>
      </c>
      <c r="EQ20" s="56">
        <f>SUMIFS(tblActuals354[Team 2 GD],tblActuals354[Team 2],$CU20,tblActuals354[Team 1],EQ$3)+SUMIFS(tblActuals354[Team 1 GD],tblActuals354[Team 1],$CU20,tblActuals354[Team 2],EQ$3)</f>
        <v>0</v>
      </c>
      <c r="ER20" s="56">
        <f>SUMIFS(tblActuals354[Team 2 GD],tblActuals354[Team 2],$CU20,tblActuals354[Team 1],ER$3)+SUMIFS(tblActuals354[Team 1 GD],tblActuals354[Team 1],$CU20,tblActuals354[Team 2],ER$3)</f>
        <v>0</v>
      </c>
      <c r="ES20" s="56">
        <f>SUMIFS(tblActuals354[Team 2 GD],tblActuals354[Team 2],$CU20,tblActuals354[Team 1],ES$3)+SUMIFS(tblActuals354[Team 1 GD],tblActuals354[Team 1],$CU20,tblActuals354[Team 2],ES$3)</f>
        <v>0</v>
      </c>
      <c r="ET20" s="56">
        <f>SUMIFS(tblActuals354[Team 2 GD],tblActuals354[Team 2],$CU20,tblActuals354[Team 1],ET$3)+SUMIFS(tblActuals354[Team 1 GD],tblActuals354[Team 1],$CU20,tblActuals354[Team 2],ET$3)</f>
        <v>0</v>
      </c>
      <c r="EU20" s="56">
        <f>SUMIFS(tblActuals354[Team 2 GD],tblActuals354[Team 2],$CU20,tblActuals354[Team 1],EU$3)+SUMIFS(tblActuals354[Team 1 GD],tblActuals354[Team 1],$CU20,tblActuals354[Team 2],EU$3)</f>
        <v>0</v>
      </c>
      <c r="EV20" s="56">
        <f>SUMIFS(tblActuals354[Team 2 GD],tblActuals354[Team 2],$CU20,tblActuals354[Team 1],EV$3)+SUMIFS(tblActuals354[Team 1 GD],tblActuals354[Team 1],$CU20,tblActuals354[Team 2],EV$3)</f>
        <v>0</v>
      </c>
      <c r="EW20" s="56">
        <f>SUMIFS(tblActuals354[Team 2 GD],tblActuals354[Team 2],$CU20,tblActuals354[Team 1],EW$3)+SUMIFS(tblActuals354[Team 1 GD],tblActuals354[Team 1],$CU20,tblActuals354[Team 2],EW$3)</f>
        <v>0</v>
      </c>
      <c r="EX20" s="56">
        <f>SUMIFS(tblActuals354[Team 2 GD],tblActuals354[Team 2],$CU20,tblActuals354[Team 1],EX$3)+SUMIFS(tblActuals354[Team 1 GD],tblActuals354[Team 1],$CU20,tblActuals354[Team 2],EX$3)</f>
        <v>0</v>
      </c>
      <c r="EY20" s="56">
        <f>SUMIFS(tblActuals354[Team 2 GD],tblActuals354[Team 2],$CU20,tblActuals354[Team 1],EY$3)+SUMIFS(tblActuals354[Team 1 GD],tblActuals354[Team 1],$CU20,tblActuals354[Team 2],EY$3)</f>
        <v>0</v>
      </c>
      <c r="EZ20" s="56">
        <f>SUMIFS(tblActuals354[Team 2 GD],tblActuals354[Team 2],$CU20,tblActuals354[Team 1],EZ$3)+SUMIFS(tblActuals354[Team 1 GD],tblActuals354[Team 1],$CU20,tblActuals354[Team 2],EZ$3)</f>
        <v>0</v>
      </c>
      <c r="FA20" s="56">
        <f>SUMIFS(tblActuals354[Team 2 GD],tblActuals354[Team 2],$CU20,tblActuals354[Team 1],FA$3)+SUMIFS(tblActuals354[Team 1 GD],tblActuals354[Team 1],$CU20,tblActuals354[Team 2],FA$3)</f>
        <v>0</v>
      </c>
      <c r="FB20" s="57"/>
      <c r="FC20" s="57"/>
      <c r="FD20" s="57"/>
      <c r="FE20" s="57"/>
      <c r="FF20" s="57"/>
      <c r="FG20" s="57"/>
      <c r="FH20" s="57"/>
      <c r="FI20" s="57"/>
      <c r="FJ20" s="4"/>
      <c r="FK20" s="4" t="s">
        <v>29</v>
      </c>
      <c r="FL20" s="56">
        <f>SUMIFS(tblActuals354[Team 2 Goals],tblActuals354[Team 2],$CU20,tblActuals354[Team 1],FL$3)+SUMIFS(tblActuals354[Team 1 Goals],tblActuals354[Team 1],$CU20,tblActuals354[Team 2],FL$3)</f>
        <v>0</v>
      </c>
      <c r="FM20" s="56">
        <f>SUMIFS(tblActuals354[Team 2 Goals],tblActuals354[Team 2],$CU20,tblActuals354[Team 1],FM$3)+SUMIFS(tblActuals354[Team 1 Goals],tblActuals354[Team 1],$CU20,tblActuals354[Team 2],FM$3)</f>
        <v>0</v>
      </c>
      <c r="FN20" s="56">
        <f>SUMIFS(tblActuals354[Team 2 Goals],tblActuals354[Team 2],$CU20,tblActuals354[Team 1],FN$3)+SUMIFS(tblActuals354[Team 1 Goals],tblActuals354[Team 1],$CU20,tblActuals354[Team 2],FN$3)</f>
        <v>0</v>
      </c>
      <c r="FO20" s="56">
        <f>SUMIFS(tblActuals354[Team 2 Goals],tblActuals354[Team 2],$CU20,tblActuals354[Team 1],FO$3)+SUMIFS(tblActuals354[Team 1 Goals],tblActuals354[Team 1],$CU20,tblActuals354[Team 2],FO$3)</f>
        <v>0</v>
      </c>
      <c r="FP20" s="56">
        <f>SUMIFS(tblActuals354[Team 2 Goals],tblActuals354[Team 2],$CU20,tblActuals354[Team 1],FP$3)+SUMIFS(tblActuals354[Team 1 Goals],tblActuals354[Team 1],$CU20,tblActuals354[Team 2],FP$3)</f>
        <v>0</v>
      </c>
      <c r="FQ20" s="56">
        <f>SUMIFS(tblActuals354[Team 2 Goals],tblActuals354[Team 2],$CU20,tblActuals354[Team 1],FQ$3)+SUMIFS(tblActuals354[Team 1 Goals],tblActuals354[Team 1],$CU20,tblActuals354[Team 2],FQ$3)</f>
        <v>0</v>
      </c>
      <c r="FR20" s="56">
        <f>SUMIFS(tblActuals354[Team 2 Goals],tblActuals354[Team 2],$CU20,tblActuals354[Team 1],FR$3)+SUMIFS(tblActuals354[Team 1 Goals],tblActuals354[Team 1],$CU20,tblActuals354[Team 2],FR$3)</f>
        <v>0</v>
      </c>
      <c r="FS20" s="56">
        <f>SUMIFS(tblActuals354[Team 2 Goals],tblActuals354[Team 2],$CU20,tblActuals354[Team 1],FS$3)+SUMIFS(tblActuals354[Team 1 Goals],tblActuals354[Team 1],$CU20,tblActuals354[Team 2],FS$3)</f>
        <v>0</v>
      </c>
      <c r="FT20" s="56">
        <f>SUMIFS(tblActuals354[Team 2 Goals],tblActuals354[Team 2],$CU20,tblActuals354[Team 1],FT$3)+SUMIFS(tblActuals354[Team 1 Goals],tblActuals354[Team 1],$CU20,tblActuals354[Team 2],FT$3)</f>
        <v>0</v>
      </c>
      <c r="FU20" s="56">
        <f>SUMIFS(tblActuals354[Team 2 Goals],tblActuals354[Team 2],$CU20,tblActuals354[Team 1],FU$3)+SUMIFS(tblActuals354[Team 1 Goals],tblActuals354[Team 1],$CU20,tblActuals354[Team 2],FU$3)</f>
        <v>0</v>
      </c>
      <c r="FV20" s="56">
        <f>SUMIFS(tblActuals354[Team 2 Goals],tblActuals354[Team 2],$CU20,tblActuals354[Team 1],FV$3)+SUMIFS(tblActuals354[Team 1 Goals],tblActuals354[Team 1],$CU20,tblActuals354[Team 2],FV$3)</f>
        <v>0</v>
      </c>
      <c r="FW20" s="56">
        <f>SUMIFS(tblActuals354[Team 2 Goals],tblActuals354[Team 2],$CU20,tblActuals354[Team 1],FW$3)+SUMIFS(tblActuals354[Team 1 Goals],tblActuals354[Team 1],$CU20,tblActuals354[Team 2],FW$3)</f>
        <v>0</v>
      </c>
      <c r="FX20" s="56">
        <f>SUMIFS(tblActuals354[Team 2 Goals],tblActuals354[Team 2],$CU20,tblActuals354[Team 1],FX$3)+SUMIFS(tblActuals354[Team 1 Goals],tblActuals354[Team 1],$CU20,tblActuals354[Team 2],FX$3)</f>
        <v>0</v>
      </c>
      <c r="FY20" s="56">
        <f>SUMIFS(tblActuals354[Team 2 Goals],tblActuals354[Team 2],$CU20,tblActuals354[Team 1],FY$3)+SUMIFS(tblActuals354[Team 1 Goals],tblActuals354[Team 1],$CU20,tblActuals354[Team 2],FY$3)</f>
        <v>0</v>
      </c>
      <c r="FZ20" s="56">
        <f>SUMIFS(tblActuals354[Team 2 Goals],tblActuals354[Team 2],$CU20,tblActuals354[Team 1],FZ$3)+SUMIFS(tblActuals354[Team 1 Goals],tblActuals354[Team 1],$CU20,tblActuals354[Team 2],FZ$3)</f>
        <v>0</v>
      </c>
      <c r="GA20" s="56">
        <f>SUMIFS(tblActuals354[Team 2 Goals],tblActuals354[Team 2],$CU20,tblActuals354[Team 1],GA$3)+SUMIFS(tblActuals354[Team 1 Goals],tblActuals354[Team 1],$CU20,tblActuals354[Team 2],GA$3)</f>
        <v>0</v>
      </c>
      <c r="GB20" s="56">
        <f>SUMIFS(tblActuals354[Team 2 Goals],tblActuals354[Team 2],$CU20,tblActuals354[Team 1],GB$3)+SUMIFS(tblActuals354[Team 1 Goals],tblActuals354[Team 1],$CU20,tblActuals354[Team 2],GB$3)</f>
        <v>0</v>
      </c>
      <c r="GC20" s="56">
        <f>SUMIFS(tblActuals354[Team 2 Goals],tblActuals354[Team 2],$CU20,tblActuals354[Team 1],GC$3)+SUMIFS(tblActuals354[Team 1 Goals],tblActuals354[Team 1],$CU20,tblActuals354[Team 2],GC$3)</f>
        <v>0</v>
      </c>
      <c r="GD20" s="56">
        <f>SUMIFS(tblActuals354[Team 2 Goals],tblActuals354[Team 2],$CU20,tblActuals354[Team 1],GD$3)+SUMIFS(tblActuals354[Team 1 Goals],tblActuals354[Team 1],$CU20,tblActuals354[Team 2],GD$3)</f>
        <v>0</v>
      </c>
      <c r="GE20" s="56">
        <f>SUMIFS(tblActuals354[Team 2 Goals],tblActuals354[Team 2],$CU20,tblActuals354[Team 1],GE$3)+SUMIFS(tblActuals354[Team 1 Goals],tblActuals354[Team 1],$CU20,tblActuals354[Team 2],GE$3)</f>
        <v>0</v>
      </c>
      <c r="GF20" s="56">
        <f>SUMIFS(tblActuals354[Team 2 Goals],tblActuals354[Team 2],$CU20,tblActuals354[Team 1],GF$3)+SUMIFS(tblActuals354[Team 1 Goals],tblActuals354[Team 1],$CU20,tblActuals354[Team 2],GF$3)</f>
        <v>0</v>
      </c>
      <c r="GG20" s="56">
        <f>SUMIFS(tblActuals354[Team 2 Goals],tblActuals354[Team 2],$CU20,tblActuals354[Team 1],GG$3)+SUMIFS(tblActuals354[Team 1 Goals],tblActuals354[Team 1],$CU20,tblActuals354[Team 2],GG$3)</f>
        <v>0</v>
      </c>
      <c r="GH20" s="56">
        <f>SUMIFS(tblActuals354[Team 2 Goals],tblActuals354[Team 2],$CU20,tblActuals354[Team 1],GH$3)+SUMIFS(tblActuals354[Team 1 Goals],tblActuals354[Team 1],$CU20,tblActuals354[Team 2],GH$3)</f>
        <v>0</v>
      </c>
      <c r="GI20" s="56">
        <f>SUMIFS(tblActuals354[Team 2 Goals],tblActuals354[Team 2],$CU20,tblActuals354[Team 1],GI$3)+SUMIFS(tblActuals354[Team 1 Goals],tblActuals354[Team 1],$CU20,tblActuals354[Team 2],GI$3)</f>
        <v>0</v>
      </c>
      <c r="GJ20" s="57"/>
      <c r="GK20" s="57"/>
      <c r="GL20" s="37"/>
      <c r="GM20" s="37"/>
      <c r="GN20" s="37"/>
      <c r="GO20" s="37"/>
      <c r="GP20" s="37"/>
      <c r="GQ20" s="37"/>
      <c r="GR20" s="75"/>
      <c r="GS20" s="156"/>
      <c r="GT20" s="156"/>
      <c r="GU20" s="75"/>
      <c r="GV20" s="75"/>
      <c r="GW20" s="75"/>
      <c r="GX20" s="75"/>
      <c r="GY20" s="75"/>
      <c r="GZ20" s="75"/>
    </row>
    <row r="21" spans="1:221" s="11" customFormat="1" ht="30" customHeight="1" thickBot="1" x14ac:dyDescent="0.3">
      <c r="A21" s="20"/>
      <c r="B21" s="122">
        <v>18</v>
      </c>
      <c r="C21" s="122" t="s">
        <v>6</v>
      </c>
      <c r="D21" s="123">
        <v>45463</v>
      </c>
      <c r="E21" s="122" t="s">
        <v>78</v>
      </c>
      <c r="F21" s="124">
        <v>0.625</v>
      </c>
      <c r="G21" s="125">
        <f t="shared" si="11"/>
        <v>45463.375</v>
      </c>
      <c r="H21" s="122" t="s">
        <v>106</v>
      </c>
      <c r="I21" s="126"/>
      <c r="J21" s="118"/>
      <c r="K21" s="118"/>
      <c r="L21" s="174">
        <f>IF(I21="",0,IFERROR(IF(SCORING.RULES!$C$8="No",1,((VLOOKUP($B21,ACTUALS!$B$4:$L$100,7,FALSE)=$H21)+(VLOOKUP($B21,ACTUALS!$B$4:$L$100,7,FALSE)=S21)))*(M21+N21+O21+P21+Q21),0))+$R21</f>
        <v>0</v>
      </c>
      <c r="M21" s="168">
        <f>IFERROR(IF($B21="","",IF(U21=INDEX(ACTUALS!$AA$4:$AA$100,MATCH($B21,ACTUALS!$B$4:$B$100,0),1),CorrectScore,0)),0)</f>
        <v>0</v>
      </c>
      <c r="N21" s="157" t="str">
        <f>IFERROR(IF(I21="","",IF(INDEX(ACTUALS!$AB$4:$AB$100,MATCH($B21,ACTUALS!$B$4:$B$100,0),1)=(AB21+AC21+AH21+AI21),CorrectNumberofGoals,0)),0)</f>
        <v/>
      </c>
      <c r="O21" s="157"/>
      <c r="P21" s="157">
        <f>IFERROR(IF(B21="","",IF(INDEX(ACTUALS!$L$4:$L$100,MATCH($B21,ACTUALS!$B$4:$B$100,0),1)=W21,CorrectResult,0)),0)</f>
        <v>3</v>
      </c>
      <c r="Q21" s="157"/>
      <c r="R21" s="157"/>
      <c r="S21" s="157" t="str">
        <f t="shared" si="0"/>
        <v/>
      </c>
      <c r="T21" s="157"/>
      <c r="U21" s="157" t="str">
        <f t="shared" si="1"/>
        <v/>
      </c>
      <c r="V21" s="157" t="str">
        <f t="shared" si="2"/>
        <v/>
      </c>
      <c r="W21" s="119" t="str">
        <f>IF(tblActuals354[[#This Row],[SCORE]]="","",IF(AB21=AC21,"Draw",IF(AB21&gt;AC21,X21,Y21)))</f>
        <v/>
      </c>
      <c r="X21" s="120" t="str">
        <f>IF(tblActuals354[[#This Row],[TEAMS]]="","",LEFT(H21,FIND(" -",H21,1)-1))</f>
        <v>Slovenia</v>
      </c>
      <c r="Y21" s="120" t="str">
        <f>IF(tblActuals354[[#This Row],[TEAMS]]="","",MID(H21,FIND("-",H21,1)+2,LEN(H21)-FIND("-",H21,1)+2))</f>
        <v>Serbia</v>
      </c>
      <c r="Z21" s="120" t="str">
        <f>IF(tblActuals354[[#This Row],[Team 1 Goals]]&gt;tblActuals354[[#This Row],[Team 2 Goals]],tblActuals354[[#This Row],[Team 1]],IF(tblActuals354[[#This Row],[Team 2 Goals]]&gt;tblActuals354[[#This Row],[Team 1 Goals]],tblActuals354[[#This Row],[Team 2]],""))</f>
        <v/>
      </c>
      <c r="AA21" s="120" t="str">
        <f>IF(tblActuals354[[#This Row],[Winner]]=tblActuals354[[#This Row],[Team 1]],tblActuals354[[#This Row],[Team 2]],IF(tblActuals354[[#This Row],[Winner]]=tblActuals354[[#This Row],[Team 2]],tblActuals354[[#This Row],[Team 1]],""))</f>
        <v/>
      </c>
      <c r="AB21" s="120" t="str">
        <f>IF(tblActuals354[[#This Row],[SCORE]]="","",LEFT(I21,FIND(":",I21,1)-1)*1)</f>
        <v/>
      </c>
      <c r="AC21" s="120" t="str">
        <f>IF(tblActuals354[[#This Row],[SCORE]]="","",MID(I21,FIND(":",I21,1)+1,LEN(I21)-FIND(":",I21,1)+1)*1)</f>
        <v/>
      </c>
      <c r="AD21" s="120" t="str">
        <f>IF(OR(tblActuals354[[#This Row],[Team 1 Goals]]="",tblActuals354[[#This Row],[Team 2 Goals]]=""),"",tblActuals354[[#This Row],[Team 1 Goals]]-tblActuals354[[#This Row],[Team 2 Goals]])</f>
        <v/>
      </c>
      <c r="AE21" s="120" t="str">
        <f>IF(OR(tblActuals354[[#This Row],[Team 1 Goals]]="",tblActuals354[[#This Row],[Team 2 Goals]]=""),"",tblActuals354[[#This Row],[Team 2 Goals]]-tblActuals354[[#This Row],[Team 1 Goals]])</f>
        <v/>
      </c>
      <c r="AF21" s="120" t="str">
        <f>IF(tblActuals354[[#This Row],[SCORE]]="","",IF(tblActuals354[[#This Row],[WINNER / RESULT]]="Draw",1,IF(tblActuals354[[#This Row],[WINNER / RESULT]]=tblActuals354[[#This Row],[Team 1]],3,0)))</f>
        <v/>
      </c>
      <c r="AG21" s="120" t="str">
        <f>IF(tblActuals354[[#This Row],[SCORE]]="","",IF(tblActuals354[[#This Row],[WINNER / RESULT]]="Draw",1,IF(tblActuals354[[#This Row],[WINNER / RESULT]]=tblActuals354[[#This Row],[Team 2]],3,0)))</f>
        <v/>
      </c>
      <c r="AH21" s="121"/>
      <c r="AI21" s="121"/>
      <c r="AJ21" s="121"/>
      <c r="AK21" s="121"/>
      <c r="AL21" s="120" t="e">
        <f>tblActuals354[[#This Row],[Team 1 Goals]]+tblActuals354[[#This Row],[Team 1 ET Goals]]&amp;":"&amp;tblActuals354[[#This Row],[Team 2 Goals]]+tblActuals354[[#This Row],[Team 2 ET Goals]]</f>
        <v>#VALUE!</v>
      </c>
      <c r="AM21" s="120" t="e">
        <f>+tblActuals354[[#This Row],[Team 1 Goals]]+tblActuals354[[#This Row],[Team 2 Goals]]</f>
        <v>#VALUE!</v>
      </c>
      <c r="AN21" s="161">
        <f t="shared" si="3"/>
        <v>45463</v>
      </c>
      <c r="AT21" s="77" t="s">
        <v>6</v>
      </c>
      <c r="AU21" s="145">
        <v>4</v>
      </c>
      <c r="AV21" s="146" t="str">
        <f ca="1">IFERROR(INDEX(BD:BD,MATCH("4"&amp;AT21,BN:BN,0),1),"")</f>
        <v>Slovenia</v>
      </c>
      <c r="AW21" s="146" t="str">
        <f ca="1">IF(AV21="","",VLOOKUP(AV21,BD:BI,2,FALSE)&amp;"-"&amp;VLOOKUP(AV21,BD:BI,3,FALSE)&amp;"-"&amp;VLOOKUP(AV21,BD:BI,4,FALSE))</f>
        <v>0-0-0</v>
      </c>
      <c r="AX21" s="146">
        <f ca="1">IF(AV21="","",VLOOKUP(AV21,BD:BK,8,FALSE))</f>
        <v>0</v>
      </c>
      <c r="AY21" s="147">
        <f ca="1">IF(AV21="","",VLOOKUP(AV21,BD:BN,5,FALSE))</f>
        <v>0</v>
      </c>
      <c r="AZ21" s="75"/>
      <c r="BA21" s="4"/>
      <c r="BB21" s="4"/>
      <c r="BC21" s="4" t="s">
        <v>7</v>
      </c>
      <c r="BD21" s="4" t="s">
        <v>8</v>
      </c>
      <c r="BE21" s="4">
        <f>COUNTIF(tblActuals354[Winner],BD21)</f>
        <v>0</v>
      </c>
      <c r="BF21" s="4">
        <f>COUNTIFS(tblActuals354[Team 2],BD21,tblActuals354[WINNER / RESULT],"Draw")+COUNTIFS(tblActuals354[Team 1],BD21,tblActuals354[WINNER / RESULT],"Draw")</f>
        <v>0</v>
      </c>
      <c r="BG21" s="4">
        <f>COUNTIF(tblActuals354[Loser],BD21)</f>
        <v>0</v>
      </c>
      <c r="BH21" s="4">
        <f>BF21+(3*BE21)</f>
        <v>0</v>
      </c>
      <c r="BI21" s="4">
        <f>SUMIFS(tblActuals354[Team 1 Goals],tblActuals354[Team 1],BD21)+SUMIFS(tblActuals354[Team 2 Goals],tblActuals354[Team 2],BD21)</f>
        <v>0</v>
      </c>
      <c r="BJ21" s="4">
        <f>SUMIFS(tblActuals354[Team 2 Goals],tblActuals354[Team 1],BD21)+SUMIFS(tblActuals354[Team 1 Goals],tblActuals354[Team 2],BD21)</f>
        <v>0</v>
      </c>
      <c r="BK21" s="4">
        <f>BI21-BJ21</f>
        <v>0</v>
      </c>
      <c r="BL21" s="4">
        <f ca="1">RANK(BY21,$BY$19:$BY$22,1)</f>
        <v>3</v>
      </c>
      <c r="BM21" s="4" t="str">
        <f t="shared" si="4"/>
        <v/>
      </c>
      <c r="BN21" s="4" t="str">
        <f ca="1">IF(BM21="",BL21&amp;BC21,BM21&amp;BC21)</f>
        <v>3D</v>
      </c>
      <c r="BO21" s="4">
        <f>RANK(BH21,$BH$19:$BH$22,0)</f>
        <v>1</v>
      </c>
      <c r="BP21" s="4" cm="1">
        <f t="array" aca="1" ref="BP21" ca="1">SUMPRODUCT((OFFSET($CV$3:$EA$3,MATCH($BD21,$CU$4:$CU$35,0),0))*((IF($BO19=$BO21,$CV$3:$EA$3=$BD19,0))+(IF($BO22=$BO21,$CV$3:$EA$3=$BD22,0))+(IF($BO20=$BO21,$CV$3:$EA$3=$BD20,0))))</f>
        <v>0</v>
      </c>
      <c r="BQ21" s="4" cm="1">
        <f t="array" aca="1" ref="BQ21" ca="1">SUMPRODUCT((OFFSET($ED$3:$FI$3,MATCH($BD21,$EC$4:$EC$35,0),0))*((IF($BO19=$BO21,$ED$3:$FI$3=$BD19,0))+(IF($BO22=$BO21,$ED$3:$FI$3=$BD22,0))+(IF($BO20=$BO21,$ED$3:$FI$3=$BD20,0))))</f>
        <v>0</v>
      </c>
      <c r="BR21" s="4" cm="1">
        <f t="array" aca="1" ref="BR21" ca="1">SUMPRODUCT((OFFSET($FL$3:$GQ$3,MATCH($BD21,$FK$4:$FK$35,0),0))*((IF($BO19=$BO21,$FL$3:$GQ$3=$BD19,0))+(IF($BO22=$BO21,$FL$3:$GQ$3=$BD22,0))+(IF($BO20=$BO21,$FL$3:$GQ$3=$BD20,0))))</f>
        <v>0</v>
      </c>
      <c r="BS21" s="4" cm="1">
        <f t="array" aca="1" ref="BS21" ca="1">SUMPRODUCT((OFFSET($CV$3:$EA$3,MATCH($BD21,$CU$4:$CU$35,0),0))*((IF($BO19&lt;&gt;$BO21,$CV$3:$EA$3=$BD19,0))+(IF($BO22&lt;&gt;$BO21,$CV$3:$EA$3=$BD22,0))+(IF($BO20&lt;&gt;$BO21,$CV$3:$EA$3=$BD20,0))))</f>
        <v>0</v>
      </c>
      <c r="BT21" s="4" cm="1">
        <f t="array" aca="1" ref="BT21" ca="1">SUMPRODUCT((OFFSET($ED$3:$FI$3,MATCH($BD21,$EC$4:$EC$35,0),0))*((IF($BO19&lt;&gt;$BO21,$ED$3:$FI$3=$BD19,0))+(IF($BO22&lt;&gt;$BO21,$ED$3:$FI$3=$BD22,0))+(IF($BO20&lt;&gt;$BO21,$ED$3:$FI$3=$BD20,0))))</f>
        <v>0</v>
      </c>
      <c r="BU21" s="4" cm="1">
        <f t="array" aca="1" ref="BU21" ca="1">SUMPRODUCT((OFFSET($FL$3:$GQ$3,MATCH($BD21,$FK$4:$FK$35,0),0))*((IF($BO19&lt;&gt;$BO21,$FL$3:$GQ$3=$BD19,0))+(IF($BO22&lt;&gt;$BO21,$FL$3:$GQ$3=$BD22,0))+(IF($BO20&lt;&gt;$BO21,$FL$3:$GQ$3=$BD20,0))))</f>
        <v>0</v>
      </c>
      <c r="BV21" s="4">
        <f>BK21</f>
        <v>0</v>
      </c>
      <c r="BW21" s="4">
        <f>BI21</f>
        <v>0</v>
      </c>
      <c r="BX21" s="4">
        <f ca="1">(BP21/10)+(BQ21/100)+(BR21/1000)+(BT21/10000)+(BU21/100000)+(BV21/1000000)+(BW21/10000000)+(ROW(BS20)/100000000)</f>
        <v>1.9999999999999999E-7</v>
      </c>
      <c r="BY21" s="4">
        <f ca="1">+BO21-BX21</f>
        <v>0.99999979999999999</v>
      </c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U21" s="4" t="s">
        <v>130</v>
      </c>
      <c r="CV21" s="56">
        <f>SUMIFS(tblActuals354[Team 2 Points],tblActuals354[Team 2],$CU21,tblActuals354[Team 1],CV$3)+SUMIFS(tblActuals354[Team 1 Points],tblActuals354[Team 1],$CU21,tblActuals354[Team 2],CV$3)</f>
        <v>0</v>
      </c>
      <c r="CW21" s="56">
        <f>SUMIFS(tblActuals354[Team 2 Points],tblActuals354[Team 2],$CU21,tblActuals354[Team 1],CW$3)+SUMIFS(tblActuals354[Team 1 Points],tblActuals354[Team 1],$CU21,tblActuals354[Team 2],CW$3)</f>
        <v>0</v>
      </c>
      <c r="CX21" s="56">
        <f>SUMIFS(tblActuals354[Team 2 Points],tblActuals354[Team 2],$CU21,tblActuals354[Team 1],CX$3)+SUMIFS(tblActuals354[Team 1 Points],tblActuals354[Team 1],$CU21,tblActuals354[Team 2],CX$3)</f>
        <v>0</v>
      </c>
      <c r="CY21" s="56">
        <f>SUMIFS(tblActuals354[Team 2 Points],tblActuals354[Team 2],$CU21,tblActuals354[Team 1],CY$3)+SUMIFS(tblActuals354[Team 1 Points],tblActuals354[Team 1],$CU21,tblActuals354[Team 2],CY$3)</f>
        <v>0</v>
      </c>
      <c r="CZ21" s="56">
        <f>SUMIFS(tblActuals354[Team 2 Points],tblActuals354[Team 2],$CU21,tblActuals354[Team 1],CZ$3)+SUMIFS(tblActuals354[Team 1 Points],tblActuals354[Team 1],$CU21,tblActuals354[Team 2],CZ$3)</f>
        <v>0</v>
      </c>
      <c r="DA21" s="56">
        <f>SUMIFS(tblActuals354[Team 2 Points],tblActuals354[Team 2],$CU21,tblActuals354[Team 1],DA$3)+SUMIFS(tblActuals354[Team 1 Points],tblActuals354[Team 1],$CU21,tblActuals354[Team 2],DA$3)</f>
        <v>0</v>
      </c>
      <c r="DB21" s="56">
        <f>SUMIFS(tblActuals354[Team 2 Points],tblActuals354[Team 2],$CU21,tblActuals354[Team 1],DB$3)+SUMIFS(tblActuals354[Team 1 Points],tblActuals354[Team 1],$CU21,tblActuals354[Team 2],DB$3)</f>
        <v>0</v>
      </c>
      <c r="DC21" s="56">
        <f>SUMIFS(tblActuals354[Team 2 Points],tblActuals354[Team 2],$CU21,tblActuals354[Team 1],DC$3)+SUMIFS(tblActuals354[Team 1 Points],tblActuals354[Team 1],$CU21,tblActuals354[Team 2],DC$3)</f>
        <v>0</v>
      </c>
      <c r="DD21" s="56">
        <f>SUMIFS(tblActuals354[Team 2 Points],tblActuals354[Team 2],$CU21,tblActuals354[Team 1],DD$3)+SUMIFS(tblActuals354[Team 1 Points],tblActuals354[Team 1],$CU21,tblActuals354[Team 2],DD$3)</f>
        <v>0</v>
      </c>
      <c r="DE21" s="56">
        <f>SUMIFS(tblActuals354[Team 2 Points],tblActuals354[Team 2],$CU21,tblActuals354[Team 1],DE$3)+SUMIFS(tblActuals354[Team 1 Points],tblActuals354[Team 1],$CU21,tblActuals354[Team 2],DE$3)</f>
        <v>0</v>
      </c>
      <c r="DF21" s="56">
        <f>SUMIFS(tblActuals354[Team 2 Points],tblActuals354[Team 2],$CU21,tblActuals354[Team 1],DF$3)+SUMIFS(tblActuals354[Team 1 Points],tblActuals354[Team 1],$CU21,tblActuals354[Team 2],DF$3)</f>
        <v>0</v>
      </c>
      <c r="DG21" s="56">
        <f>SUMIFS(tblActuals354[Team 2 Points],tblActuals354[Team 2],$CU21,tblActuals354[Team 1],DG$3)+SUMIFS(tblActuals354[Team 1 Points],tblActuals354[Team 1],$CU21,tblActuals354[Team 2],DG$3)</f>
        <v>0</v>
      </c>
      <c r="DH21" s="56">
        <f>SUMIFS(tblActuals354[Team 2 Points],tblActuals354[Team 2],$CU21,tblActuals354[Team 1],DH$3)+SUMIFS(tblActuals354[Team 1 Points],tblActuals354[Team 1],$CU21,tblActuals354[Team 2],DH$3)</f>
        <v>0</v>
      </c>
      <c r="DI21" s="56">
        <f>SUMIFS(tblActuals354[Team 2 Points],tblActuals354[Team 2],$CU21,tblActuals354[Team 1],DI$3)+SUMIFS(tblActuals354[Team 1 Points],tblActuals354[Team 1],$CU21,tblActuals354[Team 2],DI$3)</f>
        <v>0</v>
      </c>
      <c r="DJ21" s="56">
        <f>SUMIFS(tblActuals354[Team 2 Points],tblActuals354[Team 2],$CU21,tblActuals354[Team 1],DJ$3)+SUMIFS(tblActuals354[Team 1 Points],tblActuals354[Team 1],$CU21,tblActuals354[Team 2],DJ$3)</f>
        <v>0</v>
      </c>
      <c r="DK21" s="56">
        <f>SUMIFS(tblActuals354[Team 2 Points],tblActuals354[Team 2],$CU21,tblActuals354[Team 1],DK$3)+SUMIFS(tblActuals354[Team 1 Points],tblActuals354[Team 1],$CU21,tblActuals354[Team 2],DK$3)</f>
        <v>0</v>
      </c>
      <c r="DL21" s="56">
        <f>SUMIFS(tblActuals354[Team 2 Points],tblActuals354[Team 2],$CU21,tblActuals354[Team 1],DL$3)+SUMIFS(tblActuals354[Team 1 Points],tblActuals354[Team 1],$CU21,tblActuals354[Team 2],DL$3)</f>
        <v>0</v>
      </c>
      <c r="DM21" s="56">
        <f>SUMIFS(tblActuals354[Team 2 Points],tblActuals354[Team 2],$CU21,tblActuals354[Team 1],DM$3)+SUMIFS(tblActuals354[Team 1 Points],tblActuals354[Team 1],$CU21,tblActuals354[Team 2],DM$3)</f>
        <v>0</v>
      </c>
      <c r="DN21" s="56">
        <f>SUMIFS(tblActuals354[Team 2 Points],tblActuals354[Team 2],$CU21,tblActuals354[Team 1],DN$3)+SUMIFS(tblActuals354[Team 1 Points],tblActuals354[Team 1],$CU21,tblActuals354[Team 2],DN$3)</f>
        <v>0</v>
      </c>
      <c r="DO21" s="56">
        <f>SUMIFS(tblActuals354[Team 2 Points],tblActuals354[Team 2],$CU21,tblActuals354[Team 1],DO$3)+SUMIFS(tblActuals354[Team 1 Points],tblActuals354[Team 1],$CU21,tblActuals354[Team 2],DO$3)</f>
        <v>0</v>
      </c>
      <c r="DP21" s="56">
        <f>SUMIFS(tblActuals354[Team 2 Points],tblActuals354[Team 2],$CU21,tblActuals354[Team 1],DP$3)+SUMIFS(tblActuals354[Team 1 Points],tblActuals354[Team 1],$CU21,tblActuals354[Team 2],DP$3)</f>
        <v>0</v>
      </c>
      <c r="DQ21" s="56">
        <f>SUMIFS(tblActuals354[Team 2 Points],tblActuals354[Team 2],$CU21,tblActuals354[Team 1],DQ$3)+SUMIFS(tblActuals354[Team 1 Points],tblActuals354[Team 1],$CU21,tblActuals354[Team 2],DQ$3)</f>
        <v>0</v>
      </c>
      <c r="DR21" s="56">
        <f>SUMIFS(tblActuals354[Team 2 Points],tblActuals354[Team 2],$CU21,tblActuals354[Team 1],DR$3)+SUMIFS(tblActuals354[Team 1 Points],tblActuals354[Team 1],$CU21,tblActuals354[Team 2],DR$3)</f>
        <v>0</v>
      </c>
      <c r="DS21" s="56">
        <f>SUMIFS(tblActuals354[Team 2 Points],tblActuals354[Team 2],$CU21,tblActuals354[Team 1],DS$3)+SUMIFS(tblActuals354[Team 1 Points],tblActuals354[Team 1],$CU21,tblActuals354[Team 2],DS$3)</f>
        <v>0</v>
      </c>
      <c r="DT21" s="57"/>
      <c r="DU21" s="57"/>
      <c r="DV21" s="57"/>
      <c r="DW21" s="57"/>
      <c r="DX21" s="57"/>
      <c r="DY21" s="57"/>
      <c r="DZ21" s="57"/>
      <c r="EA21" s="57"/>
      <c r="EB21" s="4"/>
      <c r="EC21" s="4" t="s">
        <v>130</v>
      </c>
      <c r="ED21" s="56">
        <f>SUMIFS(tblActuals354[Team 2 GD],tblActuals354[Team 2],$CU21,tblActuals354[Team 1],ED$3)+SUMIFS(tblActuals354[Team 1 GD],tblActuals354[Team 1],$CU21,tblActuals354[Team 2],ED$3)</f>
        <v>0</v>
      </c>
      <c r="EE21" s="56">
        <f>SUMIFS(tblActuals354[Team 2 GD],tblActuals354[Team 2],$CU21,tblActuals354[Team 1],EE$3)+SUMIFS(tblActuals354[Team 1 GD],tblActuals354[Team 1],$CU21,tblActuals354[Team 2],EE$3)</f>
        <v>0</v>
      </c>
      <c r="EF21" s="56">
        <f>SUMIFS(tblActuals354[Team 2 GD],tblActuals354[Team 2],$CU21,tblActuals354[Team 1],EF$3)+SUMIFS(tblActuals354[Team 1 GD],tblActuals354[Team 1],$CU21,tblActuals354[Team 2],EF$3)</f>
        <v>0</v>
      </c>
      <c r="EG21" s="56">
        <f>SUMIFS(tblActuals354[Team 2 GD],tblActuals354[Team 2],$CU21,tblActuals354[Team 1],EG$3)+SUMIFS(tblActuals354[Team 1 GD],tblActuals354[Team 1],$CU21,tblActuals354[Team 2],EG$3)</f>
        <v>0</v>
      </c>
      <c r="EH21" s="56">
        <f>SUMIFS(tblActuals354[Team 2 GD],tblActuals354[Team 2],$CU21,tblActuals354[Team 1],EH$3)+SUMIFS(tblActuals354[Team 1 GD],tblActuals354[Team 1],$CU21,tblActuals354[Team 2],EH$3)</f>
        <v>0</v>
      </c>
      <c r="EI21" s="56">
        <f>SUMIFS(tblActuals354[Team 2 GD],tblActuals354[Team 2],$CU21,tblActuals354[Team 1],EI$3)+SUMIFS(tblActuals354[Team 1 GD],tblActuals354[Team 1],$CU21,tblActuals354[Team 2],EI$3)</f>
        <v>0</v>
      </c>
      <c r="EJ21" s="56">
        <f>SUMIFS(tblActuals354[Team 2 GD],tblActuals354[Team 2],$CU21,tblActuals354[Team 1],EJ$3)+SUMIFS(tblActuals354[Team 1 GD],tblActuals354[Team 1],$CU21,tblActuals354[Team 2],EJ$3)</f>
        <v>0</v>
      </c>
      <c r="EK21" s="56">
        <f>SUMIFS(tblActuals354[Team 2 GD],tblActuals354[Team 2],$CU21,tblActuals354[Team 1],EK$3)+SUMIFS(tblActuals354[Team 1 GD],tblActuals354[Team 1],$CU21,tblActuals354[Team 2],EK$3)</f>
        <v>0</v>
      </c>
      <c r="EL21" s="56">
        <f>SUMIFS(tblActuals354[Team 2 GD],tblActuals354[Team 2],$CU21,tblActuals354[Team 1],EL$3)+SUMIFS(tblActuals354[Team 1 GD],tblActuals354[Team 1],$CU21,tblActuals354[Team 2],EL$3)</f>
        <v>0</v>
      </c>
      <c r="EM21" s="56">
        <f>SUMIFS(tblActuals354[Team 2 GD],tblActuals354[Team 2],$CU21,tblActuals354[Team 1],EM$3)+SUMIFS(tblActuals354[Team 1 GD],tblActuals354[Team 1],$CU21,tblActuals354[Team 2],EM$3)</f>
        <v>0</v>
      </c>
      <c r="EN21" s="56">
        <f>SUMIFS(tblActuals354[Team 2 GD],tblActuals354[Team 2],$CU21,tblActuals354[Team 1],EN$3)+SUMIFS(tblActuals354[Team 1 GD],tblActuals354[Team 1],$CU21,tblActuals354[Team 2],EN$3)</f>
        <v>0</v>
      </c>
      <c r="EO21" s="56">
        <f>SUMIFS(tblActuals354[Team 2 GD],tblActuals354[Team 2],$CU21,tblActuals354[Team 1],EO$3)+SUMIFS(tblActuals354[Team 1 GD],tblActuals354[Team 1],$CU21,tblActuals354[Team 2],EO$3)</f>
        <v>0</v>
      </c>
      <c r="EP21" s="56">
        <f>SUMIFS(tblActuals354[Team 2 GD],tblActuals354[Team 2],$CU21,tblActuals354[Team 1],EP$3)+SUMIFS(tblActuals354[Team 1 GD],tblActuals354[Team 1],$CU21,tblActuals354[Team 2],EP$3)</f>
        <v>0</v>
      </c>
      <c r="EQ21" s="56">
        <f>SUMIFS(tblActuals354[Team 2 GD],tblActuals354[Team 2],$CU21,tblActuals354[Team 1],EQ$3)+SUMIFS(tblActuals354[Team 1 GD],tblActuals354[Team 1],$CU21,tblActuals354[Team 2],EQ$3)</f>
        <v>0</v>
      </c>
      <c r="ER21" s="56">
        <f>SUMIFS(tblActuals354[Team 2 GD],tblActuals354[Team 2],$CU21,tblActuals354[Team 1],ER$3)+SUMIFS(tblActuals354[Team 1 GD],tblActuals354[Team 1],$CU21,tblActuals354[Team 2],ER$3)</f>
        <v>0</v>
      </c>
      <c r="ES21" s="56">
        <f>SUMIFS(tblActuals354[Team 2 GD],tblActuals354[Team 2],$CU21,tblActuals354[Team 1],ES$3)+SUMIFS(tblActuals354[Team 1 GD],tblActuals354[Team 1],$CU21,tblActuals354[Team 2],ES$3)</f>
        <v>0</v>
      </c>
      <c r="ET21" s="56">
        <f>SUMIFS(tblActuals354[Team 2 GD],tblActuals354[Team 2],$CU21,tblActuals354[Team 1],ET$3)+SUMIFS(tblActuals354[Team 1 GD],tblActuals354[Team 1],$CU21,tblActuals354[Team 2],ET$3)</f>
        <v>0</v>
      </c>
      <c r="EU21" s="56">
        <f>SUMIFS(tblActuals354[Team 2 GD],tblActuals354[Team 2],$CU21,tblActuals354[Team 1],EU$3)+SUMIFS(tblActuals354[Team 1 GD],tblActuals354[Team 1],$CU21,tblActuals354[Team 2],EU$3)</f>
        <v>0</v>
      </c>
      <c r="EV21" s="56">
        <f>SUMIFS(tblActuals354[Team 2 GD],tblActuals354[Team 2],$CU21,tblActuals354[Team 1],EV$3)+SUMIFS(tblActuals354[Team 1 GD],tblActuals354[Team 1],$CU21,tblActuals354[Team 2],EV$3)</f>
        <v>0</v>
      </c>
      <c r="EW21" s="56">
        <f>SUMIFS(tblActuals354[Team 2 GD],tblActuals354[Team 2],$CU21,tblActuals354[Team 1],EW$3)+SUMIFS(tblActuals354[Team 1 GD],tblActuals354[Team 1],$CU21,tblActuals354[Team 2],EW$3)</f>
        <v>0</v>
      </c>
      <c r="EX21" s="56">
        <f>SUMIFS(tblActuals354[Team 2 GD],tblActuals354[Team 2],$CU21,tblActuals354[Team 1],EX$3)+SUMIFS(tblActuals354[Team 1 GD],tblActuals354[Team 1],$CU21,tblActuals354[Team 2],EX$3)</f>
        <v>0</v>
      </c>
      <c r="EY21" s="56">
        <f>SUMIFS(tblActuals354[Team 2 GD],tblActuals354[Team 2],$CU21,tblActuals354[Team 1],EY$3)+SUMIFS(tblActuals354[Team 1 GD],tblActuals354[Team 1],$CU21,tblActuals354[Team 2],EY$3)</f>
        <v>0</v>
      </c>
      <c r="EZ21" s="56">
        <f>SUMIFS(tblActuals354[Team 2 GD],tblActuals354[Team 2],$CU21,tblActuals354[Team 1],EZ$3)+SUMIFS(tblActuals354[Team 1 GD],tblActuals354[Team 1],$CU21,tblActuals354[Team 2],EZ$3)</f>
        <v>0</v>
      </c>
      <c r="FA21" s="56">
        <f>SUMIFS(tblActuals354[Team 2 GD],tblActuals354[Team 2],$CU21,tblActuals354[Team 1],FA$3)+SUMIFS(tblActuals354[Team 1 GD],tblActuals354[Team 1],$CU21,tblActuals354[Team 2],FA$3)</f>
        <v>0</v>
      </c>
      <c r="FB21" s="57"/>
      <c r="FC21" s="57"/>
      <c r="FD21" s="57"/>
      <c r="FE21" s="57"/>
      <c r="FF21" s="57"/>
      <c r="FG21" s="57"/>
      <c r="FH21" s="57"/>
      <c r="FI21" s="57"/>
      <c r="FJ21" s="4"/>
      <c r="FK21" s="4" t="s">
        <v>130</v>
      </c>
      <c r="FL21" s="56">
        <f>SUMIFS(tblActuals354[Team 2 Goals],tblActuals354[Team 2],$CU21,tblActuals354[Team 1],FL$3)+SUMIFS(tblActuals354[Team 1 Goals],tblActuals354[Team 1],$CU21,tblActuals354[Team 2],FL$3)</f>
        <v>0</v>
      </c>
      <c r="FM21" s="56">
        <f>SUMIFS(tblActuals354[Team 2 Goals],tblActuals354[Team 2],$CU21,tblActuals354[Team 1],FM$3)+SUMIFS(tblActuals354[Team 1 Goals],tblActuals354[Team 1],$CU21,tblActuals354[Team 2],FM$3)</f>
        <v>0</v>
      </c>
      <c r="FN21" s="56">
        <f>SUMIFS(tblActuals354[Team 2 Goals],tblActuals354[Team 2],$CU21,tblActuals354[Team 1],FN$3)+SUMIFS(tblActuals354[Team 1 Goals],tblActuals354[Team 1],$CU21,tblActuals354[Team 2],FN$3)</f>
        <v>0</v>
      </c>
      <c r="FO21" s="56">
        <f>SUMIFS(tblActuals354[Team 2 Goals],tblActuals354[Team 2],$CU21,tblActuals354[Team 1],FO$3)+SUMIFS(tblActuals354[Team 1 Goals],tblActuals354[Team 1],$CU21,tblActuals354[Team 2],FO$3)</f>
        <v>0</v>
      </c>
      <c r="FP21" s="56">
        <f>SUMIFS(tblActuals354[Team 2 Goals],tblActuals354[Team 2],$CU21,tblActuals354[Team 1],FP$3)+SUMIFS(tblActuals354[Team 1 Goals],tblActuals354[Team 1],$CU21,tblActuals354[Team 2],FP$3)</f>
        <v>0</v>
      </c>
      <c r="FQ21" s="56">
        <f>SUMIFS(tblActuals354[Team 2 Goals],tblActuals354[Team 2],$CU21,tblActuals354[Team 1],FQ$3)+SUMIFS(tblActuals354[Team 1 Goals],tblActuals354[Team 1],$CU21,tblActuals354[Team 2],FQ$3)</f>
        <v>0</v>
      </c>
      <c r="FR21" s="56">
        <f>SUMIFS(tblActuals354[Team 2 Goals],tblActuals354[Team 2],$CU21,tblActuals354[Team 1],FR$3)+SUMIFS(tblActuals354[Team 1 Goals],tblActuals354[Team 1],$CU21,tblActuals354[Team 2],FR$3)</f>
        <v>0</v>
      </c>
      <c r="FS21" s="56">
        <f>SUMIFS(tblActuals354[Team 2 Goals],tblActuals354[Team 2],$CU21,tblActuals354[Team 1],FS$3)+SUMIFS(tblActuals354[Team 1 Goals],tblActuals354[Team 1],$CU21,tblActuals354[Team 2],FS$3)</f>
        <v>0</v>
      </c>
      <c r="FT21" s="56">
        <f>SUMIFS(tblActuals354[Team 2 Goals],tblActuals354[Team 2],$CU21,tblActuals354[Team 1],FT$3)+SUMIFS(tblActuals354[Team 1 Goals],tblActuals354[Team 1],$CU21,tblActuals354[Team 2],FT$3)</f>
        <v>0</v>
      </c>
      <c r="FU21" s="56">
        <f>SUMIFS(tblActuals354[Team 2 Goals],tblActuals354[Team 2],$CU21,tblActuals354[Team 1],FU$3)+SUMIFS(tblActuals354[Team 1 Goals],tblActuals354[Team 1],$CU21,tblActuals354[Team 2],FU$3)</f>
        <v>0</v>
      </c>
      <c r="FV21" s="56">
        <f>SUMIFS(tblActuals354[Team 2 Goals],tblActuals354[Team 2],$CU21,tblActuals354[Team 1],FV$3)+SUMIFS(tblActuals354[Team 1 Goals],tblActuals354[Team 1],$CU21,tblActuals354[Team 2],FV$3)</f>
        <v>0</v>
      </c>
      <c r="FW21" s="56">
        <f>SUMIFS(tblActuals354[Team 2 Goals],tblActuals354[Team 2],$CU21,tblActuals354[Team 1],FW$3)+SUMIFS(tblActuals354[Team 1 Goals],tblActuals354[Team 1],$CU21,tblActuals354[Team 2],FW$3)</f>
        <v>0</v>
      </c>
      <c r="FX21" s="56">
        <f>SUMIFS(tblActuals354[Team 2 Goals],tblActuals354[Team 2],$CU21,tblActuals354[Team 1],FX$3)+SUMIFS(tblActuals354[Team 1 Goals],tblActuals354[Team 1],$CU21,tblActuals354[Team 2],FX$3)</f>
        <v>0</v>
      </c>
      <c r="FY21" s="56">
        <f>SUMIFS(tblActuals354[Team 2 Goals],tblActuals354[Team 2],$CU21,tblActuals354[Team 1],FY$3)+SUMIFS(tblActuals354[Team 1 Goals],tblActuals354[Team 1],$CU21,tblActuals354[Team 2],FY$3)</f>
        <v>0</v>
      </c>
      <c r="FZ21" s="56">
        <f>SUMIFS(tblActuals354[Team 2 Goals],tblActuals354[Team 2],$CU21,tblActuals354[Team 1],FZ$3)+SUMIFS(tblActuals354[Team 1 Goals],tblActuals354[Team 1],$CU21,tblActuals354[Team 2],FZ$3)</f>
        <v>0</v>
      </c>
      <c r="GA21" s="56">
        <f>SUMIFS(tblActuals354[Team 2 Goals],tblActuals354[Team 2],$CU21,tblActuals354[Team 1],GA$3)+SUMIFS(tblActuals354[Team 1 Goals],tblActuals354[Team 1],$CU21,tblActuals354[Team 2],GA$3)</f>
        <v>0</v>
      </c>
      <c r="GB21" s="56">
        <f>SUMIFS(tblActuals354[Team 2 Goals],tblActuals354[Team 2],$CU21,tblActuals354[Team 1],GB$3)+SUMIFS(tblActuals354[Team 1 Goals],tblActuals354[Team 1],$CU21,tblActuals354[Team 2],GB$3)</f>
        <v>0</v>
      </c>
      <c r="GC21" s="56">
        <f>SUMIFS(tblActuals354[Team 2 Goals],tblActuals354[Team 2],$CU21,tblActuals354[Team 1],GC$3)+SUMIFS(tblActuals354[Team 1 Goals],tblActuals354[Team 1],$CU21,tblActuals354[Team 2],GC$3)</f>
        <v>0</v>
      </c>
      <c r="GD21" s="56">
        <f>SUMIFS(tblActuals354[Team 2 Goals],tblActuals354[Team 2],$CU21,tblActuals354[Team 1],GD$3)+SUMIFS(tblActuals354[Team 1 Goals],tblActuals354[Team 1],$CU21,tblActuals354[Team 2],GD$3)</f>
        <v>0</v>
      </c>
      <c r="GE21" s="56">
        <f>SUMIFS(tblActuals354[Team 2 Goals],tblActuals354[Team 2],$CU21,tblActuals354[Team 1],GE$3)+SUMIFS(tblActuals354[Team 1 Goals],tblActuals354[Team 1],$CU21,tblActuals354[Team 2],GE$3)</f>
        <v>0</v>
      </c>
      <c r="GF21" s="56">
        <f>SUMIFS(tblActuals354[Team 2 Goals],tblActuals354[Team 2],$CU21,tblActuals354[Team 1],GF$3)+SUMIFS(tblActuals354[Team 1 Goals],tblActuals354[Team 1],$CU21,tblActuals354[Team 2],GF$3)</f>
        <v>0</v>
      </c>
      <c r="GG21" s="56">
        <f>SUMIFS(tblActuals354[Team 2 Goals],tblActuals354[Team 2],$CU21,tblActuals354[Team 1],GG$3)+SUMIFS(tblActuals354[Team 1 Goals],tblActuals354[Team 1],$CU21,tblActuals354[Team 2],GG$3)</f>
        <v>0</v>
      </c>
      <c r="GH21" s="56">
        <f>SUMIFS(tblActuals354[Team 2 Goals],tblActuals354[Team 2],$CU21,tblActuals354[Team 1],GH$3)+SUMIFS(tblActuals354[Team 1 Goals],tblActuals354[Team 1],$CU21,tblActuals354[Team 2],GH$3)</f>
        <v>0</v>
      </c>
      <c r="GI21" s="56">
        <f>SUMIFS(tblActuals354[Team 2 Goals],tblActuals354[Team 2],$CU21,tblActuals354[Team 1],GI$3)+SUMIFS(tblActuals354[Team 1 Goals],tblActuals354[Team 1],$CU21,tblActuals354[Team 2],GI$3)</f>
        <v>0</v>
      </c>
      <c r="GJ21" s="57"/>
      <c r="GK21" s="57"/>
      <c r="GL21" s="37"/>
      <c r="GM21" s="37"/>
      <c r="GN21" s="37"/>
      <c r="GO21" s="37"/>
      <c r="GP21" s="37"/>
      <c r="GQ21" s="37"/>
      <c r="GR21" s="75"/>
      <c r="GS21" s="156"/>
      <c r="GT21" s="156"/>
      <c r="GU21" s="75"/>
      <c r="GV21" s="75"/>
      <c r="GW21" s="75"/>
      <c r="GX21" s="75"/>
      <c r="GY21" s="75"/>
      <c r="GZ21" s="75"/>
    </row>
    <row r="22" spans="1:221" s="11" customFormat="1" ht="30" customHeight="1" thickBot="1" x14ac:dyDescent="0.3">
      <c r="A22" s="20"/>
      <c r="B22" s="122">
        <v>19</v>
      </c>
      <c r="C22" s="122" t="s">
        <v>7</v>
      </c>
      <c r="D22" s="123">
        <v>45464</v>
      </c>
      <c r="E22" s="122" t="s">
        <v>80</v>
      </c>
      <c r="F22" s="124">
        <v>0.75</v>
      </c>
      <c r="G22" s="125">
        <f t="shared" si="11"/>
        <v>45464.5</v>
      </c>
      <c r="H22" s="122" t="s">
        <v>107</v>
      </c>
      <c r="I22" s="126"/>
      <c r="J22" s="118"/>
      <c r="K22" s="118"/>
      <c r="L22" s="174">
        <f>IF(I22="",0,IFERROR(IF(SCORING.RULES!$C$8="No",1,((VLOOKUP($B22,ACTUALS!$B$4:$L$100,7,FALSE)=$H22)+(VLOOKUP($B22,ACTUALS!$B$4:$L$100,7,FALSE)=S22)))*(M22+N22+O22+P22+Q22),0))+$R22</f>
        <v>0</v>
      </c>
      <c r="M22" s="168">
        <f>IFERROR(IF($B22="","",IF(U22=INDEX(ACTUALS!$AA$4:$AA$100,MATCH($B22,ACTUALS!$B$4:$B$100,0),1),CorrectScore,0)),0)</f>
        <v>0</v>
      </c>
      <c r="N22" s="157" t="str">
        <f>IFERROR(IF(I22="","",IF(INDEX(ACTUALS!$AB$4:$AB$100,MATCH($B22,ACTUALS!$B$4:$B$100,0),1)=(AB22+AC22+AH22+AI22),CorrectNumberofGoals,0)),0)</f>
        <v/>
      </c>
      <c r="O22" s="157"/>
      <c r="P22" s="157">
        <f>IFERROR(IF(B22="","",IF(INDEX(ACTUALS!$L$4:$L$100,MATCH($B22,ACTUALS!$B$4:$B$100,0),1)=W22,CorrectResult,0)),0)</f>
        <v>3</v>
      </c>
      <c r="Q22" s="157"/>
      <c r="R22" s="157"/>
      <c r="S22" s="157" t="str">
        <f t="shared" si="0"/>
        <v/>
      </c>
      <c r="T22" s="157"/>
      <c r="U22" s="157" t="str">
        <f t="shared" si="1"/>
        <v/>
      </c>
      <c r="V22" s="157" t="str">
        <f t="shared" si="2"/>
        <v/>
      </c>
      <c r="W22" s="119" t="str">
        <f>IF(tblActuals354[[#This Row],[SCORE]]="","",IF(AB22=AC22,"Draw",IF(AB22&gt;AC22,X22,Y22)))</f>
        <v/>
      </c>
      <c r="X22" s="120" t="str">
        <f>IF(tblActuals354[[#This Row],[TEAMS]]="","",LEFT(H22,FIND(" -",H22,1)-1))</f>
        <v>Poland</v>
      </c>
      <c r="Y22" s="120" t="str">
        <f>IF(tblActuals354[[#This Row],[TEAMS]]="","",MID(H22,FIND("-",H22,1)+2,LEN(H22)-FIND("-",H22,1)+2))</f>
        <v>Austria</v>
      </c>
      <c r="Z22" s="120" t="str">
        <f>IF(tblActuals354[[#This Row],[Team 1 Goals]]&gt;tblActuals354[[#This Row],[Team 2 Goals]],tblActuals354[[#This Row],[Team 1]],IF(tblActuals354[[#This Row],[Team 2 Goals]]&gt;tblActuals354[[#This Row],[Team 1 Goals]],tblActuals354[[#This Row],[Team 2]],""))</f>
        <v/>
      </c>
      <c r="AA22" s="120" t="str">
        <f>IF(tblActuals354[[#This Row],[Winner]]=tblActuals354[[#This Row],[Team 1]],tblActuals354[[#This Row],[Team 2]],IF(tblActuals354[[#This Row],[Winner]]=tblActuals354[[#This Row],[Team 2]],tblActuals354[[#This Row],[Team 1]],""))</f>
        <v/>
      </c>
      <c r="AB22" s="120" t="str">
        <f>IF(tblActuals354[[#This Row],[SCORE]]="","",LEFT(I22,FIND(":",I22,1)-1)*1)</f>
        <v/>
      </c>
      <c r="AC22" s="120" t="str">
        <f>IF(tblActuals354[[#This Row],[SCORE]]="","",MID(I22,FIND(":",I22,1)+1,LEN(I22)-FIND(":",I22,1)+1)*1)</f>
        <v/>
      </c>
      <c r="AD22" s="120" t="str">
        <f>IF(OR(tblActuals354[[#This Row],[Team 1 Goals]]="",tblActuals354[[#This Row],[Team 2 Goals]]=""),"",tblActuals354[[#This Row],[Team 1 Goals]]-tblActuals354[[#This Row],[Team 2 Goals]])</f>
        <v/>
      </c>
      <c r="AE22" s="120" t="str">
        <f>IF(OR(tblActuals354[[#This Row],[Team 1 Goals]]="",tblActuals354[[#This Row],[Team 2 Goals]]=""),"",tblActuals354[[#This Row],[Team 2 Goals]]-tblActuals354[[#This Row],[Team 1 Goals]])</f>
        <v/>
      </c>
      <c r="AF22" s="120" t="str">
        <f>IF(tblActuals354[[#This Row],[SCORE]]="","",IF(tblActuals354[[#This Row],[WINNER / RESULT]]="Draw",1,IF(tblActuals354[[#This Row],[WINNER / RESULT]]=tblActuals354[[#This Row],[Team 1]],3,0)))</f>
        <v/>
      </c>
      <c r="AG22" s="120" t="str">
        <f>IF(tblActuals354[[#This Row],[SCORE]]="","",IF(tblActuals354[[#This Row],[WINNER / RESULT]]="Draw",1,IF(tblActuals354[[#This Row],[WINNER / RESULT]]=tblActuals354[[#This Row],[Team 2]],3,0)))</f>
        <v/>
      </c>
      <c r="AH22" s="121"/>
      <c r="AI22" s="121"/>
      <c r="AJ22" s="121"/>
      <c r="AK22" s="121"/>
      <c r="AL22" s="120" t="e">
        <f>tblActuals354[[#This Row],[Team 1 Goals]]+tblActuals354[[#This Row],[Team 1 ET Goals]]&amp;":"&amp;tblActuals354[[#This Row],[Team 2 Goals]]+tblActuals354[[#This Row],[Team 2 ET Goals]]</f>
        <v>#VALUE!</v>
      </c>
      <c r="AM22" s="120" t="e">
        <f>+tblActuals354[[#This Row],[Team 1 Goals]]+tblActuals354[[#This Row],[Team 2 Goals]]</f>
        <v>#VALUE!</v>
      </c>
      <c r="AN22" s="161">
        <f t="shared" si="3"/>
        <v>45464</v>
      </c>
      <c r="AT22" s="77"/>
      <c r="AU22" s="148"/>
      <c r="AV22" s="148"/>
      <c r="AW22" s="148"/>
      <c r="AX22" s="148"/>
      <c r="AY22" s="148"/>
      <c r="AZ22" s="75"/>
      <c r="BA22" s="4"/>
      <c r="BB22" s="4"/>
      <c r="BC22" s="4" t="s">
        <v>7</v>
      </c>
      <c r="BD22" s="4" t="s">
        <v>32</v>
      </c>
      <c r="BE22" s="4">
        <f>COUNTIF(tblActuals354[Winner],BD22)</f>
        <v>0</v>
      </c>
      <c r="BF22" s="4">
        <f>COUNTIFS(tblActuals354[Team 2],BD22,tblActuals354[WINNER / RESULT],"Draw")+COUNTIFS(tblActuals354[Team 1],BD22,tblActuals354[WINNER / RESULT],"Draw")</f>
        <v>0</v>
      </c>
      <c r="BG22" s="4">
        <f>COUNTIF(tblActuals354[Loser],BD22)</f>
        <v>0</v>
      </c>
      <c r="BH22" s="4">
        <f>BF22+(3*BE22)</f>
        <v>0</v>
      </c>
      <c r="BI22" s="4">
        <f>SUMIFS(tblActuals354[Team 1 Goals],tblActuals354[Team 1],BD22)+SUMIFS(tblActuals354[Team 2 Goals],tblActuals354[Team 2],BD22)</f>
        <v>0</v>
      </c>
      <c r="BJ22" s="4">
        <f>SUMIFS(tblActuals354[Team 2 Goals],tblActuals354[Team 1],BD22)+SUMIFS(tblActuals354[Team 1 Goals],tblActuals354[Team 2],BD22)</f>
        <v>0</v>
      </c>
      <c r="BK22" s="4">
        <f>BI22-BJ22</f>
        <v>0</v>
      </c>
      <c r="BL22" s="4">
        <f ca="1">RANK(BY22,$BY$19:$BY$22,1)</f>
        <v>4</v>
      </c>
      <c r="BM22" s="4" t="str">
        <f t="shared" si="4"/>
        <v/>
      </c>
      <c r="BN22" s="4" t="str">
        <f ca="1">IF(BM22="",BL22&amp;BC22,BM22&amp;BC22)</f>
        <v>4D</v>
      </c>
      <c r="BO22" s="4">
        <f>RANK(BH22,$BH$19:$BH$22,0)</f>
        <v>1</v>
      </c>
      <c r="BP22" s="4" cm="1">
        <f t="array" aca="1" ref="BP22" ca="1">SUMPRODUCT((OFFSET($CV$3:$EA$3,MATCH($BD22,$CU$4:$CU$35,0),0))*((IF($BO20=$BO22,$CV$3:$EA$3=$BD20,0))+(IF($BO19=$BO22,$CV$3:$EA$3=$BD19,0))+(IF($BO21=$BO22,$CV$3:$EA$3=$BD21,0))))</f>
        <v>0</v>
      </c>
      <c r="BQ22" s="4" cm="1">
        <f t="array" aca="1" ref="BQ22" ca="1">SUMPRODUCT((OFFSET($ED$3:$FI$3,MATCH($BD22,$EC$4:$EC$35,0),0))*((IF($BO20=$BO22,$ED$3:$FI$3=$BD20,0))+(IF($BO19=$BO22,$ED$3:$FI$3=$BD19,0))+(IF($BO21=$BO22,$ED$3:$FI$3=$BD21,0))))</f>
        <v>0</v>
      </c>
      <c r="BR22" s="4" cm="1">
        <f t="array" aca="1" ref="BR22" ca="1">SUMPRODUCT((OFFSET($FL$3:$GQ$3,MATCH($BD22,$FK$4:$FK$35,0),0))*((IF($BO20=$BO22,$FL$3:$GQ$3=$BD20,0))+(IF($BO19=$BO22,$FL$3:$GQ$3=$BD19,0))+(IF($BO21=$BO22,$FL$3:$GQ$3=$BD21,0))))</f>
        <v>0</v>
      </c>
      <c r="BS22" s="4" cm="1">
        <f t="array" aca="1" ref="BS22" ca="1">SUMPRODUCT((OFFSET($CV$3:$EA$3,MATCH($BD22,$CU$4:$CU$35,0),0))*((IF($BO20&lt;&gt;$BO22,$CV$3:$EA$3=$BD20,0))+(IF($BO19&lt;&gt;$BO22,$CV$3:$EA$3=$BD19,0))+(IF($BO21&lt;&gt;$BO22,$CV$3:$EA$3=$BD21,0))))</f>
        <v>0</v>
      </c>
      <c r="BT22" s="4" cm="1">
        <f t="array" aca="1" ref="BT22" ca="1">SUMPRODUCT((OFFSET($ED$3:$FI$3,MATCH($BD22,$EC$4:$EC$35,0),0))*((IF($BO20&lt;&gt;$BO22,$ED$3:$FI$3=$BD20,0))+(IF($BO19&lt;&gt;$BO22,$ED$3:$FI$3=$BD19,0))+(IF($BO21&lt;&gt;$BO22,$ED$3:$FI$3=$BD21,0))))</f>
        <v>0</v>
      </c>
      <c r="BU22" s="4" cm="1">
        <f t="array" aca="1" ref="BU22" ca="1">SUMPRODUCT((OFFSET($FL$3:$GQ$3,MATCH($BD22,$FK$4:$FK$35,0),0))*((IF($BO20&lt;&gt;$BO22,$FL$3:$GQ$3=$BD20,0))+(IF($BO19&lt;&gt;$BO22,$FL$3:$GQ$3=$BD19,0))+(IF($BO21&lt;&gt;$BO22,$FL$3:$GQ$3=$BD21,0))))</f>
        <v>0</v>
      </c>
      <c r="BV22" s="4">
        <f>BK22</f>
        <v>0</v>
      </c>
      <c r="BW22" s="4">
        <f>BI22</f>
        <v>0</v>
      </c>
      <c r="BX22" s="4">
        <f ca="1">(BP22/10)+(BQ22/100)+(BR22/1000)+(BT22/10000)+(BU22/100000)+(BV22/1000000)+(BW22/10000000)+(ROW(BS19)/100000000)</f>
        <v>1.9000000000000001E-7</v>
      </c>
      <c r="BY22" s="4">
        <f ca="1">+BO22-BX22</f>
        <v>0.99999981000000004</v>
      </c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U22" s="4" t="s">
        <v>131</v>
      </c>
      <c r="CV22" s="56">
        <f>SUMIFS(tblActuals354[Team 2 Points],tblActuals354[Team 2],$CU22,tblActuals354[Team 1],CV$3)+SUMIFS(tblActuals354[Team 1 Points],tblActuals354[Team 1],$CU22,tblActuals354[Team 2],CV$3)</f>
        <v>0</v>
      </c>
      <c r="CW22" s="56">
        <f>SUMIFS(tblActuals354[Team 2 Points],tblActuals354[Team 2],$CU22,tblActuals354[Team 1],CW$3)+SUMIFS(tblActuals354[Team 1 Points],tblActuals354[Team 1],$CU22,tblActuals354[Team 2],CW$3)</f>
        <v>0</v>
      </c>
      <c r="CX22" s="56">
        <f>SUMIFS(tblActuals354[Team 2 Points],tblActuals354[Team 2],$CU22,tblActuals354[Team 1],CX$3)+SUMIFS(tblActuals354[Team 1 Points],tblActuals354[Team 1],$CU22,tblActuals354[Team 2],CX$3)</f>
        <v>0</v>
      </c>
      <c r="CY22" s="56">
        <f>SUMIFS(tblActuals354[Team 2 Points],tblActuals354[Team 2],$CU22,tblActuals354[Team 1],CY$3)+SUMIFS(tblActuals354[Team 1 Points],tblActuals354[Team 1],$CU22,tblActuals354[Team 2],CY$3)</f>
        <v>0</v>
      </c>
      <c r="CZ22" s="56">
        <f>SUMIFS(tblActuals354[Team 2 Points],tblActuals354[Team 2],$CU22,tblActuals354[Team 1],CZ$3)+SUMIFS(tblActuals354[Team 1 Points],tblActuals354[Team 1],$CU22,tblActuals354[Team 2],CZ$3)</f>
        <v>0</v>
      </c>
      <c r="DA22" s="56">
        <f>SUMIFS(tblActuals354[Team 2 Points],tblActuals354[Team 2],$CU22,tblActuals354[Team 1],DA$3)+SUMIFS(tblActuals354[Team 1 Points],tblActuals354[Team 1],$CU22,tblActuals354[Team 2],DA$3)</f>
        <v>0</v>
      </c>
      <c r="DB22" s="56">
        <f>SUMIFS(tblActuals354[Team 2 Points],tblActuals354[Team 2],$CU22,tblActuals354[Team 1],DB$3)+SUMIFS(tblActuals354[Team 1 Points],tblActuals354[Team 1],$CU22,tblActuals354[Team 2],DB$3)</f>
        <v>0</v>
      </c>
      <c r="DC22" s="56">
        <f>SUMIFS(tblActuals354[Team 2 Points],tblActuals354[Team 2],$CU22,tblActuals354[Team 1],DC$3)+SUMIFS(tblActuals354[Team 1 Points],tblActuals354[Team 1],$CU22,tblActuals354[Team 2],DC$3)</f>
        <v>0</v>
      </c>
      <c r="DD22" s="56">
        <f>SUMIFS(tblActuals354[Team 2 Points],tblActuals354[Team 2],$CU22,tblActuals354[Team 1],DD$3)+SUMIFS(tblActuals354[Team 1 Points],tblActuals354[Team 1],$CU22,tblActuals354[Team 2],DD$3)</f>
        <v>0</v>
      </c>
      <c r="DE22" s="56">
        <f>SUMIFS(tblActuals354[Team 2 Points],tblActuals354[Team 2],$CU22,tblActuals354[Team 1],DE$3)+SUMIFS(tblActuals354[Team 1 Points],tblActuals354[Team 1],$CU22,tblActuals354[Team 2],DE$3)</f>
        <v>0</v>
      </c>
      <c r="DF22" s="56">
        <f>SUMIFS(tblActuals354[Team 2 Points],tblActuals354[Team 2],$CU22,tblActuals354[Team 1],DF$3)+SUMIFS(tblActuals354[Team 1 Points],tblActuals354[Team 1],$CU22,tblActuals354[Team 2],DF$3)</f>
        <v>0</v>
      </c>
      <c r="DG22" s="56">
        <f>SUMIFS(tblActuals354[Team 2 Points],tblActuals354[Team 2],$CU22,tblActuals354[Team 1],DG$3)+SUMIFS(tblActuals354[Team 1 Points],tblActuals354[Team 1],$CU22,tblActuals354[Team 2],DG$3)</f>
        <v>0</v>
      </c>
      <c r="DH22" s="56">
        <f>SUMIFS(tblActuals354[Team 2 Points],tblActuals354[Team 2],$CU22,tblActuals354[Team 1],DH$3)+SUMIFS(tblActuals354[Team 1 Points],tblActuals354[Team 1],$CU22,tblActuals354[Team 2],DH$3)</f>
        <v>0</v>
      </c>
      <c r="DI22" s="56">
        <f>SUMIFS(tblActuals354[Team 2 Points],tblActuals354[Team 2],$CU22,tblActuals354[Team 1],DI$3)+SUMIFS(tblActuals354[Team 1 Points],tblActuals354[Team 1],$CU22,tblActuals354[Team 2],DI$3)</f>
        <v>0</v>
      </c>
      <c r="DJ22" s="56">
        <f>SUMIFS(tblActuals354[Team 2 Points],tblActuals354[Team 2],$CU22,tblActuals354[Team 1],DJ$3)+SUMIFS(tblActuals354[Team 1 Points],tblActuals354[Team 1],$CU22,tblActuals354[Team 2],DJ$3)</f>
        <v>0</v>
      </c>
      <c r="DK22" s="56">
        <f>SUMIFS(tblActuals354[Team 2 Points],tblActuals354[Team 2],$CU22,tblActuals354[Team 1],DK$3)+SUMIFS(tblActuals354[Team 1 Points],tblActuals354[Team 1],$CU22,tblActuals354[Team 2],DK$3)</f>
        <v>0</v>
      </c>
      <c r="DL22" s="56">
        <f>SUMIFS(tblActuals354[Team 2 Points],tblActuals354[Team 2],$CU22,tblActuals354[Team 1],DL$3)+SUMIFS(tblActuals354[Team 1 Points],tblActuals354[Team 1],$CU22,tblActuals354[Team 2],DL$3)</f>
        <v>0</v>
      </c>
      <c r="DM22" s="56">
        <f>SUMIFS(tblActuals354[Team 2 Points],tblActuals354[Team 2],$CU22,tblActuals354[Team 1],DM$3)+SUMIFS(tblActuals354[Team 1 Points],tblActuals354[Team 1],$CU22,tblActuals354[Team 2],DM$3)</f>
        <v>0</v>
      </c>
      <c r="DN22" s="56">
        <f>SUMIFS(tblActuals354[Team 2 Points],tblActuals354[Team 2],$CU22,tblActuals354[Team 1],DN$3)+SUMIFS(tblActuals354[Team 1 Points],tblActuals354[Team 1],$CU22,tblActuals354[Team 2],DN$3)</f>
        <v>0</v>
      </c>
      <c r="DO22" s="56">
        <f>SUMIFS(tblActuals354[Team 2 Points],tblActuals354[Team 2],$CU22,tblActuals354[Team 1],DO$3)+SUMIFS(tblActuals354[Team 1 Points],tblActuals354[Team 1],$CU22,tblActuals354[Team 2],DO$3)</f>
        <v>0</v>
      </c>
      <c r="DP22" s="56">
        <f>SUMIFS(tblActuals354[Team 2 Points],tblActuals354[Team 2],$CU22,tblActuals354[Team 1],DP$3)+SUMIFS(tblActuals354[Team 1 Points],tblActuals354[Team 1],$CU22,tblActuals354[Team 2],DP$3)</f>
        <v>0</v>
      </c>
      <c r="DQ22" s="56">
        <f>SUMIFS(tblActuals354[Team 2 Points],tblActuals354[Team 2],$CU22,tblActuals354[Team 1],DQ$3)+SUMIFS(tblActuals354[Team 1 Points],tblActuals354[Team 1],$CU22,tblActuals354[Team 2],DQ$3)</f>
        <v>0</v>
      </c>
      <c r="DR22" s="56">
        <f>SUMIFS(tblActuals354[Team 2 Points],tblActuals354[Team 2],$CU22,tblActuals354[Team 1],DR$3)+SUMIFS(tblActuals354[Team 1 Points],tblActuals354[Team 1],$CU22,tblActuals354[Team 2],DR$3)</f>
        <v>0</v>
      </c>
      <c r="DS22" s="56">
        <f>SUMIFS(tblActuals354[Team 2 Points],tblActuals354[Team 2],$CU22,tblActuals354[Team 1],DS$3)+SUMIFS(tblActuals354[Team 1 Points],tblActuals354[Team 1],$CU22,tblActuals354[Team 2],DS$3)</f>
        <v>0</v>
      </c>
      <c r="DT22" s="57"/>
      <c r="DU22" s="57"/>
      <c r="DV22" s="57"/>
      <c r="DW22" s="57"/>
      <c r="DX22" s="57"/>
      <c r="DY22" s="57"/>
      <c r="DZ22" s="57"/>
      <c r="EA22" s="57"/>
      <c r="EB22" s="4"/>
      <c r="EC22" s="4" t="s">
        <v>131</v>
      </c>
      <c r="ED22" s="56">
        <f>SUMIFS(tblActuals354[Team 2 GD],tblActuals354[Team 2],$CU22,tblActuals354[Team 1],ED$3)+SUMIFS(tblActuals354[Team 1 GD],tblActuals354[Team 1],$CU22,tblActuals354[Team 2],ED$3)</f>
        <v>0</v>
      </c>
      <c r="EE22" s="56">
        <f>SUMIFS(tblActuals354[Team 2 GD],tblActuals354[Team 2],$CU22,tblActuals354[Team 1],EE$3)+SUMIFS(tblActuals354[Team 1 GD],tblActuals354[Team 1],$CU22,tblActuals354[Team 2],EE$3)</f>
        <v>0</v>
      </c>
      <c r="EF22" s="56">
        <f>SUMIFS(tblActuals354[Team 2 GD],tblActuals354[Team 2],$CU22,tblActuals354[Team 1],EF$3)+SUMIFS(tblActuals354[Team 1 GD],tblActuals354[Team 1],$CU22,tblActuals354[Team 2],EF$3)</f>
        <v>0</v>
      </c>
      <c r="EG22" s="56">
        <f>SUMIFS(tblActuals354[Team 2 GD],tblActuals354[Team 2],$CU22,tblActuals354[Team 1],EG$3)+SUMIFS(tblActuals354[Team 1 GD],tblActuals354[Team 1],$CU22,tblActuals354[Team 2],EG$3)</f>
        <v>0</v>
      </c>
      <c r="EH22" s="56">
        <f>SUMIFS(tblActuals354[Team 2 GD],tblActuals354[Team 2],$CU22,tblActuals354[Team 1],EH$3)+SUMIFS(tblActuals354[Team 1 GD],tblActuals354[Team 1],$CU22,tblActuals354[Team 2],EH$3)</f>
        <v>0</v>
      </c>
      <c r="EI22" s="56">
        <f>SUMIFS(tblActuals354[Team 2 GD],tblActuals354[Team 2],$CU22,tblActuals354[Team 1],EI$3)+SUMIFS(tblActuals354[Team 1 GD],tblActuals354[Team 1],$CU22,tblActuals354[Team 2],EI$3)</f>
        <v>0</v>
      </c>
      <c r="EJ22" s="56">
        <f>SUMIFS(tblActuals354[Team 2 GD],tblActuals354[Team 2],$CU22,tblActuals354[Team 1],EJ$3)+SUMIFS(tblActuals354[Team 1 GD],tblActuals354[Team 1],$CU22,tblActuals354[Team 2],EJ$3)</f>
        <v>0</v>
      </c>
      <c r="EK22" s="56">
        <f>SUMIFS(tblActuals354[Team 2 GD],tblActuals354[Team 2],$CU22,tblActuals354[Team 1],EK$3)+SUMIFS(tblActuals354[Team 1 GD],tblActuals354[Team 1],$CU22,tblActuals354[Team 2],EK$3)</f>
        <v>0</v>
      </c>
      <c r="EL22" s="56">
        <f>SUMIFS(tblActuals354[Team 2 GD],tblActuals354[Team 2],$CU22,tblActuals354[Team 1],EL$3)+SUMIFS(tblActuals354[Team 1 GD],tblActuals354[Team 1],$CU22,tblActuals354[Team 2],EL$3)</f>
        <v>0</v>
      </c>
      <c r="EM22" s="56">
        <f>SUMIFS(tblActuals354[Team 2 GD],tblActuals354[Team 2],$CU22,tblActuals354[Team 1],EM$3)+SUMIFS(tblActuals354[Team 1 GD],tblActuals354[Team 1],$CU22,tblActuals354[Team 2],EM$3)</f>
        <v>0</v>
      </c>
      <c r="EN22" s="56">
        <f>SUMIFS(tblActuals354[Team 2 GD],tblActuals354[Team 2],$CU22,tblActuals354[Team 1],EN$3)+SUMIFS(tblActuals354[Team 1 GD],tblActuals354[Team 1],$CU22,tblActuals354[Team 2],EN$3)</f>
        <v>0</v>
      </c>
      <c r="EO22" s="56">
        <f>SUMIFS(tblActuals354[Team 2 GD],tblActuals354[Team 2],$CU22,tblActuals354[Team 1],EO$3)+SUMIFS(tblActuals354[Team 1 GD],tblActuals354[Team 1],$CU22,tblActuals354[Team 2],EO$3)</f>
        <v>0</v>
      </c>
      <c r="EP22" s="56">
        <f>SUMIFS(tblActuals354[Team 2 GD],tblActuals354[Team 2],$CU22,tblActuals354[Team 1],EP$3)+SUMIFS(tblActuals354[Team 1 GD],tblActuals354[Team 1],$CU22,tblActuals354[Team 2],EP$3)</f>
        <v>0</v>
      </c>
      <c r="EQ22" s="56">
        <f>SUMIFS(tblActuals354[Team 2 GD],tblActuals354[Team 2],$CU22,tblActuals354[Team 1],EQ$3)+SUMIFS(tblActuals354[Team 1 GD],tblActuals354[Team 1],$CU22,tblActuals354[Team 2],EQ$3)</f>
        <v>0</v>
      </c>
      <c r="ER22" s="56">
        <f>SUMIFS(tblActuals354[Team 2 GD],tblActuals354[Team 2],$CU22,tblActuals354[Team 1],ER$3)+SUMIFS(tblActuals354[Team 1 GD],tblActuals354[Team 1],$CU22,tblActuals354[Team 2],ER$3)</f>
        <v>0</v>
      </c>
      <c r="ES22" s="56">
        <f>SUMIFS(tblActuals354[Team 2 GD],tblActuals354[Team 2],$CU22,tblActuals354[Team 1],ES$3)+SUMIFS(tblActuals354[Team 1 GD],tblActuals354[Team 1],$CU22,tblActuals354[Team 2],ES$3)</f>
        <v>0</v>
      </c>
      <c r="ET22" s="56">
        <f>SUMIFS(tblActuals354[Team 2 GD],tblActuals354[Team 2],$CU22,tblActuals354[Team 1],ET$3)+SUMIFS(tblActuals354[Team 1 GD],tblActuals354[Team 1],$CU22,tblActuals354[Team 2],ET$3)</f>
        <v>0</v>
      </c>
      <c r="EU22" s="56">
        <f>SUMIFS(tblActuals354[Team 2 GD],tblActuals354[Team 2],$CU22,tblActuals354[Team 1],EU$3)+SUMIFS(tblActuals354[Team 1 GD],tblActuals354[Team 1],$CU22,tblActuals354[Team 2],EU$3)</f>
        <v>0</v>
      </c>
      <c r="EV22" s="56">
        <f>SUMIFS(tblActuals354[Team 2 GD],tblActuals354[Team 2],$CU22,tblActuals354[Team 1],EV$3)+SUMIFS(tblActuals354[Team 1 GD],tblActuals354[Team 1],$CU22,tblActuals354[Team 2],EV$3)</f>
        <v>0</v>
      </c>
      <c r="EW22" s="56">
        <f>SUMIFS(tblActuals354[Team 2 GD],tblActuals354[Team 2],$CU22,tblActuals354[Team 1],EW$3)+SUMIFS(tblActuals354[Team 1 GD],tblActuals354[Team 1],$CU22,tblActuals354[Team 2],EW$3)</f>
        <v>0</v>
      </c>
      <c r="EX22" s="56">
        <f>SUMIFS(tblActuals354[Team 2 GD],tblActuals354[Team 2],$CU22,tblActuals354[Team 1],EX$3)+SUMIFS(tblActuals354[Team 1 GD],tblActuals354[Team 1],$CU22,tblActuals354[Team 2],EX$3)</f>
        <v>0</v>
      </c>
      <c r="EY22" s="56">
        <f>SUMIFS(tblActuals354[Team 2 GD],tblActuals354[Team 2],$CU22,tblActuals354[Team 1],EY$3)+SUMIFS(tblActuals354[Team 1 GD],tblActuals354[Team 1],$CU22,tblActuals354[Team 2],EY$3)</f>
        <v>0</v>
      </c>
      <c r="EZ22" s="56">
        <f>SUMIFS(tblActuals354[Team 2 GD],tblActuals354[Team 2],$CU22,tblActuals354[Team 1],EZ$3)+SUMIFS(tblActuals354[Team 1 GD],tblActuals354[Team 1],$CU22,tblActuals354[Team 2],EZ$3)</f>
        <v>0</v>
      </c>
      <c r="FA22" s="56">
        <f>SUMIFS(tblActuals354[Team 2 GD],tblActuals354[Team 2],$CU22,tblActuals354[Team 1],FA$3)+SUMIFS(tblActuals354[Team 1 GD],tblActuals354[Team 1],$CU22,tblActuals354[Team 2],FA$3)</f>
        <v>0</v>
      </c>
      <c r="FB22" s="57"/>
      <c r="FC22" s="57"/>
      <c r="FD22" s="57"/>
      <c r="FE22" s="57"/>
      <c r="FF22" s="57"/>
      <c r="FG22" s="57"/>
      <c r="FH22" s="57"/>
      <c r="FI22" s="57"/>
      <c r="FJ22" s="4"/>
      <c r="FK22" s="4" t="s">
        <v>131</v>
      </c>
      <c r="FL22" s="56">
        <f>SUMIFS(tblActuals354[Team 2 Goals],tblActuals354[Team 2],$CU22,tblActuals354[Team 1],FL$3)+SUMIFS(tblActuals354[Team 1 Goals],tblActuals354[Team 1],$CU22,tblActuals354[Team 2],FL$3)</f>
        <v>0</v>
      </c>
      <c r="FM22" s="56">
        <f>SUMIFS(tblActuals354[Team 2 Goals],tblActuals354[Team 2],$CU22,tblActuals354[Team 1],FM$3)+SUMIFS(tblActuals354[Team 1 Goals],tblActuals354[Team 1],$CU22,tblActuals354[Team 2],FM$3)</f>
        <v>0</v>
      </c>
      <c r="FN22" s="56">
        <f>SUMIFS(tblActuals354[Team 2 Goals],tblActuals354[Team 2],$CU22,tblActuals354[Team 1],FN$3)+SUMIFS(tblActuals354[Team 1 Goals],tblActuals354[Team 1],$CU22,tblActuals354[Team 2],FN$3)</f>
        <v>0</v>
      </c>
      <c r="FO22" s="56">
        <f>SUMIFS(tblActuals354[Team 2 Goals],tblActuals354[Team 2],$CU22,tblActuals354[Team 1],FO$3)+SUMIFS(tblActuals354[Team 1 Goals],tblActuals354[Team 1],$CU22,tblActuals354[Team 2],FO$3)</f>
        <v>0</v>
      </c>
      <c r="FP22" s="56">
        <f>SUMIFS(tblActuals354[Team 2 Goals],tblActuals354[Team 2],$CU22,tblActuals354[Team 1],FP$3)+SUMIFS(tblActuals354[Team 1 Goals],tblActuals354[Team 1],$CU22,tblActuals354[Team 2],FP$3)</f>
        <v>0</v>
      </c>
      <c r="FQ22" s="56">
        <f>SUMIFS(tblActuals354[Team 2 Goals],tblActuals354[Team 2],$CU22,tblActuals354[Team 1],FQ$3)+SUMIFS(tblActuals354[Team 1 Goals],tblActuals354[Team 1],$CU22,tblActuals354[Team 2],FQ$3)</f>
        <v>0</v>
      </c>
      <c r="FR22" s="56">
        <f>SUMIFS(tblActuals354[Team 2 Goals],tblActuals354[Team 2],$CU22,tblActuals354[Team 1],FR$3)+SUMIFS(tblActuals354[Team 1 Goals],tblActuals354[Team 1],$CU22,tblActuals354[Team 2],FR$3)</f>
        <v>0</v>
      </c>
      <c r="FS22" s="56">
        <f>SUMIFS(tblActuals354[Team 2 Goals],tblActuals354[Team 2],$CU22,tblActuals354[Team 1],FS$3)+SUMIFS(tblActuals354[Team 1 Goals],tblActuals354[Team 1],$CU22,tblActuals354[Team 2],FS$3)</f>
        <v>0</v>
      </c>
      <c r="FT22" s="56">
        <f>SUMIFS(tblActuals354[Team 2 Goals],tblActuals354[Team 2],$CU22,tblActuals354[Team 1],FT$3)+SUMIFS(tblActuals354[Team 1 Goals],tblActuals354[Team 1],$CU22,tblActuals354[Team 2],FT$3)</f>
        <v>0</v>
      </c>
      <c r="FU22" s="56">
        <f>SUMIFS(tblActuals354[Team 2 Goals],tblActuals354[Team 2],$CU22,tblActuals354[Team 1],FU$3)+SUMIFS(tblActuals354[Team 1 Goals],tblActuals354[Team 1],$CU22,tblActuals354[Team 2],FU$3)</f>
        <v>0</v>
      </c>
      <c r="FV22" s="56">
        <f>SUMIFS(tblActuals354[Team 2 Goals],tblActuals354[Team 2],$CU22,tblActuals354[Team 1],FV$3)+SUMIFS(tblActuals354[Team 1 Goals],tblActuals354[Team 1],$CU22,tblActuals354[Team 2],FV$3)</f>
        <v>0</v>
      </c>
      <c r="FW22" s="56">
        <f>SUMIFS(tblActuals354[Team 2 Goals],tblActuals354[Team 2],$CU22,tblActuals354[Team 1],FW$3)+SUMIFS(tblActuals354[Team 1 Goals],tblActuals354[Team 1],$CU22,tblActuals354[Team 2],FW$3)</f>
        <v>0</v>
      </c>
      <c r="FX22" s="56">
        <f>SUMIFS(tblActuals354[Team 2 Goals],tblActuals354[Team 2],$CU22,tblActuals354[Team 1],FX$3)+SUMIFS(tblActuals354[Team 1 Goals],tblActuals354[Team 1],$CU22,tblActuals354[Team 2],FX$3)</f>
        <v>0</v>
      </c>
      <c r="FY22" s="56">
        <f>SUMIFS(tblActuals354[Team 2 Goals],tblActuals354[Team 2],$CU22,tblActuals354[Team 1],FY$3)+SUMIFS(tblActuals354[Team 1 Goals],tblActuals354[Team 1],$CU22,tblActuals354[Team 2],FY$3)</f>
        <v>0</v>
      </c>
      <c r="FZ22" s="56">
        <f>SUMIFS(tblActuals354[Team 2 Goals],tblActuals354[Team 2],$CU22,tblActuals354[Team 1],FZ$3)+SUMIFS(tblActuals354[Team 1 Goals],tblActuals354[Team 1],$CU22,tblActuals354[Team 2],FZ$3)</f>
        <v>0</v>
      </c>
      <c r="GA22" s="56">
        <f>SUMIFS(tblActuals354[Team 2 Goals],tblActuals354[Team 2],$CU22,tblActuals354[Team 1],GA$3)+SUMIFS(tblActuals354[Team 1 Goals],tblActuals354[Team 1],$CU22,tblActuals354[Team 2],GA$3)</f>
        <v>0</v>
      </c>
      <c r="GB22" s="56">
        <f>SUMIFS(tblActuals354[Team 2 Goals],tblActuals354[Team 2],$CU22,tblActuals354[Team 1],GB$3)+SUMIFS(tblActuals354[Team 1 Goals],tblActuals354[Team 1],$CU22,tblActuals354[Team 2],GB$3)</f>
        <v>0</v>
      </c>
      <c r="GC22" s="56">
        <f>SUMIFS(tblActuals354[Team 2 Goals],tblActuals354[Team 2],$CU22,tblActuals354[Team 1],GC$3)+SUMIFS(tblActuals354[Team 1 Goals],tblActuals354[Team 1],$CU22,tblActuals354[Team 2],GC$3)</f>
        <v>0</v>
      </c>
      <c r="GD22" s="56">
        <f>SUMIFS(tblActuals354[Team 2 Goals],tblActuals354[Team 2],$CU22,tblActuals354[Team 1],GD$3)+SUMIFS(tblActuals354[Team 1 Goals],tblActuals354[Team 1],$CU22,tblActuals354[Team 2],GD$3)</f>
        <v>0</v>
      </c>
      <c r="GE22" s="56">
        <f>SUMIFS(tblActuals354[Team 2 Goals],tblActuals354[Team 2],$CU22,tblActuals354[Team 1],GE$3)+SUMIFS(tblActuals354[Team 1 Goals],tblActuals354[Team 1],$CU22,tblActuals354[Team 2],GE$3)</f>
        <v>0</v>
      </c>
      <c r="GF22" s="56">
        <f>SUMIFS(tblActuals354[Team 2 Goals],tblActuals354[Team 2],$CU22,tblActuals354[Team 1],GF$3)+SUMIFS(tblActuals354[Team 1 Goals],tblActuals354[Team 1],$CU22,tblActuals354[Team 2],GF$3)</f>
        <v>0</v>
      </c>
      <c r="GG22" s="56">
        <f>SUMIFS(tblActuals354[Team 2 Goals],tblActuals354[Team 2],$CU22,tblActuals354[Team 1],GG$3)+SUMIFS(tblActuals354[Team 1 Goals],tblActuals354[Team 1],$CU22,tblActuals354[Team 2],GG$3)</f>
        <v>0</v>
      </c>
      <c r="GH22" s="56">
        <f>SUMIFS(tblActuals354[Team 2 Goals],tblActuals354[Team 2],$CU22,tblActuals354[Team 1],GH$3)+SUMIFS(tblActuals354[Team 1 Goals],tblActuals354[Team 1],$CU22,tblActuals354[Team 2],GH$3)</f>
        <v>0</v>
      </c>
      <c r="GI22" s="56">
        <f>SUMIFS(tblActuals354[Team 2 Goals],tblActuals354[Team 2],$CU22,tblActuals354[Team 1],GI$3)+SUMIFS(tblActuals354[Team 1 Goals],tblActuals354[Team 1],$CU22,tblActuals354[Team 2],GI$3)</f>
        <v>0</v>
      </c>
      <c r="GJ22" s="57"/>
      <c r="GK22" s="57"/>
      <c r="GL22" s="37"/>
      <c r="GM22" s="37"/>
      <c r="GN22" s="37"/>
      <c r="GO22" s="37"/>
      <c r="GP22" s="37"/>
      <c r="GQ22" s="37"/>
      <c r="GR22" s="75"/>
      <c r="GS22" s="157"/>
      <c r="GT22" s="157"/>
      <c r="GU22" s="75"/>
      <c r="GV22" s="75"/>
      <c r="GW22" s="75"/>
      <c r="GX22" s="75"/>
      <c r="GY22" s="75"/>
      <c r="GZ22" s="75"/>
    </row>
    <row r="23" spans="1:221" s="11" customFormat="1" ht="30" customHeight="1" thickBot="1" x14ac:dyDescent="0.3">
      <c r="A23" s="20"/>
      <c r="B23" s="122">
        <v>20</v>
      </c>
      <c r="C23" s="122" t="s">
        <v>7</v>
      </c>
      <c r="D23" s="123">
        <v>45464</v>
      </c>
      <c r="E23" s="122" t="s">
        <v>87</v>
      </c>
      <c r="F23" s="124">
        <v>0.875</v>
      </c>
      <c r="G23" s="125">
        <f t="shared" si="11"/>
        <v>45464.625</v>
      </c>
      <c r="H23" s="122" t="s">
        <v>108</v>
      </c>
      <c r="I23" s="126"/>
      <c r="J23" s="118"/>
      <c r="K23" s="118"/>
      <c r="L23" s="174">
        <f>IF(I23="",0,IFERROR(IF(SCORING.RULES!$C$8="No",1,((VLOOKUP($B23,ACTUALS!$B$4:$L$100,7,FALSE)=$H23)+(VLOOKUP($B23,ACTUALS!$B$4:$L$100,7,FALSE)=S23)))*(M23+N23+O23+P23+Q23),0))+$R23</f>
        <v>0</v>
      </c>
      <c r="M23" s="168">
        <f>IFERROR(IF($B23="","",IF(U23=INDEX(ACTUALS!$AA$4:$AA$100,MATCH($B23,ACTUALS!$B$4:$B$100,0),1),CorrectScore,0)),0)</f>
        <v>0</v>
      </c>
      <c r="N23" s="157" t="str">
        <f>IFERROR(IF(I23="","",IF(INDEX(ACTUALS!$AB$4:$AB$100,MATCH($B23,ACTUALS!$B$4:$B$100,0),1)=(AB23+AC23+AH23+AI23),CorrectNumberofGoals,0)),0)</f>
        <v/>
      </c>
      <c r="O23" s="157"/>
      <c r="P23" s="157">
        <f>IFERROR(IF(B23="","",IF(INDEX(ACTUALS!$L$4:$L$100,MATCH($B23,ACTUALS!$B$4:$B$100,0),1)=W23,CorrectResult,0)),0)</f>
        <v>3</v>
      </c>
      <c r="Q23" s="157"/>
      <c r="R23" s="157"/>
      <c r="S23" s="157" t="str">
        <f t="shared" si="0"/>
        <v/>
      </c>
      <c r="T23" s="157"/>
      <c r="U23" s="157" t="str">
        <f t="shared" si="1"/>
        <v/>
      </c>
      <c r="V23" s="157" t="str">
        <f t="shared" si="2"/>
        <v/>
      </c>
      <c r="W23" s="119" t="str">
        <f>IF(tblActuals354[[#This Row],[SCORE]]="","",IF(AB23=AC23,"Draw",IF(AB23&gt;AC23,X23,Y23)))</f>
        <v/>
      </c>
      <c r="X23" s="120" t="str">
        <f>IF(tblActuals354[[#This Row],[TEAMS]]="","",LEFT(H23,FIND(" -",H23,1)-1))</f>
        <v>Netherlands</v>
      </c>
      <c r="Y23" s="120" t="str">
        <f>IF(tblActuals354[[#This Row],[TEAMS]]="","",MID(H23,FIND("-",H23,1)+2,LEN(H23)-FIND("-",H23,1)+2))</f>
        <v>France</v>
      </c>
      <c r="Z23" s="120" t="str">
        <f>IF(tblActuals354[[#This Row],[Team 1 Goals]]&gt;tblActuals354[[#This Row],[Team 2 Goals]],tblActuals354[[#This Row],[Team 1]],IF(tblActuals354[[#This Row],[Team 2 Goals]]&gt;tblActuals354[[#This Row],[Team 1 Goals]],tblActuals354[[#This Row],[Team 2]],""))</f>
        <v/>
      </c>
      <c r="AA23" s="120" t="str">
        <f>IF(tblActuals354[[#This Row],[Winner]]=tblActuals354[[#This Row],[Team 1]],tblActuals354[[#This Row],[Team 2]],IF(tblActuals354[[#This Row],[Winner]]=tblActuals354[[#This Row],[Team 2]],tblActuals354[[#This Row],[Team 1]],""))</f>
        <v/>
      </c>
      <c r="AB23" s="120" t="str">
        <f>IF(tblActuals354[[#This Row],[SCORE]]="","",LEFT(I23,FIND(":",I23,1)-1)*1)</f>
        <v/>
      </c>
      <c r="AC23" s="120" t="str">
        <f>IF(tblActuals354[[#This Row],[SCORE]]="","",MID(I23,FIND(":",I23,1)+1,LEN(I23)-FIND(":",I23,1)+1)*1)</f>
        <v/>
      </c>
      <c r="AD23" s="120" t="str">
        <f>IF(OR(tblActuals354[[#This Row],[Team 1 Goals]]="",tblActuals354[[#This Row],[Team 2 Goals]]=""),"",tblActuals354[[#This Row],[Team 1 Goals]]-tblActuals354[[#This Row],[Team 2 Goals]])</f>
        <v/>
      </c>
      <c r="AE23" s="120" t="str">
        <f>IF(OR(tblActuals354[[#This Row],[Team 1 Goals]]="",tblActuals354[[#This Row],[Team 2 Goals]]=""),"",tblActuals354[[#This Row],[Team 2 Goals]]-tblActuals354[[#This Row],[Team 1 Goals]])</f>
        <v/>
      </c>
      <c r="AF23" s="120" t="str">
        <f>IF(tblActuals354[[#This Row],[SCORE]]="","",IF(tblActuals354[[#This Row],[WINNER / RESULT]]="Draw",1,IF(tblActuals354[[#This Row],[WINNER / RESULT]]=tblActuals354[[#This Row],[Team 1]],3,0)))</f>
        <v/>
      </c>
      <c r="AG23" s="120" t="str">
        <f>IF(tblActuals354[[#This Row],[SCORE]]="","",IF(tblActuals354[[#This Row],[WINNER / RESULT]]="Draw",1,IF(tblActuals354[[#This Row],[WINNER / RESULT]]=tblActuals354[[#This Row],[Team 2]],3,0)))</f>
        <v/>
      </c>
      <c r="AH23" s="121"/>
      <c r="AI23" s="121"/>
      <c r="AJ23" s="121"/>
      <c r="AK23" s="121"/>
      <c r="AL23" s="120" t="e">
        <f>tblActuals354[[#This Row],[Team 1 Goals]]+tblActuals354[[#This Row],[Team 1 ET Goals]]&amp;":"&amp;tblActuals354[[#This Row],[Team 2 Goals]]+tblActuals354[[#This Row],[Team 2 ET Goals]]</f>
        <v>#VALUE!</v>
      </c>
      <c r="AM23" s="120" t="e">
        <f>+tblActuals354[[#This Row],[Team 1 Goals]]+tblActuals354[[#This Row],[Team 2 Goals]]</f>
        <v>#VALUE!</v>
      </c>
      <c r="AN23" s="161">
        <f t="shared" si="3"/>
        <v>45464</v>
      </c>
      <c r="AT23" s="78"/>
      <c r="AU23" s="179" t="s">
        <v>54</v>
      </c>
      <c r="AV23" s="180"/>
      <c r="AW23" s="133" t="s">
        <v>46</v>
      </c>
      <c r="AX23" s="134" t="s">
        <v>57</v>
      </c>
      <c r="AY23" s="135" t="s">
        <v>11</v>
      </c>
      <c r="AZ23" s="75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 t="str">
        <f t="shared" si="4"/>
        <v/>
      </c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U23" s="4" t="s">
        <v>132</v>
      </c>
      <c r="CV23" s="56">
        <f>SUMIFS(tblActuals354[Team 2 Points],tblActuals354[Team 2],$CU23,tblActuals354[Team 1],CV$3)+SUMIFS(tblActuals354[Team 1 Points],tblActuals354[Team 1],$CU23,tblActuals354[Team 2],CV$3)</f>
        <v>0</v>
      </c>
      <c r="CW23" s="56">
        <f>SUMIFS(tblActuals354[Team 2 Points],tblActuals354[Team 2],$CU23,tblActuals354[Team 1],CW$3)+SUMIFS(tblActuals354[Team 1 Points],tblActuals354[Team 1],$CU23,tblActuals354[Team 2],CW$3)</f>
        <v>0</v>
      </c>
      <c r="CX23" s="56">
        <f>SUMIFS(tblActuals354[Team 2 Points],tblActuals354[Team 2],$CU23,tblActuals354[Team 1],CX$3)+SUMIFS(tblActuals354[Team 1 Points],tblActuals354[Team 1],$CU23,tblActuals354[Team 2],CX$3)</f>
        <v>0</v>
      </c>
      <c r="CY23" s="56">
        <f>SUMIFS(tblActuals354[Team 2 Points],tblActuals354[Team 2],$CU23,tblActuals354[Team 1],CY$3)+SUMIFS(tblActuals354[Team 1 Points],tblActuals354[Team 1],$CU23,tblActuals354[Team 2],CY$3)</f>
        <v>0</v>
      </c>
      <c r="CZ23" s="56">
        <f>SUMIFS(tblActuals354[Team 2 Points],tblActuals354[Team 2],$CU23,tblActuals354[Team 1],CZ$3)+SUMIFS(tblActuals354[Team 1 Points],tblActuals354[Team 1],$CU23,tblActuals354[Team 2],CZ$3)</f>
        <v>0</v>
      </c>
      <c r="DA23" s="56">
        <f>SUMIFS(tblActuals354[Team 2 Points],tblActuals354[Team 2],$CU23,tblActuals354[Team 1],DA$3)+SUMIFS(tblActuals354[Team 1 Points],tblActuals354[Team 1],$CU23,tblActuals354[Team 2],DA$3)</f>
        <v>0</v>
      </c>
      <c r="DB23" s="56">
        <f>SUMIFS(tblActuals354[Team 2 Points],tblActuals354[Team 2],$CU23,tblActuals354[Team 1],DB$3)+SUMIFS(tblActuals354[Team 1 Points],tblActuals354[Team 1],$CU23,tblActuals354[Team 2],DB$3)</f>
        <v>0</v>
      </c>
      <c r="DC23" s="56">
        <f>SUMIFS(tblActuals354[Team 2 Points],tblActuals354[Team 2],$CU23,tblActuals354[Team 1],DC$3)+SUMIFS(tblActuals354[Team 1 Points],tblActuals354[Team 1],$CU23,tblActuals354[Team 2],DC$3)</f>
        <v>0</v>
      </c>
      <c r="DD23" s="56">
        <f>SUMIFS(tblActuals354[Team 2 Points],tblActuals354[Team 2],$CU23,tblActuals354[Team 1],DD$3)+SUMIFS(tblActuals354[Team 1 Points],tblActuals354[Team 1],$CU23,tblActuals354[Team 2],DD$3)</f>
        <v>0</v>
      </c>
      <c r="DE23" s="56">
        <f>SUMIFS(tblActuals354[Team 2 Points],tblActuals354[Team 2],$CU23,tblActuals354[Team 1],DE$3)+SUMIFS(tblActuals354[Team 1 Points],tblActuals354[Team 1],$CU23,tblActuals354[Team 2],DE$3)</f>
        <v>0</v>
      </c>
      <c r="DF23" s="56">
        <f>SUMIFS(tblActuals354[Team 2 Points],tblActuals354[Team 2],$CU23,tblActuals354[Team 1],DF$3)+SUMIFS(tblActuals354[Team 1 Points],tblActuals354[Team 1],$CU23,tblActuals354[Team 2],DF$3)</f>
        <v>0</v>
      </c>
      <c r="DG23" s="56">
        <f>SUMIFS(tblActuals354[Team 2 Points],tblActuals354[Team 2],$CU23,tblActuals354[Team 1],DG$3)+SUMIFS(tblActuals354[Team 1 Points],tblActuals354[Team 1],$CU23,tblActuals354[Team 2],DG$3)</f>
        <v>0</v>
      </c>
      <c r="DH23" s="56">
        <f>SUMIFS(tblActuals354[Team 2 Points],tblActuals354[Team 2],$CU23,tblActuals354[Team 1],DH$3)+SUMIFS(tblActuals354[Team 1 Points],tblActuals354[Team 1],$CU23,tblActuals354[Team 2],DH$3)</f>
        <v>0</v>
      </c>
      <c r="DI23" s="56">
        <f>SUMIFS(tblActuals354[Team 2 Points],tblActuals354[Team 2],$CU23,tblActuals354[Team 1],DI$3)+SUMIFS(tblActuals354[Team 1 Points],tblActuals354[Team 1],$CU23,tblActuals354[Team 2],DI$3)</f>
        <v>0</v>
      </c>
      <c r="DJ23" s="56">
        <f>SUMIFS(tblActuals354[Team 2 Points],tblActuals354[Team 2],$CU23,tblActuals354[Team 1],DJ$3)+SUMIFS(tblActuals354[Team 1 Points],tblActuals354[Team 1],$CU23,tblActuals354[Team 2],DJ$3)</f>
        <v>0</v>
      </c>
      <c r="DK23" s="56">
        <f>SUMIFS(tblActuals354[Team 2 Points],tblActuals354[Team 2],$CU23,tblActuals354[Team 1],DK$3)+SUMIFS(tblActuals354[Team 1 Points],tblActuals354[Team 1],$CU23,tblActuals354[Team 2],DK$3)</f>
        <v>0</v>
      </c>
      <c r="DL23" s="56">
        <f>SUMIFS(tblActuals354[Team 2 Points],tblActuals354[Team 2],$CU23,tblActuals354[Team 1],DL$3)+SUMIFS(tblActuals354[Team 1 Points],tblActuals354[Team 1],$CU23,tblActuals354[Team 2],DL$3)</f>
        <v>0</v>
      </c>
      <c r="DM23" s="56">
        <f>SUMIFS(tblActuals354[Team 2 Points],tblActuals354[Team 2],$CU23,tblActuals354[Team 1],DM$3)+SUMIFS(tblActuals354[Team 1 Points],tblActuals354[Team 1],$CU23,tblActuals354[Team 2],DM$3)</f>
        <v>0</v>
      </c>
      <c r="DN23" s="56">
        <f>SUMIFS(tblActuals354[Team 2 Points],tblActuals354[Team 2],$CU23,tblActuals354[Team 1],DN$3)+SUMIFS(tblActuals354[Team 1 Points],tblActuals354[Team 1],$CU23,tblActuals354[Team 2],DN$3)</f>
        <v>0</v>
      </c>
      <c r="DO23" s="56">
        <f>SUMIFS(tblActuals354[Team 2 Points],tblActuals354[Team 2],$CU23,tblActuals354[Team 1],DO$3)+SUMIFS(tblActuals354[Team 1 Points],tblActuals354[Team 1],$CU23,tblActuals354[Team 2],DO$3)</f>
        <v>0</v>
      </c>
      <c r="DP23" s="56">
        <f>SUMIFS(tblActuals354[Team 2 Points],tblActuals354[Team 2],$CU23,tblActuals354[Team 1],DP$3)+SUMIFS(tblActuals354[Team 1 Points],tblActuals354[Team 1],$CU23,tblActuals354[Team 2],DP$3)</f>
        <v>0</v>
      </c>
      <c r="DQ23" s="56">
        <f>SUMIFS(tblActuals354[Team 2 Points],tblActuals354[Team 2],$CU23,tblActuals354[Team 1],DQ$3)+SUMIFS(tblActuals354[Team 1 Points],tblActuals354[Team 1],$CU23,tblActuals354[Team 2],DQ$3)</f>
        <v>0</v>
      </c>
      <c r="DR23" s="56">
        <f>SUMIFS(tblActuals354[Team 2 Points],tblActuals354[Team 2],$CU23,tblActuals354[Team 1],DR$3)+SUMIFS(tblActuals354[Team 1 Points],tblActuals354[Team 1],$CU23,tblActuals354[Team 2],DR$3)</f>
        <v>0</v>
      </c>
      <c r="DS23" s="56">
        <f>SUMIFS(tblActuals354[Team 2 Points],tblActuals354[Team 2],$CU23,tblActuals354[Team 1],DS$3)+SUMIFS(tblActuals354[Team 1 Points],tblActuals354[Team 1],$CU23,tblActuals354[Team 2],DS$3)</f>
        <v>0</v>
      </c>
      <c r="DT23" s="57"/>
      <c r="DU23" s="57"/>
      <c r="DV23" s="57"/>
      <c r="DW23" s="57"/>
      <c r="DX23" s="57"/>
      <c r="DY23" s="57"/>
      <c r="DZ23" s="57"/>
      <c r="EA23" s="57"/>
      <c r="EB23" s="4"/>
      <c r="EC23" s="4" t="s">
        <v>132</v>
      </c>
      <c r="ED23" s="56">
        <f>SUMIFS(tblActuals354[Team 2 GD],tblActuals354[Team 2],$CU23,tblActuals354[Team 1],ED$3)+SUMIFS(tblActuals354[Team 1 GD],tblActuals354[Team 1],$CU23,tblActuals354[Team 2],ED$3)</f>
        <v>0</v>
      </c>
      <c r="EE23" s="56">
        <f>SUMIFS(tblActuals354[Team 2 GD],tblActuals354[Team 2],$CU23,tblActuals354[Team 1],EE$3)+SUMIFS(tblActuals354[Team 1 GD],tblActuals354[Team 1],$CU23,tblActuals354[Team 2],EE$3)</f>
        <v>0</v>
      </c>
      <c r="EF23" s="56">
        <f>SUMIFS(tblActuals354[Team 2 GD],tblActuals354[Team 2],$CU23,tblActuals354[Team 1],EF$3)+SUMIFS(tblActuals354[Team 1 GD],tblActuals354[Team 1],$CU23,tblActuals354[Team 2],EF$3)</f>
        <v>0</v>
      </c>
      <c r="EG23" s="56">
        <f>SUMIFS(tblActuals354[Team 2 GD],tblActuals354[Team 2],$CU23,tblActuals354[Team 1],EG$3)+SUMIFS(tblActuals354[Team 1 GD],tblActuals354[Team 1],$CU23,tblActuals354[Team 2],EG$3)</f>
        <v>0</v>
      </c>
      <c r="EH23" s="56">
        <f>SUMIFS(tblActuals354[Team 2 GD],tblActuals354[Team 2],$CU23,tblActuals354[Team 1],EH$3)+SUMIFS(tblActuals354[Team 1 GD],tblActuals354[Team 1],$CU23,tblActuals354[Team 2],EH$3)</f>
        <v>0</v>
      </c>
      <c r="EI23" s="56">
        <f>SUMIFS(tblActuals354[Team 2 GD],tblActuals354[Team 2],$CU23,tblActuals354[Team 1],EI$3)+SUMIFS(tblActuals354[Team 1 GD],tblActuals354[Team 1],$CU23,tblActuals354[Team 2],EI$3)</f>
        <v>0</v>
      </c>
      <c r="EJ23" s="56">
        <f>SUMIFS(tblActuals354[Team 2 GD],tblActuals354[Team 2],$CU23,tblActuals354[Team 1],EJ$3)+SUMIFS(tblActuals354[Team 1 GD],tblActuals354[Team 1],$CU23,tblActuals354[Team 2],EJ$3)</f>
        <v>0</v>
      </c>
      <c r="EK23" s="56">
        <f>SUMIFS(tblActuals354[Team 2 GD],tblActuals354[Team 2],$CU23,tblActuals354[Team 1],EK$3)+SUMIFS(tblActuals354[Team 1 GD],tblActuals354[Team 1],$CU23,tblActuals354[Team 2],EK$3)</f>
        <v>0</v>
      </c>
      <c r="EL23" s="56">
        <f>SUMIFS(tblActuals354[Team 2 GD],tblActuals354[Team 2],$CU23,tblActuals354[Team 1],EL$3)+SUMIFS(tblActuals354[Team 1 GD],tblActuals354[Team 1],$CU23,tblActuals354[Team 2],EL$3)</f>
        <v>0</v>
      </c>
      <c r="EM23" s="56">
        <f>SUMIFS(tblActuals354[Team 2 GD],tblActuals354[Team 2],$CU23,tblActuals354[Team 1],EM$3)+SUMIFS(tblActuals354[Team 1 GD],tblActuals354[Team 1],$CU23,tblActuals354[Team 2],EM$3)</f>
        <v>0</v>
      </c>
      <c r="EN23" s="56">
        <f>SUMIFS(tblActuals354[Team 2 GD],tblActuals354[Team 2],$CU23,tblActuals354[Team 1],EN$3)+SUMIFS(tblActuals354[Team 1 GD],tblActuals354[Team 1],$CU23,tblActuals354[Team 2],EN$3)</f>
        <v>0</v>
      </c>
      <c r="EO23" s="56">
        <f>SUMIFS(tblActuals354[Team 2 GD],tblActuals354[Team 2],$CU23,tblActuals354[Team 1],EO$3)+SUMIFS(tblActuals354[Team 1 GD],tblActuals354[Team 1],$CU23,tblActuals354[Team 2],EO$3)</f>
        <v>0</v>
      </c>
      <c r="EP23" s="56">
        <f>SUMIFS(tblActuals354[Team 2 GD],tblActuals354[Team 2],$CU23,tblActuals354[Team 1],EP$3)+SUMIFS(tblActuals354[Team 1 GD],tblActuals354[Team 1],$CU23,tblActuals354[Team 2],EP$3)</f>
        <v>0</v>
      </c>
      <c r="EQ23" s="56">
        <f>SUMIFS(tblActuals354[Team 2 GD],tblActuals354[Team 2],$CU23,tblActuals354[Team 1],EQ$3)+SUMIFS(tblActuals354[Team 1 GD],tblActuals354[Team 1],$CU23,tblActuals354[Team 2],EQ$3)</f>
        <v>0</v>
      </c>
      <c r="ER23" s="56">
        <f>SUMIFS(tblActuals354[Team 2 GD],tblActuals354[Team 2],$CU23,tblActuals354[Team 1],ER$3)+SUMIFS(tblActuals354[Team 1 GD],tblActuals354[Team 1],$CU23,tblActuals354[Team 2],ER$3)</f>
        <v>0</v>
      </c>
      <c r="ES23" s="56">
        <f>SUMIFS(tblActuals354[Team 2 GD],tblActuals354[Team 2],$CU23,tblActuals354[Team 1],ES$3)+SUMIFS(tblActuals354[Team 1 GD],tblActuals354[Team 1],$CU23,tblActuals354[Team 2],ES$3)</f>
        <v>0</v>
      </c>
      <c r="ET23" s="56">
        <f>SUMIFS(tblActuals354[Team 2 GD],tblActuals354[Team 2],$CU23,tblActuals354[Team 1],ET$3)+SUMIFS(tblActuals354[Team 1 GD],tblActuals354[Team 1],$CU23,tblActuals354[Team 2],ET$3)</f>
        <v>0</v>
      </c>
      <c r="EU23" s="56">
        <f>SUMIFS(tblActuals354[Team 2 GD],tblActuals354[Team 2],$CU23,tblActuals354[Team 1],EU$3)+SUMIFS(tblActuals354[Team 1 GD],tblActuals354[Team 1],$CU23,tblActuals354[Team 2],EU$3)</f>
        <v>0</v>
      </c>
      <c r="EV23" s="56">
        <f>SUMIFS(tblActuals354[Team 2 GD],tblActuals354[Team 2],$CU23,tblActuals354[Team 1],EV$3)+SUMIFS(tblActuals354[Team 1 GD],tblActuals354[Team 1],$CU23,tblActuals354[Team 2],EV$3)</f>
        <v>0</v>
      </c>
      <c r="EW23" s="56">
        <f>SUMIFS(tblActuals354[Team 2 GD],tblActuals354[Team 2],$CU23,tblActuals354[Team 1],EW$3)+SUMIFS(tblActuals354[Team 1 GD],tblActuals354[Team 1],$CU23,tblActuals354[Team 2],EW$3)</f>
        <v>0</v>
      </c>
      <c r="EX23" s="56">
        <f>SUMIFS(tblActuals354[Team 2 GD],tblActuals354[Team 2],$CU23,tblActuals354[Team 1],EX$3)+SUMIFS(tblActuals354[Team 1 GD],tblActuals354[Team 1],$CU23,tblActuals354[Team 2],EX$3)</f>
        <v>0</v>
      </c>
      <c r="EY23" s="56">
        <f>SUMIFS(tblActuals354[Team 2 GD],tblActuals354[Team 2],$CU23,tblActuals354[Team 1],EY$3)+SUMIFS(tblActuals354[Team 1 GD],tblActuals354[Team 1],$CU23,tblActuals354[Team 2],EY$3)</f>
        <v>0</v>
      </c>
      <c r="EZ23" s="56">
        <f>SUMIFS(tblActuals354[Team 2 GD],tblActuals354[Team 2],$CU23,tblActuals354[Team 1],EZ$3)+SUMIFS(tblActuals354[Team 1 GD],tblActuals354[Team 1],$CU23,tblActuals354[Team 2],EZ$3)</f>
        <v>0</v>
      </c>
      <c r="FA23" s="56">
        <f>SUMIFS(tblActuals354[Team 2 GD],tblActuals354[Team 2],$CU23,tblActuals354[Team 1],FA$3)+SUMIFS(tblActuals354[Team 1 GD],tblActuals354[Team 1],$CU23,tblActuals354[Team 2],FA$3)</f>
        <v>0</v>
      </c>
      <c r="FB23" s="57"/>
      <c r="FC23" s="57"/>
      <c r="FD23" s="57"/>
      <c r="FE23" s="57"/>
      <c r="FF23" s="57"/>
      <c r="FG23" s="57"/>
      <c r="FH23" s="57"/>
      <c r="FI23" s="57"/>
      <c r="FJ23" s="4"/>
      <c r="FK23" s="4" t="s">
        <v>132</v>
      </c>
      <c r="FL23" s="56">
        <f>SUMIFS(tblActuals354[Team 2 Goals],tblActuals354[Team 2],$CU23,tblActuals354[Team 1],FL$3)+SUMIFS(tblActuals354[Team 1 Goals],tblActuals354[Team 1],$CU23,tblActuals354[Team 2],FL$3)</f>
        <v>0</v>
      </c>
      <c r="FM23" s="56">
        <f>SUMIFS(tblActuals354[Team 2 Goals],tblActuals354[Team 2],$CU23,tblActuals354[Team 1],FM$3)+SUMIFS(tblActuals354[Team 1 Goals],tblActuals354[Team 1],$CU23,tblActuals354[Team 2],FM$3)</f>
        <v>0</v>
      </c>
      <c r="FN23" s="56">
        <f>SUMIFS(tblActuals354[Team 2 Goals],tblActuals354[Team 2],$CU23,tblActuals354[Team 1],FN$3)+SUMIFS(tblActuals354[Team 1 Goals],tblActuals354[Team 1],$CU23,tblActuals354[Team 2],FN$3)</f>
        <v>0</v>
      </c>
      <c r="FO23" s="56">
        <f>SUMIFS(tblActuals354[Team 2 Goals],tblActuals354[Team 2],$CU23,tblActuals354[Team 1],FO$3)+SUMIFS(tblActuals354[Team 1 Goals],tblActuals354[Team 1],$CU23,tblActuals354[Team 2],FO$3)</f>
        <v>0</v>
      </c>
      <c r="FP23" s="56">
        <f>SUMIFS(tblActuals354[Team 2 Goals],tblActuals354[Team 2],$CU23,tblActuals354[Team 1],FP$3)+SUMIFS(tblActuals354[Team 1 Goals],tblActuals354[Team 1],$CU23,tblActuals354[Team 2],FP$3)</f>
        <v>0</v>
      </c>
      <c r="FQ23" s="56">
        <f>SUMIFS(tblActuals354[Team 2 Goals],tblActuals354[Team 2],$CU23,tblActuals354[Team 1],FQ$3)+SUMIFS(tblActuals354[Team 1 Goals],tblActuals354[Team 1],$CU23,tblActuals354[Team 2],FQ$3)</f>
        <v>0</v>
      </c>
      <c r="FR23" s="56">
        <f>SUMIFS(tblActuals354[Team 2 Goals],tblActuals354[Team 2],$CU23,tblActuals354[Team 1],FR$3)+SUMIFS(tblActuals354[Team 1 Goals],tblActuals354[Team 1],$CU23,tblActuals354[Team 2],FR$3)</f>
        <v>0</v>
      </c>
      <c r="FS23" s="56">
        <f>SUMIFS(tblActuals354[Team 2 Goals],tblActuals354[Team 2],$CU23,tblActuals354[Team 1],FS$3)+SUMIFS(tblActuals354[Team 1 Goals],tblActuals354[Team 1],$CU23,tblActuals354[Team 2],FS$3)</f>
        <v>0</v>
      </c>
      <c r="FT23" s="56">
        <f>SUMIFS(tblActuals354[Team 2 Goals],tblActuals354[Team 2],$CU23,tblActuals354[Team 1],FT$3)+SUMIFS(tblActuals354[Team 1 Goals],tblActuals354[Team 1],$CU23,tblActuals354[Team 2],FT$3)</f>
        <v>0</v>
      </c>
      <c r="FU23" s="56">
        <f>SUMIFS(tblActuals354[Team 2 Goals],tblActuals354[Team 2],$CU23,tblActuals354[Team 1],FU$3)+SUMIFS(tblActuals354[Team 1 Goals],tblActuals354[Team 1],$CU23,tblActuals354[Team 2],FU$3)</f>
        <v>0</v>
      </c>
      <c r="FV23" s="56">
        <f>SUMIFS(tblActuals354[Team 2 Goals],tblActuals354[Team 2],$CU23,tblActuals354[Team 1],FV$3)+SUMIFS(tblActuals354[Team 1 Goals],tblActuals354[Team 1],$CU23,tblActuals354[Team 2],FV$3)</f>
        <v>0</v>
      </c>
      <c r="FW23" s="56">
        <f>SUMIFS(tblActuals354[Team 2 Goals],tblActuals354[Team 2],$CU23,tblActuals354[Team 1],FW$3)+SUMIFS(tblActuals354[Team 1 Goals],tblActuals354[Team 1],$CU23,tblActuals354[Team 2],FW$3)</f>
        <v>0</v>
      </c>
      <c r="FX23" s="56">
        <f>SUMIFS(tblActuals354[Team 2 Goals],tblActuals354[Team 2],$CU23,tblActuals354[Team 1],FX$3)+SUMIFS(tblActuals354[Team 1 Goals],tblActuals354[Team 1],$CU23,tblActuals354[Team 2],FX$3)</f>
        <v>0</v>
      </c>
      <c r="FY23" s="56">
        <f>SUMIFS(tblActuals354[Team 2 Goals],tblActuals354[Team 2],$CU23,tblActuals354[Team 1],FY$3)+SUMIFS(tblActuals354[Team 1 Goals],tblActuals354[Team 1],$CU23,tblActuals354[Team 2],FY$3)</f>
        <v>0</v>
      </c>
      <c r="FZ23" s="56">
        <f>SUMIFS(tblActuals354[Team 2 Goals],tblActuals354[Team 2],$CU23,tblActuals354[Team 1],FZ$3)+SUMIFS(tblActuals354[Team 1 Goals],tblActuals354[Team 1],$CU23,tblActuals354[Team 2],FZ$3)</f>
        <v>0</v>
      </c>
      <c r="GA23" s="56">
        <f>SUMIFS(tblActuals354[Team 2 Goals],tblActuals354[Team 2],$CU23,tblActuals354[Team 1],GA$3)+SUMIFS(tblActuals354[Team 1 Goals],tblActuals354[Team 1],$CU23,tblActuals354[Team 2],GA$3)</f>
        <v>0</v>
      </c>
      <c r="GB23" s="56">
        <f>SUMIFS(tblActuals354[Team 2 Goals],tblActuals354[Team 2],$CU23,tblActuals354[Team 1],GB$3)+SUMIFS(tblActuals354[Team 1 Goals],tblActuals354[Team 1],$CU23,tblActuals354[Team 2],GB$3)</f>
        <v>0</v>
      </c>
      <c r="GC23" s="56">
        <f>SUMIFS(tblActuals354[Team 2 Goals],tblActuals354[Team 2],$CU23,tblActuals354[Team 1],GC$3)+SUMIFS(tblActuals354[Team 1 Goals],tblActuals354[Team 1],$CU23,tblActuals354[Team 2],GC$3)</f>
        <v>0</v>
      </c>
      <c r="GD23" s="56">
        <f>SUMIFS(tblActuals354[Team 2 Goals],tblActuals354[Team 2],$CU23,tblActuals354[Team 1],GD$3)+SUMIFS(tblActuals354[Team 1 Goals],tblActuals354[Team 1],$CU23,tblActuals354[Team 2],GD$3)</f>
        <v>0</v>
      </c>
      <c r="GE23" s="56">
        <f>SUMIFS(tblActuals354[Team 2 Goals],tblActuals354[Team 2],$CU23,tblActuals354[Team 1],GE$3)+SUMIFS(tblActuals354[Team 1 Goals],tblActuals354[Team 1],$CU23,tblActuals354[Team 2],GE$3)</f>
        <v>0</v>
      </c>
      <c r="GF23" s="56">
        <f>SUMIFS(tblActuals354[Team 2 Goals],tblActuals354[Team 2],$CU23,tblActuals354[Team 1],GF$3)+SUMIFS(tblActuals354[Team 1 Goals],tblActuals354[Team 1],$CU23,tblActuals354[Team 2],GF$3)</f>
        <v>0</v>
      </c>
      <c r="GG23" s="56">
        <f>SUMIFS(tblActuals354[Team 2 Goals],tblActuals354[Team 2],$CU23,tblActuals354[Team 1],GG$3)+SUMIFS(tblActuals354[Team 1 Goals],tblActuals354[Team 1],$CU23,tblActuals354[Team 2],GG$3)</f>
        <v>0</v>
      </c>
      <c r="GH23" s="56">
        <f>SUMIFS(tblActuals354[Team 2 Goals],tblActuals354[Team 2],$CU23,tblActuals354[Team 1],GH$3)+SUMIFS(tblActuals354[Team 1 Goals],tblActuals354[Team 1],$CU23,tblActuals354[Team 2],GH$3)</f>
        <v>0</v>
      </c>
      <c r="GI23" s="56">
        <f>SUMIFS(tblActuals354[Team 2 Goals],tblActuals354[Team 2],$CU23,tblActuals354[Team 1],GI$3)+SUMIFS(tblActuals354[Team 1 Goals],tblActuals354[Team 1],$CU23,tblActuals354[Team 2],GI$3)</f>
        <v>0</v>
      </c>
      <c r="GJ23" s="57"/>
      <c r="GK23" s="57"/>
      <c r="GL23" s="37"/>
      <c r="GM23" s="37"/>
      <c r="GN23" s="37"/>
      <c r="GO23" s="37"/>
      <c r="GP23" s="37"/>
      <c r="GQ23" s="37"/>
      <c r="GR23" s="75"/>
      <c r="GS23" s="148"/>
      <c r="GT23" s="158"/>
      <c r="GU23" s="75"/>
      <c r="GV23" s="75"/>
      <c r="GW23" s="75"/>
      <c r="GX23" s="75"/>
      <c r="GY23" s="75"/>
      <c r="GZ23" s="75"/>
    </row>
    <row r="24" spans="1:221" s="11" customFormat="1" ht="30" customHeight="1" x14ac:dyDescent="0.25">
      <c r="A24" s="20"/>
      <c r="B24" s="122">
        <v>21</v>
      </c>
      <c r="C24" s="122" t="s">
        <v>12</v>
      </c>
      <c r="D24" s="123">
        <v>45464</v>
      </c>
      <c r="E24" s="122" t="s">
        <v>85</v>
      </c>
      <c r="F24" s="124">
        <v>0.625</v>
      </c>
      <c r="G24" s="125">
        <f t="shared" si="11"/>
        <v>45464.375</v>
      </c>
      <c r="H24" s="122" t="s">
        <v>109</v>
      </c>
      <c r="I24" s="126"/>
      <c r="J24" s="118"/>
      <c r="K24" s="118"/>
      <c r="L24" s="174">
        <f>IF(I24="",0,IFERROR(IF(SCORING.RULES!$C$8="No",1,((VLOOKUP($B24,ACTUALS!$B$4:$L$100,7,FALSE)=$H24)+(VLOOKUP($B24,ACTUALS!$B$4:$L$100,7,FALSE)=S24)))*(M24+N24+O24+P24+Q24),0))+$R24</f>
        <v>0</v>
      </c>
      <c r="M24" s="168">
        <f>IFERROR(IF($B24="","",IF(U24=INDEX(ACTUALS!$AA$4:$AA$100,MATCH($B24,ACTUALS!$B$4:$B$100,0),1),CorrectScore,0)),0)</f>
        <v>0</v>
      </c>
      <c r="N24" s="157" t="str">
        <f>IFERROR(IF(I24="","",IF(INDEX(ACTUALS!$AB$4:$AB$100,MATCH($B24,ACTUALS!$B$4:$B$100,0),1)=(AB24+AC24+AH24+AI24),CorrectNumberofGoals,0)),0)</f>
        <v/>
      </c>
      <c r="O24" s="157"/>
      <c r="P24" s="157">
        <f>IFERROR(IF(B24="","",IF(INDEX(ACTUALS!$L$4:$L$100,MATCH($B24,ACTUALS!$B$4:$B$100,0),1)=W24,CorrectResult,0)),0)</f>
        <v>3</v>
      </c>
      <c r="Q24" s="157"/>
      <c r="R24" s="157"/>
      <c r="S24" s="157" t="str">
        <f t="shared" si="0"/>
        <v/>
      </c>
      <c r="T24" s="157"/>
      <c r="U24" s="157" t="str">
        <f t="shared" si="1"/>
        <v/>
      </c>
      <c r="V24" s="157" t="str">
        <f t="shared" si="2"/>
        <v/>
      </c>
      <c r="W24" s="119" t="str">
        <f>IF(tblActuals354[[#This Row],[SCORE]]="","",IF(AB24=AC24,"Draw",IF(AB24&gt;AC24,X24,Y24)))</f>
        <v/>
      </c>
      <c r="X24" s="120" t="str">
        <f>IF(tblActuals354[[#This Row],[TEAMS]]="","",LEFT(H24,FIND(" -",H24,1)-1))</f>
        <v>Slovakia</v>
      </c>
      <c r="Y24" s="120" t="str">
        <f>IF(tblActuals354[[#This Row],[TEAMS]]="","",MID(H24,FIND("-",H24,1)+2,LEN(H24)-FIND("-",H24,1)+2))</f>
        <v>Ukraine</v>
      </c>
      <c r="Z24" s="120" t="str">
        <f>IF(tblActuals354[[#This Row],[Team 1 Goals]]&gt;tblActuals354[[#This Row],[Team 2 Goals]],tblActuals354[[#This Row],[Team 1]],IF(tblActuals354[[#This Row],[Team 2 Goals]]&gt;tblActuals354[[#This Row],[Team 1 Goals]],tblActuals354[[#This Row],[Team 2]],""))</f>
        <v/>
      </c>
      <c r="AA24" s="120" t="str">
        <f>IF(tblActuals354[[#This Row],[Winner]]=tblActuals354[[#This Row],[Team 1]],tblActuals354[[#This Row],[Team 2]],IF(tblActuals354[[#This Row],[Winner]]=tblActuals354[[#This Row],[Team 2]],tblActuals354[[#This Row],[Team 1]],""))</f>
        <v/>
      </c>
      <c r="AB24" s="120" t="str">
        <f>IF(tblActuals354[[#This Row],[SCORE]]="","",LEFT(I24,FIND(":",I24,1)-1)*1)</f>
        <v/>
      </c>
      <c r="AC24" s="120" t="str">
        <f>IF(tblActuals354[[#This Row],[SCORE]]="","",MID(I24,FIND(":",I24,1)+1,LEN(I24)-FIND(":",I24,1)+1)*1)</f>
        <v/>
      </c>
      <c r="AD24" s="120" t="str">
        <f>IF(OR(tblActuals354[[#This Row],[Team 1 Goals]]="",tblActuals354[[#This Row],[Team 2 Goals]]=""),"",tblActuals354[[#This Row],[Team 1 Goals]]-tblActuals354[[#This Row],[Team 2 Goals]])</f>
        <v/>
      </c>
      <c r="AE24" s="120" t="str">
        <f>IF(OR(tblActuals354[[#This Row],[Team 1 Goals]]="",tblActuals354[[#This Row],[Team 2 Goals]]=""),"",tblActuals354[[#This Row],[Team 2 Goals]]-tblActuals354[[#This Row],[Team 1 Goals]])</f>
        <v/>
      </c>
      <c r="AF24" s="120" t="str">
        <f>IF(tblActuals354[[#This Row],[SCORE]]="","",IF(tblActuals354[[#This Row],[WINNER / RESULT]]="Draw",1,IF(tblActuals354[[#This Row],[WINNER / RESULT]]=tblActuals354[[#This Row],[Team 1]],3,0)))</f>
        <v/>
      </c>
      <c r="AG24" s="120" t="str">
        <f>IF(tblActuals354[[#This Row],[SCORE]]="","",IF(tblActuals354[[#This Row],[WINNER / RESULT]]="Draw",1,IF(tblActuals354[[#This Row],[WINNER / RESULT]]=tblActuals354[[#This Row],[Team 2]],3,0)))</f>
        <v/>
      </c>
      <c r="AH24" s="121"/>
      <c r="AI24" s="121"/>
      <c r="AJ24" s="121"/>
      <c r="AK24" s="121"/>
      <c r="AL24" s="120" t="e">
        <f>tblActuals354[[#This Row],[Team 1 Goals]]+tblActuals354[[#This Row],[Team 1 ET Goals]]&amp;":"&amp;tblActuals354[[#This Row],[Team 2 Goals]]+tblActuals354[[#This Row],[Team 2 ET Goals]]</f>
        <v>#VALUE!</v>
      </c>
      <c r="AM24" s="120" t="e">
        <f>+tblActuals354[[#This Row],[Team 1 Goals]]+tblActuals354[[#This Row],[Team 2 Goals]]</f>
        <v>#VALUE!</v>
      </c>
      <c r="AN24" s="161">
        <f t="shared" si="3"/>
        <v>45464</v>
      </c>
      <c r="AT24" s="77" t="s">
        <v>7</v>
      </c>
      <c r="AU24" s="136">
        <v>1</v>
      </c>
      <c r="AV24" s="137" t="str">
        <f ca="1">IFERROR(INDEX(BD:BD,MATCH("1"&amp;AT24,BN:BN,0),1),"")</f>
        <v>Austria</v>
      </c>
      <c r="AW24" s="137" t="str">
        <f ca="1">IF(AV24="","",VLOOKUP(AV24,BD:BI,2,FALSE)&amp;"-"&amp;VLOOKUP(AV24,BD:BI,3,FALSE)&amp;"-"&amp;VLOOKUP(AV24,BD:BI,4,FALSE))</f>
        <v>0-0-0</v>
      </c>
      <c r="AX24" s="137">
        <f ca="1">IF(AV24="","",VLOOKUP(AV24,BD:BK,8,FALSE))</f>
        <v>0</v>
      </c>
      <c r="AY24" s="138">
        <f ca="1">IF(AV24="","",VLOOKUP(AV24,BD:BN,5,FALSE))</f>
        <v>0</v>
      </c>
      <c r="AZ24" s="75"/>
      <c r="BA24" s="4"/>
      <c r="BB24" s="4"/>
      <c r="BC24" s="4" t="s">
        <v>12</v>
      </c>
      <c r="BD24" s="4" t="s">
        <v>29</v>
      </c>
      <c r="BE24" s="4">
        <f>COUNTIF(tblActuals354[Winner],BD24)</f>
        <v>0</v>
      </c>
      <c r="BF24" s="4">
        <f>COUNTIFS(tblActuals354[Team 2],BD24,tblActuals354[WINNER / RESULT],"Draw")+COUNTIFS(tblActuals354[Team 1],BD24,tblActuals354[WINNER / RESULT],"Draw")</f>
        <v>0</v>
      </c>
      <c r="BG24" s="4">
        <f>COUNTIF(tblActuals354[Loser],BD24)</f>
        <v>0</v>
      </c>
      <c r="BH24" s="4">
        <f>BF24+(3*BE24)</f>
        <v>0</v>
      </c>
      <c r="BI24" s="4">
        <f>SUMIFS(tblActuals354[Team 1 Goals],tblActuals354[Team 1],BD24)+SUMIFS(tblActuals354[Team 2 Goals],tblActuals354[Team 2],BD24)</f>
        <v>0</v>
      </c>
      <c r="BJ24" s="4">
        <f>SUMIFS(tblActuals354[Team 2 Goals],tblActuals354[Team 1],BD24)+SUMIFS(tblActuals354[Team 1 Goals],tblActuals354[Team 2],BD24)</f>
        <v>0</v>
      </c>
      <c r="BK24" s="4">
        <f>BI24-BJ24</f>
        <v>0</v>
      </c>
      <c r="BL24" s="4">
        <f ca="1">RANK(BY24,$BY$24:$BY$27,1)</f>
        <v>1</v>
      </c>
      <c r="BM24" s="4" t="str">
        <f t="shared" si="4"/>
        <v/>
      </c>
      <c r="BN24" s="4" t="str">
        <f ca="1">IF(BM24="",BL24&amp;BC24,BM24&amp;BC24)</f>
        <v>1E</v>
      </c>
      <c r="BO24" s="4">
        <f>RANK(BH24,$BH$24:$BH$27,0)</f>
        <v>1</v>
      </c>
      <c r="BP24" s="4" cm="1">
        <f t="array" aca="1" ref="BP24" ca="1">SUMPRODUCT((OFFSET($CV$3:$EA$3,MATCH($BD24,$CU$4:$CU$35,0),0))*((IF($BO26=$BO24,$CV$3:$EA$3=$BD26,0))+(IF($BO27=$BO24,$CV$3:$EA$3=$BD27,0))+(IF($BO25=$BO24,$CV$3:$EA$3=$BD25,0))))</f>
        <v>0</v>
      </c>
      <c r="BQ24" s="4" cm="1">
        <f t="array" aca="1" ref="BQ24" ca="1">SUMPRODUCT((OFFSET($ED$3:$FI$3,MATCH($BD24,$EC$4:$EC$35,0),0))*((IF($BO26=$BO24,$ED$3:$FI$3=$BD26,0))+(IF($BO27=$BO24,$ED$3:$FI$3=$BD27,0))+(IF($BO25=$BO24,$ED$3:$FI$3=$BD25,0))))</f>
        <v>0</v>
      </c>
      <c r="BR24" s="4" cm="1">
        <f t="array" aca="1" ref="BR24" ca="1">SUMPRODUCT((OFFSET($FL$3:$GQ$3,MATCH($BD24,$FK$4:$FK$35,0),0))*((IF($BO26=$BO24,$FL$3:$GQ$3=$BD26,0))+(IF($BO27=$BO24,$FL$3:$GQ$3=$BD27,0))+(IF($BO25=$BO24,$FL$3:$GQ$3=$BD25,0))))</f>
        <v>0</v>
      </c>
      <c r="BS24" s="4" cm="1">
        <f t="array" aca="1" ref="BS24" ca="1">SUMPRODUCT((OFFSET($CV$3:$EA$3,MATCH($BD24,$CU$4:$CU$35,0),0))*((IF($BO26&lt;&gt;$BO24,$CV$3:$EA$3=$BD26,0))+(IF($BO27&lt;&gt;$BO24,$CV$3:$EA$3=$BD27,0))+(IF($BO25&lt;&gt;$BO24,$CV$3:$EA$3=$BD25,0))))</f>
        <v>0</v>
      </c>
      <c r="BT24" s="4" cm="1">
        <f t="array" aca="1" ref="BT24" ca="1">SUMPRODUCT((OFFSET($ED$3:$FI$3,MATCH($BD24,$EC$4:$EC$35,0),0))*((IF($BO26&lt;&gt;$BO24,$ED$3:$FI$3=$BD26,0))+(IF($BO27&lt;&gt;$BO24,$ED$3:$FI$3=$BD27,0))+(IF($BO25&lt;&gt;$BO24,$ED$3:$FI$3=$BD25,0))))</f>
        <v>0</v>
      </c>
      <c r="BU24" s="4" cm="1">
        <f t="array" aca="1" ref="BU24" ca="1">SUMPRODUCT((OFFSET($FL$3:$GQ$3,MATCH($BD24,$FK$4:$FK$35,0),0))*((IF($BO26&lt;&gt;$BO24,$FL$3:$GQ$3=$BD26,0))+(IF($BO27&lt;&gt;$BO24,$FL$3:$GQ$3=$BD27,0))+(IF($BO25&lt;&gt;$BO24,$FL$3:$GQ$3=$BD25,0))))</f>
        <v>0</v>
      </c>
      <c r="BV24" s="4">
        <f>BK24</f>
        <v>0</v>
      </c>
      <c r="BW24" s="4">
        <f>BI24</f>
        <v>0</v>
      </c>
      <c r="BX24" s="4">
        <f ca="1">(BP24/10)+(BQ24/100)+(BR24/1000)+(BT24/10000)+(BU24/100000)+(BV24/1000000)+(BW24/10000000)+(ROW(BS27)/100000000)</f>
        <v>2.7000000000000001E-7</v>
      </c>
      <c r="BY24" s="4">
        <f ca="1">+BO24-BX24</f>
        <v>0.99999972999999998</v>
      </c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U24" s="4" t="s">
        <v>133</v>
      </c>
      <c r="CV24" s="56">
        <f>SUMIFS(tblActuals354[Team 2 Points],tblActuals354[Team 2],$CU24,tblActuals354[Team 1],CV$3)+SUMIFS(tblActuals354[Team 1 Points],tblActuals354[Team 1],$CU24,tblActuals354[Team 2],CV$3)</f>
        <v>0</v>
      </c>
      <c r="CW24" s="56">
        <f>SUMIFS(tblActuals354[Team 2 Points],tblActuals354[Team 2],$CU24,tblActuals354[Team 1],CW$3)+SUMIFS(tblActuals354[Team 1 Points],tblActuals354[Team 1],$CU24,tblActuals354[Team 2],CW$3)</f>
        <v>0</v>
      </c>
      <c r="CX24" s="56">
        <f>SUMIFS(tblActuals354[Team 2 Points],tblActuals354[Team 2],$CU24,tblActuals354[Team 1],CX$3)+SUMIFS(tblActuals354[Team 1 Points],tblActuals354[Team 1],$CU24,tblActuals354[Team 2],CX$3)</f>
        <v>0</v>
      </c>
      <c r="CY24" s="56">
        <f>SUMIFS(tblActuals354[Team 2 Points],tblActuals354[Team 2],$CU24,tblActuals354[Team 1],CY$3)+SUMIFS(tblActuals354[Team 1 Points],tblActuals354[Team 1],$CU24,tblActuals354[Team 2],CY$3)</f>
        <v>0</v>
      </c>
      <c r="CZ24" s="56">
        <f>SUMIFS(tblActuals354[Team 2 Points],tblActuals354[Team 2],$CU24,tblActuals354[Team 1],CZ$3)+SUMIFS(tblActuals354[Team 1 Points],tblActuals354[Team 1],$CU24,tblActuals354[Team 2],CZ$3)</f>
        <v>0</v>
      </c>
      <c r="DA24" s="56">
        <f>SUMIFS(tblActuals354[Team 2 Points],tblActuals354[Team 2],$CU24,tblActuals354[Team 1],DA$3)+SUMIFS(tblActuals354[Team 1 Points],tblActuals354[Team 1],$CU24,tblActuals354[Team 2],DA$3)</f>
        <v>0</v>
      </c>
      <c r="DB24" s="56">
        <f>SUMIFS(tblActuals354[Team 2 Points],tblActuals354[Team 2],$CU24,tblActuals354[Team 1],DB$3)+SUMIFS(tblActuals354[Team 1 Points],tblActuals354[Team 1],$CU24,tblActuals354[Team 2],DB$3)</f>
        <v>0</v>
      </c>
      <c r="DC24" s="56">
        <f>SUMIFS(tblActuals354[Team 2 Points],tblActuals354[Team 2],$CU24,tblActuals354[Team 1],DC$3)+SUMIFS(tblActuals354[Team 1 Points],tblActuals354[Team 1],$CU24,tblActuals354[Team 2],DC$3)</f>
        <v>0</v>
      </c>
      <c r="DD24" s="56">
        <f>SUMIFS(tblActuals354[Team 2 Points],tblActuals354[Team 2],$CU24,tblActuals354[Team 1],DD$3)+SUMIFS(tblActuals354[Team 1 Points],tblActuals354[Team 1],$CU24,tblActuals354[Team 2],DD$3)</f>
        <v>0</v>
      </c>
      <c r="DE24" s="56">
        <f>SUMIFS(tblActuals354[Team 2 Points],tblActuals354[Team 2],$CU24,tblActuals354[Team 1],DE$3)+SUMIFS(tblActuals354[Team 1 Points],tblActuals354[Team 1],$CU24,tblActuals354[Team 2],DE$3)</f>
        <v>0</v>
      </c>
      <c r="DF24" s="56">
        <f>SUMIFS(tblActuals354[Team 2 Points],tblActuals354[Team 2],$CU24,tblActuals354[Team 1],DF$3)+SUMIFS(tblActuals354[Team 1 Points],tblActuals354[Team 1],$CU24,tblActuals354[Team 2],DF$3)</f>
        <v>0</v>
      </c>
      <c r="DG24" s="56">
        <f>SUMIFS(tblActuals354[Team 2 Points],tblActuals354[Team 2],$CU24,tblActuals354[Team 1],DG$3)+SUMIFS(tblActuals354[Team 1 Points],tblActuals354[Team 1],$CU24,tblActuals354[Team 2],DG$3)</f>
        <v>0</v>
      </c>
      <c r="DH24" s="56">
        <f>SUMIFS(tblActuals354[Team 2 Points],tblActuals354[Team 2],$CU24,tblActuals354[Team 1],DH$3)+SUMIFS(tblActuals354[Team 1 Points],tblActuals354[Team 1],$CU24,tblActuals354[Team 2],DH$3)</f>
        <v>0</v>
      </c>
      <c r="DI24" s="56">
        <f>SUMIFS(tblActuals354[Team 2 Points],tblActuals354[Team 2],$CU24,tblActuals354[Team 1],DI$3)+SUMIFS(tblActuals354[Team 1 Points],tblActuals354[Team 1],$CU24,tblActuals354[Team 2],DI$3)</f>
        <v>0</v>
      </c>
      <c r="DJ24" s="56">
        <f>SUMIFS(tblActuals354[Team 2 Points],tblActuals354[Team 2],$CU24,tblActuals354[Team 1],DJ$3)+SUMIFS(tblActuals354[Team 1 Points],tblActuals354[Team 1],$CU24,tblActuals354[Team 2],DJ$3)</f>
        <v>0</v>
      </c>
      <c r="DK24" s="56">
        <f>SUMIFS(tblActuals354[Team 2 Points],tblActuals354[Team 2],$CU24,tblActuals354[Team 1],DK$3)+SUMIFS(tblActuals354[Team 1 Points],tblActuals354[Team 1],$CU24,tblActuals354[Team 2],DK$3)</f>
        <v>0</v>
      </c>
      <c r="DL24" s="56">
        <f>SUMIFS(tblActuals354[Team 2 Points],tblActuals354[Team 2],$CU24,tblActuals354[Team 1],DL$3)+SUMIFS(tblActuals354[Team 1 Points],tblActuals354[Team 1],$CU24,tblActuals354[Team 2],DL$3)</f>
        <v>0</v>
      </c>
      <c r="DM24" s="56">
        <f>SUMIFS(tblActuals354[Team 2 Points],tblActuals354[Team 2],$CU24,tblActuals354[Team 1],DM$3)+SUMIFS(tblActuals354[Team 1 Points],tblActuals354[Team 1],$CU24,tblActuals354[Team 2],DM$3)</f>
        <v>0</v>
      </c>
      <c r="DN24" s="56">
        <f>SUMIFS(tblActuals354[Team 2 Points],tblActuals354[Team 2],$CU24,tblActuals354[Team 1],DN$3)+SUMIFS(tblActuals354[Team 1 Points],tblActuals354[Team 1],$CU24,tblActuals354[Team 2],DN$3)</f>
        <v>0</v>
      </c>
      <c r="DO24" s="56">
        <f>SUMIFS(tblActuals354[Team 2 Points],tblActuals354[Team 2],$CU24,tblActuals354[Team 1],DO$3)+SUMIFS(tblActuals354[Team 1 Points],tblActuals354[Team 1],$CU24,tblActuals354[Team 2],DO$3)</f>
        <v>0</v>
      </c>
      <c r="DP24" s="56">
        <f>SUMIFS(tblActuals354[Team 2 Points],tblActuals354[Team 2],$CU24,tblActuals354[Team 1],DP$3)+SUMIFS(tblActuals354[Team 1 Points],tblActuals354[Team 1],$CU24,tblActuals354[Team 2],DP$3)</f>
        <v>0</v>
      </c>
      <c r="DQ24" s="56">
        <f>SUMIFS(tblActuals354[Team 2 Points],tblActuals354[Team 2],$CU24,tblActuals354[Team 1],DQ$3)+SUMIFS(tblActuals354[Team 1 Points],tblActuals354[Team 1],$CU24,tblActuals354[Team 2],DQ$3)</f>
        <v>0</v>
      </c>
      <c r="DR24" s="56">
        <f>SUMIFS(tblActuals354[Team 2 Points],tblActuals354[Team 2],$CU24,tblActuals354[Team 1],DR$3)+SUMIFS(tblActuals354[Team 1 Points],tblActuals354[Team 1],$CU24,tblActuals354[Team 2],DR$3)</f>
        <v>0</v>
      </c>
      <c r="DS24" s="56">
        <f>SUMIFS(tblActuals354[Team 2 Points],tblActuals354[Team 2],$CU24,tblActuals354[Team 1],DS$3)+SUMIFS(tblActuals354[Team 1 Points],tblActuals354[Team 1],$CU24,tblActuals354[Team 2],DS$3)</f>
        <v>0</v>
      </c>
      <c r="DT24" s="57"/>
      <c r="DU24" s="57"/>
      <c r="DV24" s="57"/>
      <c r="DW24" s="57"/>
      <c r="DX24" s="57"/>
      <c r="DY24" s="57"/>
      <c r="DZ24" s="57"/>
      <c r="EA24" s="57"/>
      <c r="EB24" s="4"/>
      <c r="EC24" s="4" t="s">
        <v>133</v>
      </c>
      <c r="ED24" s="56">
        <f>SUMIFS(tblActuals354[Team 2 GD],tblActuals354[Team 2],$CU24,tblActuals354[Team 1],ED$3)+SUMIFS(tblActuals354[Team 1 GD],tblActuals354[Team 1],$CU24,tblActuals354[Team 2],ED$3)</f>
        <v>0</v>
      </c>
      <c r="EE24" s="56">
        <f>SUMIFS(tblActuals354[Team 2 GD],tblActuals354[Team 2],$CU24,tblActuals354[Team 1],EE$3)+SUMIFS(tblActuals354[Team 1 GD],tblActuals354[Team 1],$CU24,tblActuals354[Team 2],EE$3)</f>
        <v>0</v>
      </c>
      <c r="EF24" s="56">
        <f>SUMIFS(tblActuals354[Team 2 GD],tblActuals354[Team 2],$CU24,tblActuals354[Team 1],EF$3)+SUMIFS(tblActuals354[Team 1 GD],tblActuals354[Team 1],$CU24,tblActuals354[Team 2],EF$3)</f>
        <v>0</v>
      </c>
      <c r="EG24" s="56">
        <f>SUMIFS(tblActuals354[Team 2 GD],tblActuals354[Team 2],$CU24,tblActuals354[Team 1],EG$3)+SUMIFS(tblActuals354[Team 1 GD],tblActuals354[Team 1],$CU24,tblActuals354[Team 2],EG$3)</f>
        <v>0</v>
      </c>
      <c r="EH24" s="56">
        <f>SUMIFS(tblActuals354[Team 2 GD],tblActuals354[Team 2],$CU24,tblActuals354[Team 1],EH$3)+SUMIFS(tblActuals354[Team 1 GD],tblActuals354[Team 1],$CU24,tblActuals354[Team 2],EH$3)</f>
        <v>0</v>
      </c>
      <c r="EI24" s="56">
        <f>SUMIFS(tblActuals354[Team 2 GD],tblActuals354[Team 2],$CU24,tblActuals354[Team 1],EI$3)+SUMIFS(tblActuals354[Team 1 GD],tblActuals354[Team 1],$CU24,tblActuals354[Team 2],EI$3)</f>
        <v>0</v>
      </c>
      <c r="EJ24" s="56">
        <f>SUMIFS(tblActuals354[Team 2 GD],tblActuals354[Team 2],$CU24,tblActuals354[Team 1],EJ$3)+SUMIFS(tblActuals354[Team 1 GD],tblActuals354[Team 1],$CU24,tblActuals354[Team 2],EJ$3)</f>
        <v>0</v>
      </c>
      <c r="EK24" s="56">
        <f>SUMIFS(tblActuals354[Team 2 GD],tblActuals354[Team 2],$CU24,tblActuals354[Team 1],EK$3)+SUMIFS(tblActuals354[Team 1 GD],tblActuals354[Team 1],$CU24,tblActuals354[Team 2],EK$3)</f>
        <v>0</v>
      </c>
      <c r="EL24" s="56">
        <f>SUMIFS(tblActuals354[Team 2 GD],tblActuals354[Team 2],$CU24,tblActuals354[Team 1],EL$3)+SUMIFS(tblActuals354[Team 1 GD],tblActuals354[Team 1],$CU24,tblActuals354[Team 2],EL$3)</f>
        <v>0</v>
      </c>
      <c r="EM24" s="56">
        <f>SUMIFS(tblActuals354[Team 2 GD],tblActuals354[Team 2],$CU24,tblActuals354[Team 1],EM$3)+SUMIFS(tblActuals354[Team 1 GD],tblActuals354[Team 1],$CU24,tblActuals354[Team 2],EM$3)</f>
        <v>0</v>
      </c>
      <c r="EN24" s="56">
        <f>SUMIFS(tblActuals354[Team 2 GD],tblActuals354[Team 2],$CU24,tblActuals354[Team 1],EN$3)+SUMIFS(tblActuals354[Team 1 GD],tblActuals354[Team 1],$CU24,tblActuals354[Team 2],EN$3)</f>
        <v>0</v>
      </c>
      <c r="EO24" s="56">
        <f>SUMIFS(tblActuals354[Team 2 GD],tblActuals354[Team 2],$CU24,tblActuals354[Team 1],EO$3)+SUMIFS(tblActuals354[Team 1 GD],tblActuals354[Team 1],$CU24,tblActuals354[Team 2],EO$3)</f>
        <v>0</v>
      </c>
      <c r="EP24" s="56">
        <f>SUMIFS(tblActuals354[Team 2 GD],tblActuals354[Team 2],$CU24,tblActuals354[Team 1],EP$3)+SUMIFS(tblActuals354[Team 1 GD],tblActuals354[Team 1],$CU24,tblActuals354[Team 2],EP$3)</f>
        <v>0</v>
      </c>
      <c r="EQ24" s="56">
        <f>SUMIFS(tblActuals354[Team 2 GD],tblActuals354[Team 2],$CU24,tblActuals354[Team 1],EQ$3)+SUMIFS(tblActuals354[Team 1 GD],tblActuals354[Team 1],$CU24,tblActuals354[Team 2],EQ$3)</f>
        <v>0</v>
      </c>
      <c r="ER24" s="56">
        <f>SUMIFS(tblActuals354[Team 2 GD],tblActuals354[Team 2],$CU24,tblActuals354[Team 1],ER$3)+SUMIFS(tblActuals354[Team 1 GD],tblActuals354[Team 1],$CU24,tblActuals354[Team 2],ER$3)</f>
        <v>0</v>
      </c>
      <c r="ES24" s="56">
        <f>SUMIFS(tblActuals354[Team 2 GD],tblActuals354[Team 2],$CU24,tblActuals354[Team 1],ES$3)+SUMIFS(tblActuals354[Team 1 GD],tblActuals354[Team 1],$CU24,tblActuals354[Team 2],ES$3)</f>
        <v>0</v>
      </c>
      <c r="ET24" s="56">
        <f>SUMIFS(tblActuals354[Team 2 GD],tblActuals354[Team 2],$CU24,tblActuals354[Team 1],ET$3)+SUMIFS(tblActuals354[Team 1 GD],tblActuals354[Team 1],$CU24,tblActuals354[Team 2],ET$3)</f>
        <v>0</v>
      </c>
      <c r="EU24" s="56">
        <f>SUMIFS(tblActuals354[Team 2 GD],tblActuals354[Team 2],$CU24,tblActuals354[Team 1],EU$3)+SUMIFS(tblActuals354[Team 1 GD],tblActuals354[Team 1],$CU24,tblActuals354[Team 2],EU$3)</f>
        <v>0</v>
      </c>
      <c r="EV24" s="56">
        <f>SUMIFS(tblActuals354[Team 2 GD],tblActuals354[Team 2],$CU24,tblActuals354[Team 1],EV$3)+SUMIFS(tblActuals354[Team 1 GD],tblActuals354[Team 1],$CU24,tblActuals354[Team 2],EV$3)</f>
        <v>0</v>
      </c>
      <c r="EW24" s="56">
        <f>SUMIFS(tblActuals354[Team 2 GD],tblActuals354[Team 2],$CU24,tblActuals354[Team 1],EW$3)+SUMIFS(tblActuals354[Team 1 GD],tblActuals354[Team 1],$CU24,tblActuals354[Team 2],EW$3)</f>
        <v>0</v>
      </c>
      <c r="EX24" s="56">
        <f>SUMIFS(tblActuals354[Team 2 GD],tblActuals354[Team 2],$CU24,tblActuals354[Team 1],EX$3)+SUMIFS(tblActuals354[Team 1 GD],tblActuals354[Team 1],$CU24,tblActuals354[Team 2],EX$3)</f>
        <v>0</v>
      </c>
      <c r="EY24" s="56">
        <f>SUMIFS(tblActuals354[Team 2 GD],tblActuals354[Team 2],$CU24,tblActuals354[Team 1],EY$3)+SUMIFS(tblActuals354[Team 1 GD],tblActuals354[Team 1],$CU24,tblActuals354[Team 2],EY$3)</f>
        <v>0</v>
      </c>
      <c r="EZ24" s="56">
        <f>SUMIFS(tblActuals354[Team 2 GD],tblActuals354[Team 2],$CU24,tblActuals354[Team 1],EZ$3)+SUMIFS(tblActuals354[Team 1 GD],tblActuals354[Team 1],$CU24,tblActuals354[Team 2],EZ$3)</f>
        <v>0</v>
      </c>
      <c r="FA24" s="56">
        <f>SUMIFS(tblActuals354[Team 2 GD],tblActuals354[Team 2],$CU24,tblActuals354[Team 1],FA$3)+SUMIFS(tblActuals354[Team 1 GD],tblActuals354[Team 1],$CU24,tblActuals354[Team 2],FA$3)</f>
        <v>0</v>
      </c>
      <c r="FB24" s="57"/>
      <c r="FC24" s="57"/>
      <c r="FD24" s="57"/>
      <c r="FE24" s="57"/>
      <c r="FF24" s="57"/>
      <c r="FG24" s="57"/>
      <c r="FH24" s="57"/>
      <c r="FI24" s="57"/>
      <c r="FJ24" s="4"/>
      <c r="FK24" s="4" t="s">
        <v>133</v>
      </c>
      <c r="FL24" s="56">
        <f>SUMIFS(tblActuals354[Team 2 Goals],tblActuals354[Team 2],$CU24,tblActuals354[Team 1],FL$3)+SUMIFS(tblActuals354[Team 1 Goals],tblActuals354[Team 1],$CU24,tblActuals354[Team 2],FL$3)</f>
        <v>0</v>
      </c>
      <c r="FM24" s="56">
        <f>SUMIFS(tblActuals354[Team 2 Goals],tblActuals354[Team 2],$CU24,tblActuals354[Team 1],FM$3)+SUMIFS(tblActuals354[Team 1 Goals],tblActuals354[Team 1],$CU24,tblActuals354[Team 2],FM$3)</f>
        <v>0</v>
      </c>
      <c r="FN24" s="56">
        <f>SUMIFS(tblActuals354[Team 2 Goals],tblActuals354[Team 2],$CU24,tblActuals354[Team 1],FN$3)+SUMIFS(tblActuals354[Team 1 Goals],tblActuals354[Team 1],$CU24,tblActuals354[Team 2],FN$3)</f>
        <v>0</v>
      </c>
      <c r="FO24" s="56">
        <f>SUMIFS(tblActuals354[Team 2 Goals],tblActuals354[Team 2],$CU24,tblActuals354[Team 1],FO$3)+SUMIFS(tblActuals354[Team 1 Goals],tblActuals354[Team 1],$CU24,tblActuals354[Team 2],FO$3)</f>
        <v>0</v>
      </c>
      <c r="FP24" s="56">
        <f>SUMIFS(tblActuals354[Team 2 Goals],tblActuals354[Team 2],$CU24,tblActuals354[Team 1],FP$3)+SUMIFS(tblActuals354[Team 1 Goals],tblActuals354[Team 1],$CU24,tblActuals354[Team 2],FP$3)</f>
        <v>0</v>
      </c>
      <c r="FQ24" s="56">
        <f>SUMIFS(tblActuals354[Team 2 Goals],tblActuals354[Team 2],$CU24,tblActuals354[Team 1],FQ$3)+SUMIFS(tblActuals354[Team 1 Goals],tblActuals354[Team 1],$CU24,tblActuals354[Team 2],FQ$3)</f>
        <v>0</v>
      </c>
      <c r="FR24" s="56">
        <f>SUMIFS(tblActuals354[Team 2 Goals],tblActuals354[Team 2],$CU24,tblActuals354[Team 1],FR$3)+SUMIFS(tblActuals354[Team 1 Goals],tblActuals354[Team 1],$CU24,tblActuals354[Team 2],FR$3)</f>
        <v>0</v>
      </c>
      <c r="FS24" s="56">
        <f>SUMIFS(tblActuals354[Team 2 Goals],tblActuals354[Team 2],$CU24,tblActuals354[Team 1],FS$3)+SUMIFS(tblActuals354[Team 1 Goals],tblActuals354[Team 1],$CU24,tblActuals354[Team 2],FS$3)</f>
        <v>0</v>
      </c>
      <c r="FT24" s="56">
        <f>SUMIFS(tblActuals354[Team 2 Goals],tblActuals354[Team 2],$CU24,tblActuals354[Team 1],FT$3)+SUMIFS(tblActuals354[Team 1 Goals],tblActuals354[Team 1],$CU24,tblActuals354[Team 2],FT$3)</f>
        <v>0</v>
      </c>
      <c r="FU24" s="56">
        <f>SUMIFS(tblActuals354[Team 2 Goals],tblActuals354[Team 2],$CU24,tblActuals354[Team 1],FU$3)+SUMIFS(tblActuals354[Team 1 Goals],tblActuals354[Team 1],$CU24,tblActuals354[Team 2],FU$3)</f>
        <v>0</v>
      </c>
      <c r="FV24" s="56">
        <f>SUMIFS(tblActuals354[Team 2 Goals],tblActuals354[Team 2],$CU24,tblActuals354[Team 1],FV$3)+SUMIFS(tblActuals354[Team 1 Goals],tblActuals354[Team 1],$CU24,tblActuals354[Team 2],FV$3)</f>
        <v>0</v>
      </c>
      <c r="FW24" s="56">
        <f>SUMIFS(tblActuals354[Team 2 Goals],tblActuals354[Team 2],$CU24,tblActuals354[Team 1],FW$3)+SUMIFS(tblActuals354[Team 1 Goals],tblActuals354[Team 1],$CU24,tblActuals354[Team 2],FW$3)</f>
        <v>0</v>
      </c>
      <c r="FX24" s="56">
        <f>SUMIFS(tblActuals354[Team 2 Goals],tblActuals354[Team 2],$CU24,tblActuals354[Team 1],FX$3)+SUMIFS(tblActuals354[Team 1 Goals],tblActuals354[Team 1],$CU24,tblActuals354[Team 2],FX$3)</f>
        <v>0</v>
      </c>
      <c r="FY24" s="56">
        <f>SUMIFS(tblActuals354[Team 2 Goals],tblActuals354[Team 2],$CU24,tblActuals354[Team 1],FY$3)+SUMIFS(tblActuals354[Team 1 Goals],tblActuals354[Team 1],$CU24,tblActuals354[Team 2],FY$3)</f>
        <v>0</v>
      </c>
      <c r="FZ24" s="56">
        <f>SUMIFS(tblActuals354[Team 2 Goals],tblActuals354[Team 2],$CU24,tblActuals354[Team 1],FZ$3)+SUMIFS(tblActuals354[Team 1 Goals],tblActuals354[Team 1],$CU24,tblActuals354[Team 2],FZ$3)</f>
        <v>0</v>
      </c>
      <c r="GA24" s="56">
        <f>SUMIFS(tblActuals354[Team 2 Goals],tblActuals354[Team 2],$CU24,tblActuals354[Team 1],GA$3)+SUMIFS(tblActuals354[Team 1 Goals],tblActuals354[Team 1],$CU24,tblActuals354[Team 2],GA$3)</f>
        <v>0</v>
      </c>
      <c r="GB24" s="56">
        <f>SUMIFS(tblActuals354[Team 2 Goals],tblActuals354[Team 2],$CU24,tblActuals354[Team 1],GB$3)+SUMIFS(tblActuals354[Team 1 Goals],tblActuals354[Team 1],$CU24,tblActuals354[Team 2],GB$3)</f>
        <v>0</v>
      </c>
      <c r="GC24" s="56">
        <f>SUMIFS(tblActuals354[Team 2 Goals],tblActuals354[Team 2],$CU24,tblActuals354[Team 1],GC$3)+SUMIFS(tblActuals354[Team 1 Goals],tblActuals354[Team 1],$CU24,tblActuals354[Team 2],GC$3)</f>
        <v>0</v>
      </c>
      <c r="GD24" s="56">
        <f>SUMIFS(tblActuals354[Team 2 Goals],tblActuals354[Team 2],$CU24,tblActuals354[Team 1],GD$3)+SUMIFS(tblActuals354[Team 1 Goals],tblActuals354[Team 1],$CU24,tblActuals354[Team 2],GD$3)</f>
        <v>0</v>
      </c>
      <c r="GE24" s="56">
        <f>SUMIFS(tblActuals354[Team 2 Goals],tblActuals354[Team 2],$CU24,tblActuals354[Team 1],GE$3)+SUMIFS(tblActuals354[Team 1 Goals],tblActuals354[Team 1],$CU24,tblActuals354[Team 2],GE$3)</f>
        <v>0</v>
      </c>
      <c r="GF24" s="56">
        <f>SUMIFS(tblActuals354[Team 2 Goals],tblActuals354[Team 2],$CU24,tblActuals354[Team 1],GF$3)+SUMIFS(tblActuals354[Team 1 Goals],tblActuals354[Team 1],$CU24,tblActuals354[Team 2],GF$3)</f>
        <v>0</v>
      </c>
      <c r="GG24" s="56">
        <f>SUMIFS(tblActuals354[Team 2 Goals],tblActuals354[Team 2],$CU24,tblActuals354[Team 1],GG$3)+SUMIFS(tblActuals354[Team 1 Goals],tblActuals354[Team 1],$CU24,tblActuals354[Team 2],GG$3)</f>
        <v>0</v>
      </c>
      <c r="GH24" s="56">
        <f>SUMIFS(tblActuals354[Team 2 Goals],tblActuals354[Team 2],$CU24,tblActuals354[Team 1],GH$3)+SUMIFS(tblActuals354[Team 1 Goals],tblActuals354[Team 1],$CU24,tblActuals354[Team 2],GH$3)</f>
        <v>0</v>
      </c>
      <c r="GI24" s="56">
        <f>SUMIFS(tblActuals354[Team 2 Goals],tblActuals354[Team 2],$CU24,tblActuals354[Team 1],GI$3)+SUMIFS(tblActuals354[Team 1 Goals],tblActuals354[Team 1],$CU24,tblActuals354[Team 2],GI$3)</f>
        <v>0</v>
      </c>
      <c r="GJ24" s="57"/>
      <c r="GK24" s="57"/>
      <c r="GL24" s="37"/>
      <c r="GM24" s="37"/>
      <c r="GN24" s="37"/>
      <c r="GO24" s="37"/>
      <c r="GP24" s="37"/>
      <c r="GQ24" s="37"/>
      <c r="GR24" s="75"/>
      <c r="GS24" s="148"/>
      <c r="GT24" s="148"/>
      <c r="GU24" s="75"/>
      <c r="GV24" s="75"/>
      <c r="GW24" s="75"/>
      <c r="GX24" s="75"/>
      <c r="GY24" s="75"/>
      <c r="GZ24" s="75"/>
    </row>
    <row r="25" spans="1:221" s="11" customFormat="1" ht="30" customHeight="1" x14ac:dyDescent="0.25">
      <c r="A25" s="20"/>
      <c r="B25" s="122">
        <v>22</v>
      </c>
      <c r="C25" s="122" t="s">
        <v>12</v>
      </c>
      <c r="D25" s="123">
        <v>45465</v>
      </c>
      <c r="E25" s="122" t="s">
        <v>79</v>
      </c>
      <c r="F25" s="124">
        <v>0.875</v>
      </c>
      <c r="G25" s="125">
        <f t="shared" si="11"/>
        <v>45465.625</v>
      </c>
      <c r="H25" s="122" t="s">
        <v>110</v>
      </c>
      <c r="I25" s="126"/>
      <c r="J25" s="118"/>
      <c r="K25" s="118"/>
      <c r="L25" s="174">
        <f>IF(I25="",0,IFERROR(IF(SCORING.RULES!$C$8="No",1,((VLOOKUP($B25,ACTUALS!$B$4:$L$100,7,FALSE)=$H25)+(VLOOKUP($B25,ACTUALS!$B$4:$L$100,7,FALSE)=S25)))*(M25+N25+O25+P25+Q25),0))+$R25</f>
        <v>0</v>
      </c>
      <c r="M25" s="168">
        <f>IFERROR(IF($B25="","",IF(U25=INDEX(ACTUALS!$AA$4:$AA$100,MATCH($B25,ACTUALS!$B$4:$B$100,0),1),CorrectScore,0)),0)</f>
        <v>0</v>
      </c>
      <c r="N25" s="157" t="str">
        <f>IFERROR(IF(I25="","",IF(INDEX(ACTUALS!$AB$4:$AB$100,MATCH($B25,ACTUALS!$B$4:$B$100,0),1)=(AB25+AC25+AH25+AI25),CorrectNumberofGoals,0)),0)</f>
        <v/>
      </c>
      <c r="O25" s="157"/>
      <c r="P25" s="157">
        <f>IFERROR(IF(B25="","",IF(INDEX(ACTUALS!$L$4:$L$100,MATCH($B25,ACTUALS!$B$4:$B$100,0),1)=W25,CorrectResult,0)),0)</f>
        <v>3</v>
      </c>
      <c r="Q25" s="157"/>
      <c r="R25" s="157"/>
      <c r="S25" s="157" t="str">
        <f t="shared" si="0"/>
        <v/>
      </c>
      <c r="T25" s="157"/>
      <c r="U25" s="157" t="str">
        <f t="shared" si="1"/>
        <v/>
      </c>
      <c r="V25" s="157" t="str">
        <f t="shared" si="2"/>
        <v/>
      </c>
      <c r="W25" s="119" t="str">
        <f>IF(tblActuals354[[#This Row],[SCORE]]="","",IF(AB25=AC25,"Draw",IF(AB25&gt;AC25,X25,Y25)))</f>
        <v/>
      </c>
      <c r="X25" s="120" t="str">
        <f>IF(tblActuals354[[#This Row],[TEAMS]]="","",LEFT(H25,FIND(" -",H25,1)-1))</f>
        <v>Belgium</v>
      </c>
      <c r="Y25" s="120" t="str">
        <f>IF(tblActuals354[[#This Row],[TEAMS]]="","",MID(H25,FIND("-",H25,1)+2,LEN(H25)-FIND("-",H25,1)+2))</f>
        <v>Romania</v>
      </c>
      <c r="Z25" s="120" t="str">
        <f>IF(tblActuals354[[#This Row],[Team 1 Goals]]&gt;tblActuals354[[#This Row],[Team 2 Goals]],tblActuals354[[#This Row],[Team 1]],IF(tblActuals354[[#This Row],[Team 2 Goals]]&gt;tblActuals354[[#This Row],[Team 1 Goals]],tblActuals354[[#This Row],[Team 2]],""))</f>
        <v/>
      </c>
      <c r="AA25" s="120" t="str">
        <f>IF(tblActuals354[[#This Row],[Winner]]=tblActuals354[[#This Row],[Team 1]],tblActuals354[[#This Row],[Team 2]],IF(tblActuals354[[#This Row],[Winner]]=tblActuals354[[#This Row],[Team 2]],tblActuals354[[#This Row],[Team 1]],""))</f>
        <v/>
      </c>
      <c r="AB25" s="120" t="str">
        <f>IF(tblActuals354[[#This Row],[SCORE]]="","",LEFT(I25,FIND(":",I25,1)-1)*1)</f>
        <v/>
      </c>
      <c r="AC25" s="120" t="str">
        <f>IF(tblActuals354[[#This Row],[SCORE]]="","",MID(I25,FIND(":",I25,1)+1,LEN(I25)-FIND(":",I25,1)+1)*1)</f>
        <v/>
      </c>
      <c r="AD25" s="120" t="str">
        <f>IF(OR(tblActuals354[[#This Row],[Team 1 Goals]]="",tblActuals354[[#This Row],[Team 2 Goals]]=""),"",tblActuals354[[#This Row],[Team 1 Goals]]-tblActuals354[[#This Row],[Team 2 Goals]])</f>
        <v/>
      </c>
      <c r="AE25" s="120" t="str">
        <f>IF(OR(tblActuals354[[#This Row],[Team 1 Goals]]="",tblActuals354[[#This Row],[Team 2 Goals]]=""),"",tblActuals354[[#This Row],[Team 2 Goals]]-tblActuals354[[#This Row],[Team 1 Goals]])</f>
        <v/>
      </c>
      <c r="AF25" s="120" t="str">
        <f>IF(tblActuals354[[#This Row],[SCORE]]="","",IF(tblActuals354[[#This Row],[WINNER / RESULT]]="Draw",1,IF(tblActuals354[[#This Row],[WINNER / RESULT]]=tblActuals354[[#This Row],[Team 1]],3,0)))</f>
        <v/>
      </c>
      <c r="AG25" s="120" t="str">
        <f>IF(tblActuals354[[#This Row],[SCORE]]="","",IF(tblActuals354[[#This Row],[WINNER / RESULT]]="Draw",1,IF(tblActuals354[[#This Row],[WINNER / RESULT]]=tblActuals354[[#This Row],[Team 2]],3,0)))</f>
        <v/>
      </c>
      <c r="AH25" s="121"/>
      <c r="AI25" s="121"/>
      <c r="AJ25" s="121"/>
      <c r="AK25" s="121"/>
      <c r="AL25" s="120" t="e">
        <f>tblActuals354[[#This Row],[Team 1 Goals]]+tblActuals354[[#This Row],[Team 1 ET Goals]]&amp;":"&amp;tblActuals354[[#This Row],[Team 2 Goals]]+tblActuals354[[#This Row],[Team 2 ET Goals]]</f>
        <v>#VALUE!</v>
      </c>
      <c r="AM25" s="120" t="e">
        <f>+tblActuals354[[#This Row],[Team 1 Goals]]+tblActuals354[[#This Row],[Team 2 Goals]]</f>
        <v>#VALUE!</v>
      </c>
      <c r="AN25" s="161">
        <f t="shared" si="3"/>
        <v>45465</v>
      </c>
      <c r="AT25" s="77" t="s">
        <v>7</v>
      </c>
      <c r="AU25" s="139">
        <v>2</v>
      </c>
      <c r="AV25" s="140" t="str">
        <f ca="1">IFERROR(INDEX(BD:BD,MATCH("2"&amp;AT25,BN:BN,0),1),"")</f>
        <v>France</v>
      </c>
      <c r="AW25" s="140" t="str">
        <f ca="1">IF(AV25="","",VLOOKUP(AV25,BD:BI,2,FALSE)&amp;"-"&amp;VLOOKUP(AV25,BD:BI,3,FALSE)&amp;"-"&amp;VLOOKUP(AV25,BD:BI,4,FALSE))</f>
        <v>0-0-0</v>
      </c>
      <c r="AX25" s="140">
        <f ca="1">IF(AV25="","",VLOOKUP(AV25,BD:BK,8,FALSE))</f>
        <v>0</v>
      </c>
      <c r="AY25" s="141">
        <f ca="1">IF(AV25="","",VLOOKUP(AV25,BD:BN,5,FALSE))</f>
        <v>0</v>
      </c>
      <c r="AZ25" s="75"/>
      <c r="BA25" s="4"/>
      <c r="BB25" s="4"/>
      <c r="BC25" s="4" t="s">
        <v>12</v>
      </c>
      <c r="BD25" s="4" t="s">
        <v>131</v>
      </c>
      <c r="BE25" s="4">
        <f>COUNTIF(tblActuals354[Winner],BD25)</f>
        <v>0</v>
      </c>
      <c r="BF25" s="4">
        <f>COUNTIFS(tblActuals354[Team 2],BD25,tblActuals354[WINNER / RESULT],"Draw")+COUNTIFS(tblActuals354[Team 1],BD25,tblActuals354[WINNER / RESULT],"Draw")</f>
        <v>0</v>
      </c>
      <c r="BG25" s="4">
        <f>COUNTIF(tblActuals354[Loser],BD25)</f>
        <v>0</v>
      </c>
      <c r="BH25" s="4">
        <f>BF25+(3*BE25)</f>
        <v>0</v>
      </c>
      <c r="BI25" s="4">
        <f>SUMIFS(tblActuals354[Team 1 Goals],tblActuals354[Team 1],BD25)+SUMIFS(tblActuals354[Team 2 Goals],tblActuals354[Team 2],BD25)</f>
        <v>0</v>
      </c>
      <c r="BJ25" s="4">
        <f>SUMIFS(tblActuals354[Team 2 Goals],tblActuals354[Team 1],BD25)+SUMIFS(tblActuals354[Team 1 Goals],tblActuals354[Team 2],BD25)</f>
        <v>0</v>
      </c>
      <c r="BK25" s="4">
        <f>BI25-BJ25</f>
        <v>0</v>
      </c>
      <c r="BL25" s="4">
        <f ca="1">RANK(BY25,$BY$24:$BY$27,1)</f>
        <v>2</v>
      </c>
      <c r="BM25" s="4" t="str">
        <f t="shared" si="4"/>
        <v/>
      </c>
      <c r="BN25" s="4" t="str">
        <f ca="1">IF(BM25="",BL25&amp;BC25,BM25&amp;BC25)</f>
        <v>2E</v>
      </c>
      <c r="BO25" s="4">
        <f>RANK(BH25,$BH$24:$BH$27,0)</f>
        <v>1</v>
      </c>
      <c r="BP25" s="4" cm="1">
        <f t="array" aca="1" ref="BP25" ca="1">SUMPRODUCT((OFFSET($CV$3:$EA$3,MATCH($BD25,$CU$4:$CU$35,0),0))*((IF($BO26=$BO25,$CV$3:$EA$3=$BD26,0))+(IF($BO27=$BO25,$CV$3:$EA$3=$BD27,0))+(IF($BO24=$BO25,$CV$3:$EA$3=$BD24,0))))</f>
        <v>0</v>
      </c>
      <c r="BQ25" s="4" cm="1">
        <f t="array" aca="1" ref="BQ25" ca="1">SUMPRODUCT((OFFSET($ED$3:$FI$3,MATCH($BD25,$EC$4:$EC$35,0),0))*((IF($BO26=$BO25,$ED$3:$FI$3=$BD26,0))+(IF($BO27=$BO25,$ED$3:$FI$3=$BD27,0))+(IF($BO24=$BO25,$ED$3:$FI$3=$BD24,0))))</f>
        <v>0</v>
      </c>
      <c r="BR25" s="4" cm="1">
        <f t="array" aca="1" ref="BR25" ca="1">SUMPRODUCT((OFFSET($FL$3:$GQ$3,MATCH($BD25,$FK$4:$FK$35,0),0))*((IF($BO26=$BO25,$FL$3:$GQ$3=$BD26,0))+(IF($BO27=$BO25,$FL$3:$GQ$3=$BD27,0))+(IF($BO24=$BO25,$FL$3:$GQ$3=$BD24,0))))</f>
        <v>0</v>
      </c>
      <c r="BS25" s="4" cm="1">
        <f t="array" aca="1" ref="BS25" ca="1">SUMPRODUCT((OFFSET($CV$3:$EA$3,MATCH($BD25,$CU$4:$CU$35,0),0))*((IF($BO26&lt;&gt;$BO25,$CV$3:$EA$3=$BD26,0))+(IF($BO27&lt;&gt;$BO25,$CV$3:$EA$3=$BD27,0))+(IF($BO24&lt;&gt;$BO25,$CV$3:$EA$3=$BD24,0))))</f>
        <v>0</v>
      </c>
      <c r="BT25" s="4" cm="1">
        <f t="array" aca="1" ref="BT25" ca="1">SUMPRODUCT((OFFSET($ED$3:$FI$3,MATCH($BD25,$EC$4:$EC$35,0),0))*((IF($BO26&lt;&gt;$BO25,$ED$3:$FI$3=$BD26,0))+(IF($BO27&lt;&gt;$BO25,$ED$3:$FI$3=$BD27,0))+(IF($BO24&lt;&gt;$BO25,$ED$3:$FI$3=$BD24,0))))</f>
        <v>0</v>
      </c>
      <c r="BU25" s="4" cm="1">
        <f t="array" aca="1" ref="BU25" ca="1">SUMPRODUCT((OFFSET($FL$3:$GQ$3,MATCH($BD25,$FK$4:$FK$35,0),0))*((IF($BO26&lt;&gt;$BO25,$FL$3:$GQ$3=$BD26,0))+(IF($BO27&lt;&gt;$BO25,$FL$3:$GQ$3=$BD27,0))+(IF($BO24&lt;&gt;$BO25,$FL$3:$GQ$3=$BD24,0))))</f>
        <v>0</v>
      </c>
      <c r="BV25" s="4">
        <f>BK25</f>
        <v>0</v>
      </c>
      <c r="BW25" s="4">
        <f>BI25</f>
        <v>0</v>
      </c>
      <c r="BX25" s="4">
        <f ca="1">(BP25/10)+(BQ25/100)+(BR25/1000)+(BT25/10000)+(BU25/100000)+(BV25/1000000)+(BW25/10000000)+(ROW(BS26)/100000000)</f>
        <v>2.6E-7</v>
      </c>
      <c r="BY25" s="4">
        <f ca="1">+BO25-BX25</f>
        <v>0.99999974000000003</v>
      </c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U25" s="4" t="s">
        <v>134</v>
      </c>
      <c r="CV25" s="56">
        <f>SUMIFS(tblActuals354[Team 2 Points],tblActuals354[Team 2],$CU25,tblActuals354[Team 1],CV$3)+SUMIFS(tblActuals354[Team 1 Points],tblActuals354[Team 1],$CU25,tblActuals354[Team 2],CV$3)</f>
        <v>0</v>
      </c>
      <c r="CW25" s="56">
        <f>SUMIFS(tblActuals354[Team 2 Points],tblActuals354[Team 2],$CU25,tblActuals354[Team 1],CW$3)+SUMIFS(tblActuals354[Team 1 Points],tblActuals354[Team 1],$CU25,tblActuals354[Team 2],CW$3)</f>
        <v>0</v>
      </c>
      <c r="CX25" s="56">
        <f>SUMIFS(tblActuals354[Team 2 Points],tblActuals354[Team 2],$CU25,tblActuals354[Team 1],CX$3)+SUMIFS(tblActuals354[Team 1 Points],tblActuals354[Team 1],$CU25,tblActuals354[Team 2],CX$3)</f>
        <v>0</v>
      </c>
      <c r="CY25" s="56">
        <f>SUMIFS(tblActuals354[Team 2 Points],tblActuals354[Team 2],$CU25,tblActuals354[Team 1],CY$3)+SUMIFS(tblActuals354[Team 1 Points],tblActuals354[Team 1],$CU25,tblActuals354[Team 2],CY$3)</f>
        <v>0</v>
      </c>
      <c r="CZ25" s="56">
        <f>SUMIFS(tblActuals354[Team 2 Points],tblActuals354[Team 2],$CU25,tblActuals354[Team 1],CZ$3)+SUMIFS(tblActuals354[Team 1 Points],tblActuals354[Team 1],$CU25,tblActuals354[Team 2],CZ$3)</f>
        <v>0</v>
      </c>
      <c r="DA25" s="56">
        <f>SUMIFS(tblActuals354[Team 2 Points],tblActuals354[Team 2],$CU25,tblActuals354[Team 1],DA$3)+SUMIFS(tblActuals354[Team 1 Points],tblActuals354[Team 1],$CU25,tblActuals354[Team 2],DA$3)</f>
        <v>0</v>
      </c>
      <c r="DB25" s="56">
        <f>SUMIFS(tblActuals354[Team 2 Points],tblActuals354[Team 2],$CU25,tblActuals354[Team 1],DB$3)+SUMIFS(tblActuals354[Team 1 Points],tblActuals354[Team 1],$CU25,tblActuals354[Team 2],DB$3)</f>
        <v>0</v>
      </c>
      <c r="DC25" s="56">
        <f>SUMIFS(tblActuals354[Team 2 Points],tblActuals354[Team 2],$CU25,tblActuals354[Team 1],DC$3)+SUMIFS(tblActuals354[Team 1 Points],tblActuals354[Team 1],$CU25,tblActuals354[Team 2],DC$3)</f>
        <v>0</v>
      </c>
      <c r="DD25" s="56">
        <f>SUMIFS(tblActuals354[Team 2 Points],tblActuals354[Team 2],$CU25,tblActuals354[Team 1],DD$3)+SUMIFS(tblActuals354[Team 1 Points],tblActuals354[Team 1],$CU25,tblActuals354[Team 2],DD$3)</f>
        <v>0</v>
      </c>
      <c r="DE25" s="56">
        <f>SUMIFS(tblActuals354[Team 2 Points],tblActuals354[Team 2],$CU25,tblActuals354[Team 1],DE$3)+SUMIFS(tblActuals354[Team 1 Points],tblActuals354[Team 1],$CU25,tblActuals354[Team 2],DE$3)</f>
        <v>0</v>
      </c>
      <c r="DF25" s="56">
        <f>SUMIFS(tblActuals354[Team 2 Points],tblActuals354[Team 2],$CU25,tblActuals354[Team 1],DF$3)+SUMIFS(tblActuals354[Team 1 Points],tblActuals354[Team 1],$CU25,tblActuals354[Team 2],DF$3)</f>
        <v>0</v>
      </c>
      <c r="DG25" s="56">
        <f>SUMIFS(tblActuals354[Team 2 Points],tblActuals354[Team 2],$CU25,tblActuals354[Team 1],DG$3)+SUMIFS(tblActuals354[Team 1 Points],tblActuals354[Team 1],$CU25,tblActuals354[Team 2],DG$3)</f>
        <v>0</v>
      </c>
      <c r="DH25" s="56">
        <f>SUMIFS(tblActuals354[Team 2 Points],tblActuals354[Team 2],$CU25,tblActuals354[Team 1],DH$3)+SUMIFS(tblActuals354[Team 1 Points],tblActuals354[Team 1],$CU25,tblActuals354[Team 2],DH$3)</f>
        <v>0</v>
      </c>
      <c r="DI25" s="56">
        <f>SUMIFS(tblActuals354[Team 2 Points],tblActuals354[Team 2],$CU25,tblActuals354[Team 1],DI$3)+SUMIFS(tblActuals354[Team 1 Points],tblActuals354[Team 1],$CU25,tblActuals354[Team 2],DI$3)</f>
        <v>0</v>
      </c>
      <c r="DJ25" s="56">
        <f>SUMIFS(tblActuals354[Team 2 Points],tblActuals354[Team 2],$CU25,tblActuals354[Team 1],DJ$3)+SUMIFS(tblActuals354[Team 1 Points],tblActuals354[Team 1],$CU25,tblActuals354[Team 2],DJ$3)</f>
        <v>0</v>
      </c>
      <c r="DK25" s="56">
        <f>SUMIFS(tblActuals354[Team 2 Points],tblActuals354[Team 2],$CU25,tblActuals354[Team 1],DK$3)+SUMIFS(tblActuals354[Team 1 Points],tblActuals354[Team 1],$CU25,tblActuals354[Team 2],DK$3)</f>
        <v>0</v>
      </c>
      <c r="DL25" s="56">
        <f>SUMIFS(tblActuals354[Team 2 Points],tblActuals354[Team 2],$CU25,tblActuals354[Team 1],DL$3)+SUMIFS(tblActuals354[Team 1 Points],tblActuals354[Team 1],$CU25,tblActuals354[Team 2],DL$3)</f>
        <v>0</v>
      </c>
      <c r="DM25" s="56">
        <f>SUMIFS(tblActuals354[Team 2 Points],tblActuals354[Team 2],$CU25,tblActuals354[Team 1],DM$3)+SUMIFS(tblActuals354[Team 1 Points],tblActuals354[Team 1],$CU25,tblActuals354[Team 2],DM$3)</f>
        <v>0</v>
      </c>
      <c r="DN25" s="56">
        <f>SUMIFS(tblActuals354[Team 2 Points],tblActuals354[Team 2],$CU25,tblActuals354[Team 1],DN$3)+SUMIFS(tblActuals354[Team 1 Points],tblActuals354[Team 1],$CU25,tblActuals354[Team 2],DN$3)</f>
        <v>0</v>
      </c>
      <c r="DO25" s="56">
        <f>SUMIFS(tblActuals354[Team 2 Points],tblActuals354[Team 2],$CU25,tblActuals354[Team 1],DO$3)+SUMIFS(tblActuals354[Team 1 Points],tblActuals354[Team 1],$CU25,tblActuals354[Team 2],DO$3)</f>
        <v>0</v>
      </c>
      <c r="DP25" s="56">
        <f>SUMIFS(tblActuals354[Team 2 Points],tblActuals354[Team 2],$CU25,tblActuals354[Team 1],DP$3)+SUMIFS(tblActuals354[Team 1 Points],tblActuals354[Team 1],$CU25,tblActuals354[Team 2],DP$3)</f>
        <v>0</v>
      </c>
      <c r="DQ25" s="56">
        <f>SUMIFS(tblActuals354[Team 2 Points],tblActuals354[Team 2],$CU25,tblActuals354[Team 1],DQ$3)+SUMIFS(tblActuals354[Team 1 Points],tblActuals354[Team 1],$CU25,tblActuals354[Team 2],DQ$3)</f>
        <v>0</v>
      </c>
      <c r="DR25" s="56">
        <f>SUMIFS(tblActuals354[Team 2 Points],tblActuals354[Team 2],$CU25,tblActuals354[Team 1],DR$3)+SUMIFS(tblActuals354[Team 1 Points],tblActuals354[Team 1],$CU25,tblActuals354[Team 2],DR$3)</f>
        <v>0</v>
      </c>
      <c r="DS25" s="56">
        <f>SUMIFS(tblActuals354[Team 2 Points],tblActuals354[Team 2],$CU25,tblActuals354[Team 1],DS$3)+SUMIFS(tblActuals354[Team 1 Points],tblActuals354[Team 1],$CU25,tblActuals354[Team 2],DS$3)</f>
        <v>0</v>
      </c>
      <c r="DT25" s="57"/>
      <c r="DU25" s="57"/>
      <c r="DV25" s="57"/>
      <c r="DW25" s="57"/>
      <c r="DX25" s="57"/>
      <c r="DY25" s="57"/>
      <c r="DZ25" s="57"/>
      <c r="EA25" s="57"/>
      <c r="EB25" s="4"/>
      <c r="EC25" s="4" t="s">
        <v>134</v>
      </c>
      <c r="ED25" s="56">
        <f>SUMIFS(tblActuals354[Team 2 GD],tblActuals354[Team 2],$CU25,tblActuals354[Team 1],ED$3)+SUMIFS(tblActuals354[Team 1 GD],tblActuals354[Team 1],$CU25,tblActuals354[Team 2],ED$3)</f>
        <v>0</v>
      </c>
      <c r="EE25" s="56">
        <f>SUMIFS(tblActuals354[Team 2 GD],tblActuals354[Team 2],$CU25,tblActuals354[Team 1],EE$3)+SUMIFS(tblActuals354[Team 1 GD],tblActuals354[Team 1],$CU25,tblActuals354[Team 2],EE$3)</f>
        <v>0</v>
      </c>
      <c r="EF25" s="56">
        <f>SUMIFS(tblActuals354[Team 2 GD],tblActuals354[Team 2],$CU25,tblActuals354[Team 1],EF$3)+SUMIFS(tblActuals354[Team 1 GD],tblActuals354[Team 1],$CU25,tblActuals354[Team 2],EF$3)</f>
        <v>0</v>
      </c>
      <c r="EG25" s="56">
        <f>SUMIFS(tblActuals354[Team 2 GD],tblActuals354[Team 2],$CU25,tblActuals354[Team 1],EG$3)+SUMIFS(tblActuals354[Team 1 GD],tblActuals354[Team 1],$CU25,tblActuals354[Team 2],EG$3)</f>
        <v>0</v>
      </c>
      <c r="EH25" s="56">
        <f>SUMIFS(tblActuals354[Team 2 GD],tblActuals354[Team 2],$CU25,tblActuals354[Team 1],EH$3)+SUMIFS(tblActuals354[Team 1 GD],tblActuals354[Team 1],$CU25,tblActuals354[Team 2],EH$3)</f>
        <v>0</v>
      </c>
      <c r="EI25" s="56">
        <f>SUMIFS(tblActuals354[Team 2 GD],tblActuals354[Team 2],$CU25,tblActuals354[Team 1],EI$3)+SUMIFS(tblActuals354[Team 1 GD],tblActuals354[Team 1],$CU25,tblActuals354[Team 2],EI$3)</f>
        <v>0</v>
      </c>
      <c r="EJ25" s="56">
        <f>SUMIFS(tblActuals354[Team 2 GD],tblActuals354[Team 2],$CU25,tblActuals354[Team 1],EJ$3)+SUMIFS(tblActuals354[Team 1 GD],tblActuals354[Team 1],$CU25,tblActuals354[Team 2],EJ$3)</f>
        <v>0</v>
      </c>
      <c r="EK25" s="56">
        <f>SUMIFS(tblActuals354[Team 2 GD],tblActuals354[Team 2],$CU25,tblActuals354[Team 1],EK$3)+SUMIFS(tblActuals354[Team 1 GD],tblActuals354[Team 1],$CU25,tblActuals354[Team 2],EK$3)</f>
        <v>0</v>
      </c>
      <c r="EL25" s="56">
        <f>SUMIFS(tblActuals354[Team 2 GD],tblActuals354[Team 2],$CU25,tblActuals354[Team 1],EL$3)+SUMIFS(tblActuals354[Team 1 GD],tblActuals354[Team 1],$CU25,tblActuals354[Team 2],EL$3)</f>
        <v>0</v>
      </c>
      <c r="EM25" s="56">
        <f>SUMIFS(tblActuals354[Team 2 GD],tblActuals354[Team 2],$CU25,tblActuals354[Team 1],EM$3)+SUMIFS(tblActuals354[Team 1 GD],tblActuals354[Team 1],$CU25,tblActuals354[Team 2],EM$3)</f>
        <v>0</v>
      </c>
      <c r="EN25" s="56">
        <f>SUMIFS(tblActuals354[Team 2 GD],tblActuals354[Team 2],$CU25,tblActuals354[Team 1],EN$3)+SUMIFS(tblActuals354[Team 1 GD],tblActuals354[Team 1],$CU25,tblActuals354[Team 2],EN$3)</f>
        <v>0</v>
      </c>
      <c r="EO25" s="56">
        <f>SUMIFS(tblActuals354[Team 2 GD],tblActuals354[Team 2],$CU25,tblActuals354[Team 1],EO$3)+SUMIFS(tblActuals354[Team 1 GD],tblActuals354[Team 1],$CU25,tblActuals354[Team 2],EO$3)</f>
        <v>0</v>
      </c>
      <c r="EP25" s="56">
        <f>SUMIFS(tblActuals354[Team 2 GD],tblActuals354[Team 2],$CU25,tblActuals354[Team 1],EP$3)+SUMIFS(tblActuals354[Team 1 GD],tblActuals354[Team 1],$CU25,tblActuals354[Team 2],EP$3)</f>
        <v>0</v>
      </c>
      <c r="EQ25" s="56">
        <f>SUMIFS(tblActuals354[Team 2 GD],tblActuals354[Team 2],$CU25,tblActuals354[Team 1],EQ$3)+SUMIFS(tblActuals354[Team 1 GD],tblActuals354[Team 1],$CU25,tblActuals354[Team 2],EQ$3)</f>
        <v>0</v>
      </c>
      <c r="ER25" s="56">
        <f>SUMIFS(tblActuals354[Team 2 GD],tblActuals354[Team 2],$CU25,tblActuals354[Team 1],ER$3)+SUMIFS(tblActuals354[Team 1 GD],tblActuals354[Team 1],$CU25,tblActuals354[Team 2],ER$3)</f>
        <v>0</v>
      </c>
      <c r="ES25" s="56">
        <f>SUMIFS(tblActuals354[Team 2 GD],tblActuals354[Team 2],$CU25,tblActuals354[Team 1],ES$3)+SUMIFS(tblActuals354[Team 1 GD],tblActuals354[Team 1],$CU25,tblActuals354[Team 2],ES$3)</f>
        <v>0</v>
      </c>
      <c r="ET25" s="56">
        <f>SUMIFS(tblActuals354[Team 2 GD],tblActuals354[Team 2],$CU25,tblActuals354[Team 1],ET$3)+SUMIFS(tblActuals354[Team 1 GD],tblActuals354[Team 1],$CU25,tblActuals354[Team 2],ET$3)</f>
        <v>0</v>
      </c>
      <c r="EU25" s="56">
        <f>SUMIFS(tblActuals354[Team 2 GD],tblActuals354[Team 2],$CU25,tblActuals354[Team 1],EU$3)+SUMIFS(tblActuals354[Team 1 GD],tblActuals354[Team 1],$CU25,tblActuals354[Team 2],EU$3)</f>
        <v>0</v>
      </c>
      <c r="EV25" s="56">
        <f>SUMIFS(tblActuals354[Team 2 GD],tblActuals354[Team 2],$CU25,tblActuals354[Team 1],EV$3)+SUMIFS(tblActuals354[Team 1 GD],tblActuals354[Team 1],$CU25,tblActuals354[Team 2],EV$3)</f>
        <v>0</v>
      </c>
      <c r="EW25" s="56">
        <f>SUMIFS(tblActuals354[Team 2 GD],tblActuals354[Team 2],$CU25,tblActuals354[Team 1],EW$3)+SUMIFS(tblActuals354[Team 1 GD],tblActuals354[Team 1],$CU25,tblActuals354[Team 2],EW$3)</f>
        <v>0</v>
      </c>
      <c r="EX25" s="56">
        <f>SUMIFS(tblActuals354[Team 2 GD],tblActuals354[Team 2],$CU25,tblActuals354[Team 1],EX$3)+SUMIFS(tblActuals354[Team 1 GD],tblActuals354[Team 1],$CU25,tblActuals354[Team 2],EX$3)</f>
        <v>0</v>
      </c>
      <c r="EY25" s="56">
        <f>SUMIFS(tblActuals354[Team 2 GD],tblActuals354[Team 2],$CU25,tblActuals354[Team 1],EY$3)+SUMIFS(tblActuals354[Team 1 GD],tblActuals354[Team 1],$CU25,tblActuals354[Team 2],EY$3)</f>
        <v>0</v>
      </c>
      <c r="EZ25" s="56">
        <f>SUMIFS(tblActuals354[Team 2 GD],tblActuals354[Team 2],$CU25,tblActuals354[Team 1],EZ$3)+SUMIFS(tblActuals354[Team 1 GD],tblActuals354[Team 1],$CU25,tblActuals354[Team 2],EZ$3)</f>
        <v>0</v>
      </c>
      <c r="FA25" s="56">
        <f>SUMIFS(tblActuals354[Team 2 GD],tblActuals354[Team 2],$CU25,tblActuals354[Team 1],FA$3)+SUMIFS(tblActuals354[Team 1 GD],tblActuals354[Team 1],$CU25,tblActuals354[Team 2],FA$3)</f>
        <v>0</v>
      </c>
      <c r="FB25" s="57"/>
      <c r="FC25" s="57"/>
      <c r="FD25" s="57"/>
      <c r="FE25" s="57"/>
      <c r="FF25" s="57"/>
      <c r="FG25" s="57"/>
      <c r="FH25" s="57"/>
      <c r="FI25" s="57"/>
      <c r="FJ25" s="4"/>
      <c r="FK25" s="4" t="s">
        <v>134</v>
      </c>
      <c r="FL25" s="56">
        <f>SUMIFS(tblActuals354[Team 2 Goals],tblActuals354[Team 2],$CU25,tblActuals354[Team 1],FL$3)+SUMIFS(tblActuals354[Team 1 Goals],tblActuals354[Team 1],$CU25,tblActuals354[Team 2],FL$3)</f>
        <v>0</v>
      </c>
      <c r="FM25" s="56">
        <f>SUMIFS(tblActuals354[Team 2 Goals],tblActuals354[Team 2],$CU25,tblActuals354[Team 1],FM$3)+SUMIFS(tblActuals354[Team 1 Goals],tblActuals354[Team 1],$CU25,tblActuals354[Team 2],FM$3)</f>
        <v>0</v>
      </c>
      <c r="FN25" s="56">
        <f>SUMIFS(tblActuals354[Team 2 Goals],tblActuals354[Team 2],$CU25,tblActuals354[Team 1],FN$3)+SUMIFS(tblActuals354[Team 1 Goals],tblActuals354[Team 1],$CU25,tblActuals354[Team 2],FN$3)</f>
        <v>0</v>
      </c>
      <c r="FO25" s="56">
        <f>SUMIFS(tblActuals354[Team 2 Goals],tblActuals354[Team 2],$CU25,tblActuals354[Team 1],FO$3)+SUMIFS(tblActuals354[Team 1 Goals],tblActuals354[Team 1],$CU25,tblActuals354[Team 2],FO$3)</f>
        <v>0</v>
      </c>
      <c r="FP25" s="56">
        <f>SUMIFS(tblActuals354[Team 2 Goals],tblActuals354[Team 2],$CU25,tblActuals354[Team 1],FP$3)+SUMIFS(tblActuals354[Team 1 Goals],tblActuals354[Team 1],$CU25,tblActuals354[Team 2],FP$3)</f>
        <v>0</v>
      </c>
      <c r="FQ25" s="56">
        <f>SUMIFS(tblActuals354[Team 2 Goals],tblActuals354[Team 2],$CU25,tblActuals354[Team 1],FQ$3)+SUMIFS(tblActuals354[Team 1 Goals],tblActuals354[Team 1],$CU25,tblActuals354[Team 2],FQ$3)</f>
        <v>0</v>
      </c>
      <c r="FR25" s="56">
        <f>SUMIFS(tblActuals354[Team 2 Goals],tblActuals354[Team 2],$CU25,tblActuals354[Team 1],FR$3)+SUMIFS(tblActuals354[Team 1 Goals],tblActuals354[Team 1],$CU25,tblActuals354[Team 2],FR$3)</f>
        <v>0</v>
      </c>
      <c r="FS25" s="56">
        <f>SUMIFS(tblActuals354[Team 2 Goals],tblActuals354[Team 2],$CU25,tblActuals354[Team 1],FS$3)+SUMIFS(tblActuals354[Team 1 Goals],tblActuals354[Team 1],$CU25,tblActuals354[Team 2],FS$3)</f>
        <v>0</v>
      </c>
      <c r="FT25" s="56">
        <f>SUMIFS(tblActuals354[Team 2 Goals],tblActuals354[Team 2],$CU25,tblActuals354[Team 1],FT$3)+SUMIFS(tblActuals354[Team 1 Goals],tblActuals354[Team 1],$CU25,tblActuals354[Team 2],FT$3)</f>
        <v>0</v>
      </c>
      <c r="FU25" s="56">
        <f>SUMIFS(tblActuals354[Team 2 Goals],tblActuals354[Team 2],$CU25,tblActuals354[Team 1],FU$3)+SUMIFS(tblActuals354[Team 1 Goals],tblActuals354[Team 1],$CU25,tblActuals354[Team 2],FU$3)</f>
        <v>0</v>
      </c>
      <c r="FV25" s="56">
        <f>SUMIFS(tblActuals354[Team 2 Goals],tblActuals354[Team 2],$CU25,tblActuals354[Team 1],FV$3)+SUMIFS(tblActuals354[Team 1 Goals],tblActuals354[Team 1],$CU25,tblActuals354[Team 2],FV$3)</f>
        <v>0</v>
      </c>
      <c r="FW25" s="56">
        <f>SUMIFS(tblActuals354[Team 2 Goals],tblActuals354[Team 2],$CU25,tblActuals354[Team 1],FW$3)+SUMIFS(tblActuals354[Team 1 Goals],tblActuals354[Team 1],$CU25,tblActuals354[Team 2],FW$3)</f>
        <v>0</v>
      </c>
      <c r="FX25" s="56">
        <f>SUMIFS(tblActuals354[Team 2 Goals],tblActuals354[Team 2],$CU25,tblActuals354[Team 1],FX$3)+SUMIFS(tblActuals354[Team 1 Goals],tblActuals354[Team 1],$CU25,tblActuals354[Team 2],FX$3)</f>
        <v>0</v>
      </c>
      <c r="FY25" s="56">
        <f>SUMIFS(tblActuals354[Team 2 Goals],tblActuals354[Team 2],$CU25,tblActuals354[Team 1],FY$3)+SUMIFS(tblActuals354[Team 1 Goals],tblActuals354[Team 1],$CU25,tblActuals354[Team 2],FY$3)</f>
        <v>0</v>
      </c>
      <c r="FZ25" s="56">
        <f>SUMIFS(tblActuals354[Team 2 Goals],tblActuals354[Team 2],$CU25,tblActuals354[Team 1],FZ$3)+SUMIFS(tblActuals354[Team 1 Goals],tblActuals354[Team 1],$CU25,tblActuals354[Team 2],FZ$3)</f>
        <v>0</v>
      </c>
      <c r="GA25" s="56">
        <f>SUMIFS(tblActuals354[Team 2 Goals],tblActuals354[Team 2],$CU25,tblActuals354[Team 1],GA$3)+SUMIFS(tblActuals354[Team 1 Goals],tblActuals354[Team 1],$CU25,tblActuals354[Team 2],GA$3)</f>
        <v>0</v>
      </c>
      <c r="GB25" s="56">
        <f>SUMIFS(tblActuals354[Team 2 Goals],tblActuals354[Team 2],$CU25,tblActuals354[Team 1],GB$3)+SUMIFS(tblActuals354[Team 1 Goals],tblActuals354[Team 1],$CU25,tblActuals354[Team 2],GB$3)</f>
        <v>0</v>
      </c>
      <c r="GC25" s="56">
        <f>SUMIFS(tblActuals354[Team 2 Goals],tblActuals354[Team 2],$CU25,tblActuals354[Team 1],GC$3)+SUMIFS(tblActuals354[Team 1 Goals],tblActuals354[Team 1],$CU25,tblActuals354[Team 2],GC$3)</f>
        <v>0</v>
      </c>
      <c r="GD25" s="56">
        <f>SUMIFS(tblActuals354[Team 2 Goals],tblActuals354[Team 2],$CU25,tblActuals354[Team 1],GD$3)+SUMIFS(tblActuals354[Team 1 Goals],tblActuals354[Team 1],$CU25,tblActuals354[Team 2],GD$3)</f>
        <v>0</v>
      </c>
      <c r="GE25" s="56">
        <f>SUMIFS(tblActuals354[Team 2 Goals],tblActuals354[Team 2],$CU25,tblActuals354[Team 1],GE$3)+SUMIFS(tblActuals354[Team 1 Goals],tblActuals354[Team 1],$CU25,tblActuals354[Team 2],GE$3)</f>
        <v>0</v>
      </c>
      <c r="GF25" s="56">
        <f>SUMIFS(tblActuals354[Team 2 Goals],tblActuals354[Team 2],$CU25,tblActuals354[Team 1],GF$3)+SUMIFS(tblActuals354[Team 1 Goals],tblActuals354[Team 1],$CU25,tblActuals354[Team 2],GF$3)</f>
        <v>0</v>
      </c>
      <c r="GG25" s="56">
        <f>SUMIFS(tblActuals354[Team 2 Goals],tblActuals354[Team 2],$CU25,tblActuals354[Team 1],GG$3)+SUMIFS(tblActuals354[Team 1 Goals],tblActuals354[Team 1],$CU25,tblActuals354[Team 2],GG$3)</f>
        <v>0</v>
      </c>
      <c r="GH25" s="56">
        <f>SUMIFS(tblActuals354[Team 2 Goals],tblActuals354[Team 2],$CU25,tblActuals354[Team 1],GH$3)+SUMIFS(tblActuals354[Team 1 Goals],tblActuals354[Team 1],$CU25,tblActuals354[Team 2],GH$3)</f>
        <v>0</v>
      </c>
      <c r="GI25" s="56">
        <f>SUMIFS(tblActuals354[Team 2 Goals],tblActuals354[Team 2],$CU25,tblActuals354[Team 1],GI$3)+SUMIFS(tblActuals354[Team 1 Goals],tblActuals354[Team 1],$CU25,tblActuals354[Team 2],GI$3)</f>
        <v>0</v>
      </c>
      <c r="GJ25" s="57"/>
      <c r="GK25" s="57"/>
      <c r="GL25" s="37"/>
      <c r="GM25" s="37"/>
      <c r="GN25" s="37"/>
      <c r="GO25" s="37"/>
      <c r="GP25" s="37"/>
      <c r="GQ25" s="37"/>
      <c r="GR25" s="75"/>
      <c r="GS25" s="148"/>
      <c r="GT25" s="148"/>
      <c r="GU25" s="75"/>
      <c r="GV25" s="75"/>
      <c r="GW25" s="75"/>
      <c r="GX25" s="75"/>
      <c r="GY25" s="75"/>
      <c r="GZ25" s="75"/>
    </row>
    <row r="26" spans="1:221" s="11" customFormat="1" ht="30" customHeight="1" x14ac:dyDescent="0.25">
      <c r="A26" s="20"/>
      <c r="B26" s="122">
        <v>23</v>
      </c>
      <c r="C26" s="122" t="s">
        <v>45</v>
      </c>
      <c r="D26" s="123">
        <v>45465</v>
      </c>
      <c r="E26" s="122" t="s">
        <v>81</v>
      </c>
      <c r="F26" s="124">
        <v>0.75</v>
      </c>
      <c r="G26" s="125">
        <f t="shared" si="11"/>
        <v>45465.5</v>
      </c>
      <c r="H26" s="122" t="s">
        <v>111</v>
      </c>
      <c r="I26" s="126"/>
      <c r="J26" s="118"/>
      <c r="K26" s="118"/>
      <c r="L26" s="174">
        <f>IF(I26="",0,IFERROR(IF(SCORING.RULES!$C$8="No",1,((VLOOKUP($B26,ACTUALS!$B$4:$L$100,7,FALSE)=$H26)+(VLOOKUP($B26,ACTUALS!$B$4:$L$100,7,FALSE)=S26)))*(M26+N26+O26+P26+Q26),0))+$R26</f>
        <v>0</v>
      </c>
      <c r="M26" s="168">
        <f>IFERROR(IF($B26="","",IF(U26=INDEX(ACTUALS!$AA$4:$AA$100,MATCH($B26,ACTUALS!$B$4:$B$100,0),1),CorrectScore,0)),0)</f>
        <v>0</v>
      </c>
      <c r="N26" s="157" t="str">
        <f>IFERROR(IF(I26="","",IF(INDEX(ACTUALS!$AB$4:$AB$100,MATCH($B26,ACTUALS!$B$4:$B$100,0),1)=(AB26+AC26+AH26+AI26),CorrectNumberofGoals,0)),0)</f>
        <v/>
      </c>
      <c r="O26" s="157"/>
      <c r="P26" s="157">
        <f>IFERROR(IF(B26="","",IF(INDEX(ACTUALS!$L$4:$L$100,MATCH($B26,ACTUALS!$B$4:$B$100,0),1)=W26,CorrectResult,0)),0)</f>
        <v>3</v>
      </c>
      <c r="Q26" s="157"/>
      <c r="R26" s="157"/>
      <c r="S26" s="157" t="str">
        <f t="shared" si="0"/>
        <v/>
      </c>
      <c r="T26" s="157"/>
      <c r="U26" s="157" t="str">
        <f t="shared" si="1"/>
        <v/>
      </c>
      <c r="V26" s="157" t="str">
        <f t="shared" si="2"/>
        <v/>
      </c>
      <c r="W26" s="119" t="str">
        <f>IF(tblActuals354[[#This Row],[SCORE]]="","",IF(AB26=AC26,"Draw",IF(AB26&gt;AC26,X26,Y26)))</f>
        <v/>
      </c>
      <c r="X26" s="120" t="str">
        <f>IF(tblActuals354[[#This Row],[TEAMS]]="","",LEFT(H26,FIND(" -",H26,1)-1))</f>
        <v>Turkey</v>
      </c>
      <c r="Y26" s="120" t="str">
        <f>IF(tblActuals354[[#This Row],[TEAMS]]="","",MID(H26,FIND("-",H26,1)+2,LEN(H26)-FIND("-",H26,1)+2))</f>
        <v>Portugal</v>
      </c>
      <c r="Z26" s="120" t="str">
        <f>IF(tblActuals354[[#This Row],[Team 1 Goals]]&gt;tblActuals354[[#This Row],[Team 2 Goals]],tblActuals354[[#This Row],[Team 1]],IF(tblActuals354[[#This Row],[Team 2 Goals]]&gt;tblActuals354[[#This Row],[Team 1 Goals]],tblActuals354[[#This Row],[Team 2]],""))</f>
        <v/>
      </c>
      <c r="AA26" s="120" t="str">
        <f>IF(tblActuals354[[#This Row],[Winner]]=tblActuals354[[#This Row],[Team 1]],tblActuals354[[#This Row],[Team 2]],IF(tblActuals354[[#This Row],[Winner]]=tblActuals354[[#This Row],[Team 2]],tblActuals354[[#This Row],[Team 1]],""))</f>
        <v/>
      </c>
      <c r="AB26" s="120" t="str">
        <f>IF(tblActuals354[[#This Row],[SCORE]]="","",LEFT(I26,FIND(":",I26,1)-1)*1)</f>
        <v/>
      </c>
      <c r="AC26" s="120" t="str">
        <f>IF(tblActuals354[[#This Row],[SCORE]]="","",MID(I26,FIND(":",I26,1)+1,LEN(I26)-FIND(":",I26,1)+1)*1)</f>
        <v/>
      </c>
      <c r="AD26" s="120" t="str">
        <f>IF(OR(tblActuals354[[#This Row],[Team 1 Goals]]="",tblActuals354[[#This Row],[Team 2 Goals]]=""),"",tblActuals354[[#This Row],[Team 1 Goals]]-tblActuals354[[#This Row],[Team 2 Goals]])</f>
        <v/>
      </c>
      <c r="AE26" s="120" t="str">
        <f>IF(OR(tblActuals354[[#This Row],[Team 1 Goals]]="",tblActuals354[[#This Row],[Team 2 Goals]]=""),"",tblActuals354[[#This Row],[Team 2 Goals]]-tblActuals354[[#This Row],[Team 1 Goals]])</f>
        <v/>
      </c>
      <c r="AF26" s="120" t="str">
        <f>IF(tblActuals354[[#This Row],[SCORE]]="","",IF(tblActuals354[[#This Row],[WINNER / RESULT]]="Draw",1,IF(tblActuals354[[#This Row],[WINNER / RESULT]]=tblActuals354[[#This Row],[Team 1]],3,0)))</f>
        <v/>
      </c>
      <c r="AG26" s="120" t="str">
        <f>IF(tblActuals354[[#This Row],[SCORE]]="","",IF(tblActuals354[[#This Row],[WINNER / RESULT]]="Draw",1,IF(tblActuals354[[#This Row],[WINNER / RESULT]]=tblActuals354[[#This Row],[Team 2]],3,0)))</f>
        <v/>
      </c>
      <c r="AH26" s="121"/>
      <c r="AI26" s="121"/>
      <c r="AJ26" s="121"/>
      <c r="AK26" s="121"/>
      <c r="AL26" s="120" t="e">
        <f>tblActuals354[[#This Row],[Team 1 Goals]]+tblActuals354[[#This Row],[Team 1 ET Goals]]&amp;":"&amp;tblActuals354[[#This Row],[Team 2 Goals]]+tblActuals354[[#This Row],[Team 2 ET Goals]]</f>
        <v>#VALUE!</v>
      </c>
      <c r="AM26" s="120" t="e">
        <f>+tblActuals354[[#This Row],[Team 1 Goals]]+tblActuals354[[#This Row],[Team 2 Goals]]</f>
        <v>#VALUE!</v>
      </c>
      <c r="AN26" s="161">
        <f t="shared" si="3"/>
        <v>45465</v>
      </c>
      <c r="AT26" s="77" t="s">
        <v>7</v>
      </c>
      <c r="AU26" s="142">
        <v>3</v>
      </c>
      <c r="AV26" s="143" t="str">
        <f ca="1">IFERROR(INDEX(BD:BD,MATCH("3"&amp;AT26,BN:BN,0),1),"")</f>
        <v>Netherlands</v>
      </c>
      <c r="AW26" s="143" t="str">
        <f ca="1">IF(AV26="","",VLOOKUP(AV26,BD:BI,2,FALSE)&amp;"-"&amp;VLOOKUP(AV26,BD:BI,3,FALSE)&amp;"-"&amp;VLOOKUP(AV26,BD:BI,4,FALSE))</f>
        <v>0-0-0</v>
      </c>
      <c r="AX26" s="143">
        <f ca="1">IF(AV26="","",VLOOKUP(AV26,BD:BK,8,FALSE))</f>
        <v>0</v>
      </c>
      <c r="AY26" s="144">
        <f ca="1">IF(AV26="","",VLOOKUP(AV26,BD:BN,5,FALSE))</f>
        <v>0</v>
      </c>
      <c r="AZ26" s="75" t="str">
        <f ca="1">IF(INDEX($AU$43:$AU$48,MATCH(AV26,$AV$43:$AV$48,0),1)&lt;=4,"X","")</f>
        <v>X</v>
      </c>
      <c r="BA26" s="4"/>
      <c r="BB26" s="4"/>
      <c r="BC26" s="4" t="s">
        <v>12</v>
      </c>
      <c r="BD26" s="4" t="s">
        <v>130</v>
      </c>
      <c r="BE26" s="4">
        <f>COUNTIF(tblActuals354[Winner],BD26)</f>
        <v>0</v>
      </c>
      <c r="BF26" s="4">
        <f>COUNTIFS(tblActuals354[Team 2],BD26,tblActuals354[WINNER / RESULT],"Draw")+COUNTIFS(tblActuals354[Team 1],BD26,tblActuals354[WINNER / RESULT],"Draw")</f>
        <v>0</v>
      </c>
      <c r="BG26" s="4">
        <f>COUNTIF(tblActuals354[Loser],BD26)</f>
        <v>0</v>
      </c>
      <c r="BH26" s="4">
        <f>BF26+(3*BE26)</f>
        <v>0</v>
      </c>
      <c r="BI26" s="4">
        <f>SUMIFS(tblActuals354[Team 1 Goals],tblActuals354[Team 1],BD26)+SUMIFS(tblActuals354[Team 2 Goals],tblActuals354[Team 2],BD26)</f>
        <v>0</v>
      </c>
      <c r="BJ26" s="4">
        <f>SUMIFS(tblActuals354[Team 2 Goals],tblActuals354[Team 1],BD26)+SUMIFS(tblActuals354[Team 1 Goals],tblActuals354[Team 2],BD26)</f>
        <v>0</v>
      </c>
      <c r="BK26" s="4">
        <f>BI26-BJ26</f>
        <v>0</v>
      </c>
      <c r="BL26" s="4">
        <f ca="1">RANK(BY26,$BY$24:$BY$27,1)</f>
        <v>3</v>
      </c>
      <c r="BM26" s="4" t="str">
        <f t="shared" si="4"/>
        <v/>
      </c>
      <c r="BN26" s="4" t="str">
        <f ca="1">IF(BM26="",BL26&amp;BC26,BM26&amp;BC26)</f>
        <v>3E</v>
      </c>
      <c r="BO26" s="4">
        <f>RANK(BH26,$BH$24:$BH$27,0)</f>
        <v>1</v>
      </c>
      <c r="BP26" s="4" cm="1">
        <f t="array" aca="1" ref="BP26" ca="1">SUMPRODUCT((OFFSET($CV$3:$EA$3,MATCH($BD26,$CU$4:$CU$35,0),0))*((IF($BO24=$BO26,$CV$3:$EA$3=$BD24,0))+(IF($BO27=$BO26,$CV$3:$EA$3=$BD27,0))+(IF($BO25=$BO26,$CV$3:$EA$3=$BD25,0))))</f>
        <v>0</v>
      </c>
      <c r="BQ26" s="4" cm="1">
        <f t="array" aca="1" ref="BQ26" ca="1">SUMPRODUCT((OFFSET($ED$3:$FI$3,MATCH($BD26,$EC$4:$EC$35,0),0))*((IF($BO24=$BO26,$ED$3:$FI$3=$BD24,0))+(IF($BO27=$BO26,$ED$3:$FI$3=$BD27,0))+(IF($BO25=$BO26,$ED$3:$FI$3=$BD25,0))))</f>
        <v>0</v>
      </c>
      <c r="BR26" s="4" cm="1">
        <f t="array" aca="1" ref="BR26" ca="1">SUMPRODUCT((OFFSET($FL$3:$GQ$3,MATCH($BD26,$FK$4:$FK$35,0),0))*((IF($BO24=$BO26,$FL$3:$GQ$3=$BD24,0))+(IF($BO27=$BO26,$FL$3:$GQ$3=$BD27,0))+(IF($BO25=$BO26,$FL$3:$GQ$3=$BD25,0))))</f>
        <v>0</v>
      </c>
      <c r="BS26" s="4" cm="1">
        <f t="array" aca="1" ref="BS26" ca="1">SUMPRODUCT((OFFSET($CV$3:$EA$3,MATCH($BD26,$CU$4:$CU$35,0),0))*((IF($BO24&lt;&gt;$BO26,$CV$3:$EA$3=$BD24,0))+(IF($BO27&lt;&gt;$BO26,$CV$3:$EA$3=$BD27,0))+(IF($BO25&lt;&gt;$BO26,$CV$3:$EA$3=$BD25,0))))</f>
        <v>0</v>
      </c>
      <c r="BT26" s="4" cm="1">
        <f t="array" aca="1" ref="BT26" ca="1">SUMPRODUCT((OFFSET($ED$3:$FI$3,MATCH($BD26,$EC$4:$EC$35,0),0))*((IF($BO24&lt;&gt;$BO26,$ED$3:$FI$3=$BD24,0))+(IF($BO27&lt;&gt;$BO26,$ED$3:$FI$3=$BD27,0))+(IF($BO25&lt;&gt;$BO26,$ED$3:$FI$3=$BD25,0))))</f>
        <v>0</v>
      </c>
      <c r="BU26" s="4" cm="1">
        <f t="array" aca="1" ref="BU26" ca="1">SUMPRODUCT((OFFSET($FL$3:$GQ$3,MATCH($BD26,$FK$4:$FK$35,0),0))*((IF($BO24&lt;&gt;$BO26,$FL$3:$GQ$3=$BD24,0))+(IF($BO27&lt;&gt;$BO26,$FL$3:$GQ$3=$BD27,0))+(IF($BO25&lt;&gt;$BO26,$FL$3:$GQ$3=$BD25,0))))</f>
        <v>0</v>
      </c>
      <c r="BV26" s="4">
        <f>BK26</f>
        <v>0</v>
      </c>
      <c r="BW26" s="4">
        <f>BI26</f>
        <v>0</v>
      </c>
      <c r="BX26" s="4">
        <f ca="1">(BP26/10)+(BQ26/100)+(BR26/1000)+(BT26/10000)+(BU26/100000)+(BV26/1000000)+(BW26/10000000)+(ROW(BS25)/100000000)</f>
        <v>2.4999999999999999E-7</v>
      </c>
      <c r="BY26" s="4">
        <f ca="1">+BO26-BX26</f>
        <v>0.99999974999999997</v>
      </c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U26" s="4" t="s">
        <v>30</v>
      </c>
      <c r="CV26" s="56">
        <f>SUMIFS(tblActuals354[Team 2 Points],tblActuals354[Team 2],$CU26,tblActuals354[Team 1],CV$3)+SUMIFS(tblActuals354[Team 1 Points],tblActuals354[Team 1],$CU26,tblActuals354[Team 2],CV$3)</f>
        <v>0</v>
      </c>
      <c r="CW26" s="56">
        <f>SUMIFS(tblActuals354[Team 2 Points],tblActuals354[Team 2],$CU26,tblActuals354[Team 1],CW$3)+SUMIFS(tblActuals354[Team 1 Points],tblActuals354[Team 1],$CU26,tblActuals354[Team 2],CW$3)</f>
        <v>0</v>
      </c>
      <c r="CX26" s="56">
        <f>SUMIFS(tblActuals354[Team 2 Points],tblActuals354[Team 2],$CU26,tblActuals354[Team 1],CX$3)+SUMIFS(tblActuals354[Team 1 Points],tblActuals354[Team 1],$CU26,tblActuals354[Team 2],CX$3)</f>
        <v>0</v>
      </c>
      <c r="CY26" s="56">
        <f>SUMIFS(tblActuals354[Team 2 Points],tblActuals354[Team 2],$CU26,tblActuals354[Team 1],CY$3)+SUMIFS(tblActuals354[Team 1 Points],tblActuals354[Team 1],$CU26,tblActuals354[Team 2],CY$3)</f>
        <v>0</v>
      </c>
      <c r="CZ26" s="56">
        <f>SUMIFS(tblActuals354[Team 2 Points],tblActuals354[Team 2],$CU26,tblActuals354[Team 1],CZ$3)+SUMIFS(tblActuals354[Team 1 Points],tblActuals354[Team 1],$CU26,tblActuals354[Team 2],CZ$3)</f>
        <v>0</v>
      </c>
      <c r="DA26" s="56">
        <f>SUMIFS(tblActuals354[Team 2 Points],tblActuals354[Team 2],$CU26,tblActuals354[Team 1],DA$3)+SUMIFS(tblActuals354[Team 1 Points],tblActuals354[Team 1],$CU26,tblActuals354[Team 2],DA$3)</f>
        <v>0</v>
      </c>
      <c r="DB26" s="56">
        <f>SUMIFS(tblActuals354[Team 2 Points],tblActuals354[Team 2],$CU26,tblActuals354[Team 1],DB$3)+SUMIFS(tblActuals354[Team 1 Points],tblActuals354[Team 1],$CU26,tblActuals354[Team 2],DB$3)</f>
        <v>0</v>
      </c>
      <c r="DC26" s="56">
        <f>SUMIFS(tblActuals354[Team 2 Points],tblActuals354[Team 2],$CU26,tblActuals354[Team 1],DC$3)+SUMIFS(tblActuals354[Team 1 Points],tblActuals354[Team 1],$CU26,tblActuals354[Team 2],DC$3)</f>
        <v>0</v>
      </c>
      <c r="DD26" s="56">
        <f>SUMIFS(tblActuals354[Team 2 Points],tblActuals354[Team 2],$CU26,tblActuals354[Team 1],DD$3)+SUMIFS(tblActuals354[Team 1 Points],tblActuals354[Team 1],$CU26,tblActuals354[Team 2],DD$3)</f>
        <v>0</v>
      </c>
      <c r="DE26" s="56">
        <f>SUMIFS(tblActuals354[Team 2 Points],tblActuals354[Team 2],$CU26,tblActuals354[Team 1],DE$3)+SUMIFS(tblActuals354[Team 1 Points],tblActuals354[Team 1],$CU26,tblActuals354[Team 2],DE$3)</f>
        <v>0</v>
      </c>
      <c r="DF26" s="56">
        <f>SUMIFS(tblActuals354[Team 2 Points],tblActuals354[Team 2],$CU26,tblActuals354[Team 1],DF$3)+SUMIFS(tblActuals354[Team 1 Points],tblActuals354[Team 1],$CU26,tblActuals354[Team 2],DF$3)</f>
        <v>0</v>
      </c>
      <c r="DG26" s="56">
        <f>SUMIFS(tblActuals354[Team 2 Points],tblActuals354[Team 2],$CU26,tblActuals354[Team 1],DG$3)+SUMIFS(tblActuals354[Team 1 Points],tblActuals354[Team 1],$CU26,tblActuals354[Team 2],DG$3)</f>
        <v>0</v>
      </c>
      <c r="DH26" s="56">
        <f>SUMIFS(tblActuals354[Team 2 Points],tblActuals354[Team 2],$CU26,tblActuals354[Team 1],DH$3)+SUMIFS(tblActuals354[Team 1 Points],tblActuals354[Team 1],$CU26,tblActuals354[Team 2],DH$3)</f>
        <v>0</v>
      </c>
      <c r="DI26" s="56">
        <f>SUMIFS(tblActuals354[Team 2 Points],tblActuals354[Team 2],$CU26,tblActuals354[Team 1],DI$3)+SUMIFS(tblActuals354[Team 1 Points],tblActuals354[Team 1],$CU26,tblActuals354[Team 2],DI$3)</f>
        <v>0</v>
      </c>
      <c r="DJ26" s="56">
        <f>SUMIFS(tblActuals354[Team 2 Points],tblActuals354[Team 2],$CU26,tblActuals354[Team 1],DJ$3)+SUMIFS(tblActuals354[Team 1 Points],tblActuals354[Team 1],$CU26,tblActuals354[Team 2],DJ$3)</f>
        <v>0</v>
      </c>
      <c r="DK26" s="56">
        <f>SUMIFS(tblActuals354[Team 2 Points],tblActuals354[Team 2],$CU26,tblActuals354[Team 1],DK$3)+SUMIFS(tblActuals354[Team 1 Points],tblActuals354[Team 1],$CU26,tblActuals354[Team 2],DK$3)</f>
        <v>0</v>
      </c>
      <c r="DL26" s="56">
        <f>SUMIFS(tblActuals354[Team 2 Points],tblActuals354[Team 2],$CU26,tblActuals354[Team 1],DL$3)+SUMIFS(tblActuals354[Team 1 Points],tblActuals354[Team 1],$CU26,tblActuals354[Team 2],DL$3)</f>
        <v>0</v>
      </c>
      <c r="DM26" s="56">
        <f>SUMIFS(tblActuals354[Team 2 Points],tblActuals354[Team 2],$CU26,tblActuals354[Team 1],DM$3)+SUMIFS(tblActuals354[Team 1 Points],tblActuals354[Team 1],$CU26,tblActuals354[Team 2],DM$3)</f>
        <v>0</v>
      </c>
      <c r="DN26" s="56">
        <f>SUMIFS(tblActuals354[Team 2 Points],tblActuals354[Team 2],$CU26,tblActuals354[Team 1],DN$3)+SUMIFS(tblActuals354[Team 1 Points],tblActuals354[Team 1],$CU26,tblActuals354[Team 2],DN$3)</f>
        <v>0</v>
      </c>
      <c r="DO26" s="56">
        <f>SUMIFS(tblActuals354[Team 2 Points],tblActuals354[Team 2],$CU26,tblActuals354[Team 1],DO$3)+SUMIFS(tblActuals354[Team 1 Points],tblActuals354[Team 1],$CU26,tblActuals354[Team 2],DO$3)</f>
        <v>0</v>
      </c>
      <c r="DP26" s="56">
        <f>SUMIFS(tblActuals354[Team 2 Points],tblActuals354[Team 2],$CU26,tblActuals354[Team 1],DP$3)+SUMIFS(tblActuals354[Team 1 Points],tblActuals354[Team 1],$CU26,tblActuals354[Team 2],DP$3)</f>
        <v>0</v>
      </c>
      <c r="DQ26" s="56">
        <f>SUMIFS(tblActuals354[Team 2 Points],tblActuals354[Team 2],$CU26,tblActuals354[Team 1],DQ$3)+SUMIFS(tblActuals354[Team 1 Points],tblActuals354[Team 1],$CU26,tblActuals354[Team 2],DQ$3)</f>
        <v>0</v>
      </c>
      <c r="DR26" s="56">
        <f>SUMIFS(tblActuals354[Team 2 Points],tblActuals354[Team 2],$CU26,tblActuals354[Team 1],DR$3)+SUMIFS(tblActuals354[Team 1 Points],tblActuals354[Team 1],$CU26,tblActuals354[Team 2],DR$3)</f>
        <v>0</v>
      </c>
      <c r="DS26" s="56">
        <f>SUMIFS(tblActuals354[Team 2 Points],tblActuals354[Team 2],$CU26,tblActuals354[Team 1],DS$3)+SUMIFS(tblActuals354[Team 1 Points],tblActuals354[Team 1],$CU26,tblActuals354[Team 2],DS$3)</f>
        <v>0</v>
      </c>
      <c r="DT26" s="57"/>
      <c r="DU26" s="57"/>
      <c r="DV26" s="57"/>
      <c r="DW26" s="57"/>
      <c r="DX26" s="57"/>
      <c r="DY26" s="57"/>
      <c r="DZ26" s="57"/>
      <c r="EA26" s="57"/>
      <c r="EB26" s="4"/>
      <c r="EC26" s="4" t="s">
        <v>30</v>
      </c>
      <c r="ED26" s="56">
        <f>SUMIFS(tblActuals354[Team 2 GD],tblActuals354[Team 2],$CU26,tblActuals354[Team 1],ED$3)+SUMIFS(tblActuals354[Team 1 GD],tblActuals354[Team 1],$CU26,tblActuals354[Team 2],ED$3)</f>
        <v>0</v>
      </c>
      <c r="EE26" s="56">
        <f>SUMIFS(tblActuals354[Team 2 GD],tblActuals354[Team 2],$CU26,tblActuals354[Team 1],EE$3)+SUMIFS(tblActuals354[Team 1 GD],tblActuals354[Team 1],$CU26,tblActuals354[Team 2],EE$3)</f>
        <v>0</v>
      </c>
      <c r="EF26" s="56">
        <f>SUMIFS(tblActuals354[Team 2 GD],tblActuals354[Team 2],$CU26,tblActuals354[Team 1],EF$3)+SUMIFS(tblActuals354[Team 1 GD],tblActuals354[Team 1],$CU26,tblActuals354[Team 2],EF$3)</f>
        <v>0</v>
      </c>
      <c r="EG26" s="56">
        <f>SUMIFS(tblActuals354[Team 2 GD],tblActuals354[Team 2],$CU26,tblActuals354[Team 1],EG$3)+SUMIFS(tblActuals354[Team 1 GD],tblActuals354[Team 1],$CU26,tblActuals354[Team 2],EG$3)</f>
        <v>0</v>
      </c>
      <c r="EH26" s="56">
        <f>SUMIFS(tblActuals354[Team 2 GD],tblActuals354[Team 2],$CU26,tblActuals354[Team 1],EH$3)+SUMIFS(tblActuals354[Team 1 GD],tblActuals354[Team 1],$CU26,tblActuals354[Team 2],EH$3)</f>
        <v>0</v>
      </c>
      <c r="EI26" s="56">
        <f>SUMIFS(tblActuals354[Team 2 GD],tblActuals354[Team 2],$CU26,tblActuals354[Team 1],EI$3)+SUMIFS(tblActuals354[Team 1 GD],tblActuals354[Team 1],$CU26,tblActuals354[Team 2],EI$3)</f>
        <v>0</v>
      </c>
      <c r="EJ26" s="56">
        <f>SUMIFS(tblActuals354[Team 2 GD],tblActuals354[Team 2],$CU26,tblActuals354[Team 1],EJ$3)+SUMIFS(tblActuals354[Team 1 GD],tblActuals354[Team 1],$CU26,tblActuals354[Team 2],EJ$3)</f>
        <v>0</v>
      </c>
      <c r="EK26" s="56">
        <f>SUMIFS(tblActuals354[Team 2 GD],tblActuals354[Team 2],$CU26,tblActuals354[Team 1],EK$3)+SUMIFS(tblActuals354[Team 1 GD],tblActuals354[Team 1],$CU26,tblActuals354[Team 2],EK$3)</f>
        <v>0</v>
      </c>
      <c r="EL26" s="56">
        <f>SUMIFS(tblActuals354[Team 2 GD],tblActuals354[Team 2],$CU26,tblActuals354[Team 1],EL$3)+SUMIFS(tblActuals354[Team 1 GD],tblActuals354[Team 1],$CU26,tblActuals354[Team 2],EL$3)</f>
        <v>0</v>
      </c>
      <c r="EM26" s="56">
        <f>SUMIFS(tblActuals354[Team 2 GD],tblActuals354[Team 2],$CU26,tblActuals354[Team 1],EM$3)+SUMIFS(tblActuals354[Team 1 GD],tblActuals354[Team 1],$CU26,tblActuals354[Team 2],EM$3)</f>
        <v>0</v>
      </c>
      <c r="EN26" s="56">
        <f>SUMIFS(tblActuals354[Team 2 GD],tblActuals354[Team 2],$CU26,tblActuals354[Team 1],EN$3)+SUMIFS(tblActuals354[Team 1 GD],tblActuals354[Team 1],$CU26,tblActuals354[Team 2],EN$3)</f>
        <v>0</v>
      </c>
      <c r="EO26" s="56">
        <f>SUMIFS(tblActuals354[Team 2 GD],tblActuals354[Team 2],$CU26,tblActuals354[Team 1],EO$3)+SUMIFS(tblActuals354[Team 1 GD],tblActuals354[Team 1],$CU26,tblActuals354[Team 2],EO$3)</f>
        <v>0</v>
      </c>
      <c r="EP26" s="56">
        <f>SUMIFS(tblActuals354[Team 2 GD],tblActuals354[Team 2],$CU26,tblActuals354[Team 1],EP$3)+SUMIFS(tblActuals354[Team 1 GD],tblActuals354[Team 1],$CU26,tblActuals354[Team 2],EP$3)</f>
        <v>0</v>
      </c>
      <c r="EQ26" s="56">
        <f>SUMIFS(tblActuals354[Team 2 GD],tblActuals354[Team 2],$CU26,tblActuals354[Team 1],EQ$3)+SUMIFS(tblActuals354[Team 1 GD],tblActuals354[Team 1],$CU26,tblActuals354[Team 2],EQ$3)</f>
        <v>0</v>
      </c>
      <c r="ER26" s="56">
        <f>SUMIFS(tblActuals354[Team 2 GD],tblActuals354[Team 2],$CU26,tblActuals354[Team 1],ER$3)+SUMIFS(tblActuals354[Team 1 GD],tblActuals354[Team 1],$CU26,tblActuals354[Team 2],ER$3)</f>
        <v>0</v>
      </c>
      <c r="ES26" s="56">
        <f>SUMIFS(tblActuals354[Team 2 GD],tblActuals354[Team 2],$CU26,tblActuals354[Team 1],ES$3)+SUMIFS(tblActuals354[Team 1 GD],tblActuals354[Team 1],$CU26,tblActuals354[Team 2],ES$3)</f>
        <v>0</v>
      </c>
      <c r="ET26" s="56">
        <f>SUMIFS(tblActuals354[Team 2 GD],tblActuals354[Team 2],$CU26,tblActuals354[Team 1],ET$3)+SUMIFS(tblActuals354[Team 1 GD],tblActuals354[Team 1],$CU26,tblActuals354[Team 2],ET$3)</f>
        <v>0</v>
      </c>
      <c r="EU26" s="56">
        <f>SUMIFS(tblActuals354[Team 2 GD],tblActuals354[Team 2],$CU26,tblActuals354[Team 1],EU$3)+SUMIFS(tblActuals354[Team 1 GD],tblActuals354[Team 1],$CU26,tblActuals354[Team 2],EU$3)</f>
        <v>0</v>
      </c>
      <c r="EV26" s="56">
        <f>SUMIFS(tblActuals354[Team 2 GD],tblActuals354[Team 2],$CU26,tblActuals354[Team 1],EV$3)+SUMIFS(tblActuals354[Team 1 GD],tblActuals354[Team 1],$CU26,tblActuals354[Team 2],EV$3)</f>
        <v>0</v>
      </c>
      <c r="EW26" s="56">
        <f>SUMIFS(tblActuals354[Team 2 GD],tblActuals354[Team 2],$CU26,tblActuals354[Team 1],EW$3)+SUMIFS(tblActuals354[Team 1 GD],tblActuals354[Team 1],$CU26,tblActuals354[Team 2],EW$3)</f>
        <v>0</v>
      </c>
      <c r="EX26" s="56">
        <f>SUMIFS(tblActuals354[Team 2 GD],tblActuals354[Team 2],$CU26,tblActuals354[Team 1],EX$3)+SUMIFS(tblActuals354[Team 1 GD],tblActuals354[Team 1],$CU26,tblActuals354[Team 2],EX$3)</f>
        <v>0</v>
      </c>
      <c r="EY26" s="56">
        <f>SUMIFS(tblActuals354[Team 2 GD],tblActuals354[Team 2],$CU26,tblActuals354[Team 1],EY$3)+SUMIFS(tblActuals354[Team 1 GD],tblActuals354[Team 1],$CU26,tblActuals354[Team 2],EY$3)</f>
        <v>0</v>
      </c>
      <c r="EZ26" s="56">
        <f>SUMIFS(tblActuals354[Team 2 GD],tblActuals354[Team 2],$CU26,tblActuals354[Team 1],EZ$3)+SUMIFS(tblActuals354[Team 1 GD],tblActuals354[Team 1],$CU26,tblActuals354[Team 2],EZ$3)</f>
        <v>0</v>
      </c>
      <c r="FA26" s="56">
        <f>SUMIFS(tblActuals354[Team 2 GD],tblActuals354[Team 2],$CU26,tblActuals354[Team 1],FA$3)+SUMIFS(tblActuals354[Team 1 GD],tblActuals354[Team 1],$CU26,tblActuals354[Team 2],FA$3)</f>
        <v>0</v>
      </c>
      <c r="FB26" s="57"/>
      <c r="FC26" s="57"/>
      <c r="FD26" s="57"/>
      <c r="FE26" s="57"/>
      <c r="FF26" s="57"/>
      <c r="FG26" s="57"/>
      <c r="FH26" s="57"/>
      <c r="FI26" s="57"/>
      <c r="FJ26" s="4"/>
      <c r="FK26" s="4" t="s">
        <v>30</v>
      </c>
      <c r="FL26" s="56">
        <f>SUMIFS(tblActuals354[Team 2 Goals],tblActuals354[Team 2],$CU26,tblActuals354[Team 1],FL$3)+SUMIFS(tblActuals354[Team 1 Goals],tblActuals354[Team 1],$CU26,tblActuals354[Team 2],FL$3)</f>
        <v>0</v>
      </c>
      <c r="FM26" s="56">
        <f>SUMIFS(tblActuals354[Team 2 Goals],tblActuals354[Team 2],$CU26,tblActuals354[Team 1],FM$3)+SUMIFS(tblActuals354[Team 1 Goals],tblActuals354[Team 1],$CU26,tblActuals354[Team 2],FM$3)</f>
        <v>0</v>
      </c>
      <c r="FN26" s="56">
        <f>SUMIFS(tblActuals354[Team 2 Goals],tblActuals354[Team 2],$CU26,tblActuals354[Team 1],FN$3)+SUMIFS(tblActuals354[Team 1 Goals],tblActuals354[Team 1],$CU26,tblActuals354[Team 2],FN$3)</f>
        <v>0</v>
      </c>
      <c r="FO26" s="56">
        <f>SUMIFS(tblActuals354[Team 2 Goals],tblActuals354[Team 2],$CU26,tblActuals354[Team 1],FO$3)+SUMIFS(tblActuals354[Team 1 Goals],tblActuals354[Team 1],$CU26,tblActuals354[Team 2],FO$3)</f>
        <v>0</v>
      </c>
      <c r="FP26" s="56">
        <f>SUMIFS(tblActuals354[Team 2 Goals],tblActuals354[Team 2],$CU26,tblActuals354[Team 1],FP$3)+SUMIFS(tblActuals354[Team 1 Goals],tblActuals354[Team 1],$CU26,tblActuals354[Team 2],FP$3)</f>
        <v>0</v>
      </c>
      <c r="FQ26" s="56">
        <f>SUMIFS(tblActuals354[Team 2 Goals],tblActuals354[Team 2],$CU26,tblActuals354[Team 1],FQ$3)+SUMIFS(tblActuals354[Team 1 Goals],tblActuals354[Team 1],$CU26,tblActuals354[Team 2],FQ$3)</f>
        <v>0</v>
      </c>
      <c r="FR26" s="56">
        <f>SUMIFS(tblActuals354[Team 2 Goals],tblActuals354[Team 2],$CU26,tblActuals354[Team 1],FR$3)+SUMIFS(tblActuals354[Team 1 Goals],tblActuals354[Team 1],$CU26,tblActuals354[Team 2],FR$3)</f>
        <v>0</v>
      </c>
      <c r="FS26" s="56">
        <f>SUMIFS(tblActuals354[Team 2 Goals],tblActuals354[Team 2],$CU26,tblActuals354[Team 1],FS$3)+SUMIFS(tblActuals354[Team 1 Goals],tblActuals354[Team 1],$CU26,tblActuals354[Team 2],FS$3)</f>
        <v>0</v>
      </c>
      <c r="FT26" s="56">
        <f>SUMIFS(tblActuals354[Team 2 Goals],tblActuals354[Team 2],$CU26,tblActuals354[Team 1],FT$3)+SUMIFS(tblActuals354[Team 1 Goals],tblActuals354[Team 1],$CU26,tblActuals354[Team 2],FT$3)</f>
        <v>0</v>
      </c>
      <c r="FU26" s="56">
        <f>SUMIFS(tblActuals354[Team 2 Goals],tblActuals354[Team 2],$CU26,tblActuals354[Team 1],FU$3)+SUMIFS(tblActuals354[Team 1 Goals],tblActuals354[Team 1],$CU26,tblActuals354[Team 2],FU$3)</f>
        <v>0</v>
      </c>
      <c r="FV26" s="56">
        <f>SUMIFS(tblActuals354[Team 2 Goals],tblActuals354[Team 2],$CU26,tblActuals354[Team 1],FV$3)+SUMIFS(tblActuals354[Team 1 Goals],tblActuals354[Team 1],$CU26,tblActuals354[Team 2],FV$3)</f>
        <v>0</v>
      </c>
      <c r="FW26" s="56">
        <f>SUMIFS(tblActuals354[Team 2 Goals],tblActuals354[Team 2],$CU26,tblActuals354[Team 1],FW$3)+SUMIFS(tblActuals354[Team 1 Goals],tblActuals354[Team 1],$CU26,tblActuals354[Team 2],FW$3)</f>
        <v>0</v>
      </c>
      <c r="FX26" s="56">
        <f>SUMIFS(tblActuals354[Team 2 Goals],tblActuals354[Team 2],$CU26,tblActuals354[Team 1],FX$3)+SUMIFS(tblActuals354[Team 1 Goals],tblActuals354[Team 1],$CU26,tblActuals354[Team 2],FX$3)</f>
        <v>0</v>
      </c>
      <c r="FY26" s="56">
        <f>SUMIFS(tblActuals354[Team 2 Goals],tblActuals354[Team 2],$CU26,tblActuals354[Team 1],FY$3)+SUMIFS(tblActuals354[Team 1 Goals],tblActuals354[Team 1],$CU26,tblActuals354[Team 2],FY$3)</f>
        <v>0</v>
      </c>
      <c r="FZ26" s="56">
        <f>SUMIFS(tblActuals354[Team 2 Goals],tblActuals354[Team 2],$CU26,tblActuals354[Team 1],FZ$3)+SUMIFS(tblActuals354[Team 1 Goals],tblActuals354[Team 1],$CU26,tblActuals354[Team 2],FZ$3)</f>
        <v>0</v>
      </c>
      <c r="GA26" s="56">
        <f>SUMIFS(tblActuals354[Team 2 Goals],tblActuals354[Team 2],$CU26,tblActuals354[Team 1],GA$3)+SUMIFS(tblActuals354[Team 1 Goals],tblActuals354[Team 1],$CU26,tblActuals354[Team 2],GA$3)</f>
        <v>0</v>
      </c>
      <c r="GB26" s="56">
        <f>SUMIFS(tblActuals354[Team 2 Goals],tblActuals354[Team 2],$CU26,tblActuals354[Team 1],GB$3)+SUMIFS(tblActuals354[Team 1 Goals],tblActuals354[Team 1],$CU26,tblActuals354[Team 2],GB$3)</f>
        <v>0</v>
      </c>
      <c r="GC26" s="56">
        <f>SUMIFS(tblActuals354[Team 2 Goals],tblActuals354[Team 2],$CU26,tblActuals354[Team 1],GC$3)+SUMIFS(tblActuals354[Team 1 Goals],tblActuals354[Team 1],$CU26,tblActuals354[Team 2],GC$3)</f>
        <v>0</v>
      </c>
      <c r="GD26" s="56">
        <f>SUMIFS(tblActuals354[Team 2 Goals],tblActuals354[Team 2],$CU26,tblActuals354[Team 1],GD$3)+SUMIFS(tblActuals354[Team 1 Goals],tblActuals354[Team 1],$CU26,tblActuals354[Team 2],GD$3)</f>
        <v>0</v>
      </c>
      <c r="GE26" s="56">
        <f>SUMIFS(tblActuals354[Team 2 Goals],tblActuals354[Team 2],$CU26,tblActuals354[Team 1],GE$3)+SUMIFS(tblActuals354[Team 1 Goals],tblActuals354[Team 1],$CU26,tblActuals354[Team 2],GE$3)</f>
        <v>0</v>
      </c>
      <c r="GF26" s="56">
        <f>SUMIFS(tblActuals354[Team 2 Goals],tblActuals354[Team 2],$CU26,tblActuals354[Team 1],GF$3)+SUMIFS(tblActuals354[Team 1 Goals],tblActuals354[Team 1],$CU26,tblActuals354[Team 2],GF$3)</f>
        <v>0</v>
      </c>
      <c r="GG26" s="56">
        <f>SUMIFS(tblActuals354[Team 2 Goals],tblActuals354[Team 2],$CU26,tblActuals354[Team 1],GG$3)+SUMIFS(tblActuals354[Team 1 Goals],tblActuals354[Team 1],$CU26,tblActuals354[Team 2],GG$3)</f>
        <v>0</v>
      </c>
      <c r="GH26" s="56">
        <f>SUMIFS(tblActuals354[Team 2 Goals],tblActuals354[Team 2],$CU26,tblActuals354[Team 1],GH$3)+SUMIFS(tblActuals354[Team 1 Goals],tblActuals354[Team 1],$CU26,tblActuals354[Team 2],GH$3)</f>
        <v>0</v>
      </c>
      <c r="GI26" s="56">
        <f>SUMIFS(tblActuals354[Team 2 Goals],tblActuals354[Team 2],$CU26,tblActuals354[Team 1],GI$3)+SUMIFS(tblActuals354[Team 1 Goals],tblActuals354[Team 1],$CU26,tblActuals354[Team 2],GI$3)</f>
        <v>0</v>
      </c>
      <c r="GJ26" s="57"/>
      <c r="GK26" s="57"/>
      <c r="GL26" s="37"/>
      <c r="GM26" s="37"/>
      <c r="GN26" s="37"/>
      <c r="GO26" s="37"/>
      <c r="GP26" s="37"/>
      <c r="GQ26" s="37"/>
      <c r="GR26" s="75"/>
      <c r="GS26" s="148"/>
      <c r="GT26" s="148"/>
      <c r="GU26" s="75"/>
      <c r="GV26" s="75"/>
      <c r="GW26" s="75"/>
      <c r="GX26" s="75"/>
      <c r="GY26" s="75"/>
      <c r="GZ26" s="75"/>
    </row>
    <row r="27" spans="1:221" s="11" customFormat="1" ht="30" customHeight="1" thickBot="1" x14ac:dyDescent="0.3">
      <c r="A27" s="20"/>
      <c r="B27" s="122">
        <v>24</v>
      </c>
      <c r="C27" s="122" t="s">
        <v>45</v>
      </c>
      <c r="D27" s="123">
        <v>45465</v>
      </c>
      <c r="E27" s="122" t="s">
        <v>84</v>
      </c>
      <c r="F27" s="124">
        <v>0.625</v>
      </c>
      <c r="G27" s="125">
        <f t="shared" si="11"/>
        <v>45465.375</v>
      </c>
      <c r="H27" s="122" t="s">
        <v>112</v>
      </c>
      <c r="I27" s="126"/>
      <c r="J27" s="118"/>
      <c r="K27" s="118"/>
      <c r="L27" s="174">
        <f>IF(I27="",0,IFERROR(IF(SCORING.RULES!$C$8="No",1,((VLOOKUP($B27,ACTUALS!$B$4:$L$100,7,FALSE)=$H27)+(VLOOKUP($B27,ACTUALS!$B$4:$L$100,7,FALSE)=S27)))*(M27+N27+O27+P27+Q27),0))+$R27</f>
        <v>0</v>
      </c>
      <c r="M27" s="168">
        <f>IFERROR(IF($B27="","",IF(U27=INDEX(ACTUALS!$AA$4:$AA$100,MATCH($B27,ACTUALS!$B$4:$B$100,0),1),CorrectScore,0)),0)</f>
        <v>0</v>
      </c>
      <c r="N27" s="157" t="str">
        <f>IFERROR(IF(I27="","",IF(INDEX(ACTUALS!$AB$4:$AB$100,MATCH($B27,ACTUALS!$B$4:$B$100,0),1)=(AB27+AC27+AH27+AI27),CorrectNumberofGoals,0)),0)</f>
        <v/>
      </c>
      <c r="O27" s="157"/>
      <c r="P27" s="157">
        <f>IFERROR(IF(B27="","",IF(INDEX(ACTUALS!$L$4:$L$100,MATCH($B27,ACTUALS!$B$4:$B$100,0),1)=W27,CorrectResult,0)),0)</f>
        <v>3</v>
      </c>
      <c r="Q27" s="157"/>
      <c r="R27" s="157"/>
      <c r="S27" s="157" t="str">
        <f t="shared" si="0"/>
        <v/>
      </c>
      <c r="T27" s="157"/>
      <c r="U27" s="157" t="str">
        <f t="shared" si="1"/>
        <v/>
      </c>
      <c r="V27" s="157" t="str">
        <f t="shared" si="2"/>
        <v/>
      </c>
      <c r="W27" s="119" t="str">
        <f>IF(tblActuals354[[#This Row],[SCORE]]="","",IF(AB27=AC27,"Draw",IF(AB27&gt;AC27,X27,Y27)))</f>
        <v/>
      </c>
      <c r="X27" s="120" t="str">
        <f>IF(tblActuals354[[#This Row],[TEAMS]]="","",LEFT(H27,FIND(" -",H27,1)-1))</f>
        <v>Georgia</v>
      </c>
      <c r="Y27" s="120" t="str">
        <f>IF(tblActuals354[[#This Row],[TEAMS]]="","",MID(H27,FIND("-",H27,1)+2,LEN(H27)-FIND("-",H27,1)+2))</f>
        <v>Czechia</v>
      </c>
      <c r="Z27" s="120" t="str">
        <f>IF(tblActuals354[[#This Row],[Team 1 Goals]]&gt;tblActuals354[[#This Row],[Team 2 Goals]],tblActuals354[[#This Row],[Team 1]],IF(tblActuals354[[#This Row],[Team 2 Goals]]&gt;tblActuals354[[#This Row],[Team 1 Goals]],tblActuals354[[#This Row],[Team 2]],""))</f>
        <v/>
      </c>
      <c r="AA27" s="120" t="str">
        <f>IF(tblActuals354[[#This Row],[Winner]]=tblActuals354[[#This Row],[Team 1]],tblActuals354[[#This Row],[Team 2]],IF(tblActuals354[[#This Row],[Winner]]=tblActuals354[[#This Row],[Team 2]],tblActuals354[[#This Row],[Team 1]],""))</f>
        <v/>
      </c>
      <c r="AB27" s="120" t="str">
        <f>IF(tblActuals354[[#This Row],[SCORE]]="","",LEFT(I27,FIND(":",I27,1)-1)*1)</f>
        <v/>
      </c>
      <c r="AC27" s="120" t="str">
        <f>IF(tblActuals354[[#This Row],[SCORE]]="","",MID(I27,FIND(":",I27,1)+1,LEN(I27)-FIND(":",I27,1)+1)*1)</f>
        <v/>
      </c>
      <c r="AD27" s="120" t="str">
        <f>IF(OR(tblActuals354[[#This Row],[Team 1 Goals]]="",tblActuals354[[#This Row],[Team 2 Goals]]=""),"",tblActuals354[[#This Row],[Team 1 Goals]]-tblActuals354[[#This Row],[Team 2 Goals]])</f>
        <v/>
      </c>
      <c r="AE27" s="120" t="str">
        <f>IF(OR(tblActuals354[[#This Row],[Team 1 Goals]]="",tblActuals354[[#This Row],[Team 2 Goals]]=""),"",tblActuals354[[#This Row],[Team 2 Goals]]-tblActuals354[[#This Row],[Team 1 Goals]])</f>
        <v/>
      </c>
      <c r="AF27" s="120" t="str">
        <f>IF(tblActuals354[[#This Row],[SCORE]]="","",IF(tblActuals354[[#This Row],[WINNER / RESULT]]="Draw",1,IF(tblActuals354[[#This Row],[WINNER / RESULT]]=tblActuals354[[#This Row],[Team 1]],3,0)))</f>
        <v/>
      </c>
      <c r="AG27" s="120" t="str">
        <f>IF(tblActuals354[[#This Row],[SCORE]]="","",IF(tblActuals354[[#This Row],[WINNER / RESULT]]="Draw",1,IF(tblActuals354[[#This Row],[WINNER / RESULT]]=tblActuals354[[#This Row],[Team 2]],3,0)))</f>
        <v/>
      </c>
      <c r="AH27" s="121"/>
      <c r="AI27" s="121"/>
      <c r="AJ27" s="121"/>
      <c r="AK27" s="121"/>
      <c r="AL27" s="120" t="e">
        <f>tblActuals354[[#This Row],[Team 1 Goals]]+tblActuals354[[#This Row],[Team 1 ET Goals]]&amp;":"&amp;tblActuals354[[#This Row],[Team 2 Goals]]+tblActuals354[[#This Row],[Team 2 ET Goals]]</f>
        <v>#VALUE!</v>
      </c>
      <c r="AM27" s="120" t="e">
        <f>+tblActuals354[[#This Row],[Team 1 Goals]]+tblActuals354[[#This Row],[Team 2 Goals]]</f>
        <v>#VALUE!</v>
      </c>
      <c r="AN27" s="161">
        <f t="shared" si="3"/>
        <v>45465</v>
      </c>
      <c r="AT27" s="77" t="s">
        <v>7</v>
      </c>
      <c r="AU27" s="145">
        <v>4</v>
      </c>
      <c r="AV27" s="146" t="str">
        <f ca="1">IFERROR(INDEX(BD:BD,MATCH("4"&amp;AT27,BN:BN,0),1),"")</f>
        <v>Poland</v>
      </c>
      <c r="AW27" s="146" t="str">
        <f ca="1">IF(AV27="","",VLOOKUP(AV27,BD:BI,2,FALSE)&amp;"-"&amp;VLOOKUP(AV27,BD:BI,3,FALSE)&amp;"-"&amp;VLOOKUP(AV27,BD:BI,4,FALSE))</f>
        <v>0-0-0</v>
      </c>
      <c r="AX27" s="146">
        <f ca="1">IF(AV27="","",VLOOKUP(AV27,BD:BK,8,FALSE))</f>
        <v>0</v>
      </c>
      <c r="AY27" s="147">
        <f ca="1">IF(AV27="","",VLOOKUP(AV27,BD:BN,5,FALSE))</f>
        <v>0</v>
      </c>
      <c r="AZ27" s="75"/>
      <c r="BA27" s="4"/>
      <c r="BB27" s="4"/>
      <c r="BC27" s="4" t="s">
        <v>12</v>
      </c>
      <c r="BD27" s="4" t="s">
        <v>132</v>
      </c>
      <c r="BE27" s="4">
        <f>COUNTIF(tblActuals354[Winner],BD27)</f>
        <v>0</v>
      </c>
      <c r="BF27" s="4">
        <f>COUNTIFS(tblActuals354[Team 2],BD27,tblActuals354[WINNER / RESULT],"Draw")+COUNTIFS(tblActuals354[Team 1],BD27,tblActuals354[WINNER / RESULT],"Draw")</f>
        <v>0</v>
      </c>
      <c r="BG27" s="4">
        <f>COUNTIF(tblActuals354[Loser],BD27)</f>
        <v>0</v>
      </c>
      <c r="BH27" s="4">
        <f>BF27+(3*BE27)</f>
        <v>0</v>
      </c>
      <c r="BI27" s="4">
        <f>SUMIFS(tblActuals354[Team 1 Goals],tblActuals354[Team 1],BD27)+SUMIFS(tblActuals354[Team 2 Goals],tblActuals354[Team 2],BD27)</f>
        <v>0</v>
      </c>
      <c r="BJ27" s="4">
        <f>SUMIFS(tblActuals354[Team 2 Goals],tblActuals354[Team 1],BD27)+SUMIFS(tblActuals354[Team 1 Goals],tblActuals354[Team 2],BD27)</f>
        <v>0</v>
      </c>
      <c r="BK27" s="4">
        <f>BI27-BJ27</f>
        <v>0</v>
      </c>
      <c r="BL27" s="4">
        <f ca="1">RANK(BY27,$BY$24:$BY$27,1)</f>
        <v>4</v>
      </c>
      <c r="BM27" s="4" t="str">
        <f t="shared" si="4"/>
        <v/>
      </c>
      <c r="BN27" s="4" t="str">
        <f ca="1">IF(BM27="",BL27&amp;BC27,BM27&amp;BC27)</f>
        <v>4E</v>
      </c>
      <c r="BO27" s="4">
        <f>RANK(BH27,$BH$24:$BH$27,0)</f>
        <v>1</v>
      </c>
      <c r="BP27" s="4" cm="1">
        <f t="array" aca="1" ref="BP27" ca="1">SUMPRODUCT((OFFSET($CV$3:$EA$3,MATCH($BD27,$CU$4:$CU$35,0),0))*((IF($BO25=$BO27,$CV$3:$EA$3=$BD25,0))+(IF($BO24=$BO27,$CV$3:$EA$3=$BD24,0))+(IF($BO26=$BO27,$CV$3:$EA$3=$BD26,0))))</f>
        <v>0</v>
      </c>
      <c r="BQ27" s="4" cm="1">
        <f t="array" aca="1" ref="BQ27" ca="1">SUMPRODUCT((OFFSET($ED$3:$FI$3,MATCH($BD27,$EC$4:$EC$35,0),0))*((IF($BO25=$BO27,$ED$3:$FI$3=$BD25,0))+(IF($BO24=$BO27,$ED$3:$FI$3=$BD24,0))+(IF($BO26=$BO27,$ED$3:$FI$3=$BD26,0))))</f>
        <v>0</v>
      </c>
      <c r="BR27" s="4" cm="1">
        <f t="array" aca="1" ref="BR27" ca="1">SUMPRODUCT((OFFSET($FL$3:$GQ$3,MATCH($BD27,$FK$4:$FK$35,0),0))*((IF($BO25=$BO27,$FL$3:$GQ$3=$BD25,0))+(IF($BO24=$BO27,$FL$3:$GQ$3=$BD24,0))+(IF($BO26=$BO27,$FL$3:$GQ$3=$BD26,0))))</f>
        <v>0</v>
      </c>
      <c r="BS27" s="4" cm="1">
        <f t="array" aca="1" ref="BS27" ca="1">SUMPRODUCT((OFFSET($CV$3:$EA$3,MATCH($BD27,$CU$4:$CU$35,0),0))*((IF($BO25&lt;&gt;$BO27,$CV$3:$EA$3=$BD25,0))+(IF($BO24&lt;&gt;$BO27,$CV$3:$EA$3=$BD24,0))+(IF($BO26&lt;&gt;$BO27,$CV$3:$EA$3=$BD26,0))))</f>
        <v>0</v>
      </c>
      <c r="BT27" s="4" cm="1">
        <f t="array" aca="1" ref="BT27" ca="1">SUMPRODUCT((OFFSET($ED$3:$FI$3,MATCH($BD27,$EC$4:$EC$35,0),0))*((IF($BO25&lt;&gt;$BO27,$ED$3:$FI$3=$BD25,0))+(IF($BO24&lt;&gt;$BO27,$ED$3:$FI$3=$BD24,0))+(IF($BO26&lt;&gt;$BO27,$ED$3:$FI$3=$BD26,0))))</f>
        <v>0</v>
      </c>
      <c r="BU27" s="4" cm="1">
        <f t="array" aca="1" ref="BU27" ca="1">SUMPRODUCT((OFFSET($FL$3:$GQ$3,MATCH($BD27,$FK$4:$FK$35,0),0))*((IF($BO25&lt;&gt;$BO27,$FL$3:$GQ$3=$BD25,0))+(IF($BO24&lt;&gt;$BO27,$FL$3:$GQ$3=$BD24,0))+(IF($BO26&lt;&gt;$BO27,$FL$3:$GQ$3=$BD26,0))))</f>
        <v>0</v>
      </c>
      <c r="BV27" s="4">
        <f>BK27</f>
        <v>0</v>
      </c>
      <c r="BW27" s="4">
        <f>BI27</f>
        <v>0</v>
      </c>
      <c r="BX27" s="4">
        <f ca="1">(BP27/10)+(BQ27/100)+(BR27/1000)+(BT27/10000)+(BU27/100000)+(BV27/1000000)+(BW27/10000000)+(ROW(BS24)/100000000)</f>
        <v>2.3999999999999998E-7</v>
      </c>
      <c r="BY27" s="4">
        <f ca="1">+BO27-BX27</f>
        <v>0.99999976000000002</v>
      </c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U27" s="4" t="s">
        <v>135</v>
      </c>
      <c r="CV27" s="56">
        <f>SUMIFS(tblActuals354[Team 2 Points],tblActuals354[Team 2],$CU27,tblActuals354[Team 1],CV$3)+SUMIFS(tblActuals354[Team 1 Points],tblActuals354[Team 1],$CU27,tblActuals354[Team 2],CV$3)</f>
        <v>0</v>
      </c>
      <c r="CW27" s="56">
        <f>SUMIFS(tblActuals354[Team 2 Points],tblActuals354[Team 2],$CU27,tblActuals354[Team 1],CW$3)+SUMIFS(tblActuals354[Team 1 Points],tblActuals354[Team 1],$CU27,tblActuals354[Team 2],CW$3)</f>
        <v>0</v>
      </c>
      <c r="CX27" s="56">
        <f>SUMIFS(tblActuals354[Team 2 Points],tblActuals354[Team 2],$CU27,tblActuals354[Team 1],CX$3)+SUMIFS(tblActuals354[Team 1 Points],tblActuals354[Team 1],$CU27,tblActuals354[Team 2],CX$3)</f>
        <v>0</v>
      </c>
      <c r="CY27" s="56">
        <f>SUMIFS(tblActuals354[Team 2 Points],tblActuals354[Team 2],$CU27,tblActuals354[Team 1],CY$3)+SUMIFS(tblActuals354[Team 1 Points],tblActuals354[Team 1],$CU27,tblActuals354[Team 2],CY$3)</f>
        <v>0</v>
      </c>
      <c r="CZ27" s="56">
        <f>SUMIFS(tblActuals354[Team 2 Points],tblActuals354[Team 2],$CU27,tblActuals354[Team 1],CZ$3)+SUMIFS(tblActuals354[Team 1 Points],tblActuals354[Team 1],$CU27,tblActuals354[Team 2],CZ$3)</f>
        <v>0</v>
      </c>
      <c r="DA27" s="56">
        <f>SUMIFS(tblActuals354[Team 2 Points],tblActuals354[Team 2],$CU27,tblActuals354[Team 1],DA$3)+SUMIFS(tblActuals354[Team 1 Points],tblActuals354[Team 1],$CU27,tblActuals354[Team 2],DA$3)</f>
        <v>0</v>
      </c>
      <c r="DB27" s="56">
        <f>SUMIFS(tblActuals354[Team 2 Points],tblActuals354[Team 2],$CU27,tblActuals354[Team 1],DB$3)+SUMIFS(tblActuals354[Team 1 Points],tblActuals354[Team 1],$CU27,tblActuals354[Team 2],DB$3)</f>
        <v>0</v>
      </c>
      <c r="DC27" s="56">
        <f>SUMIFS(tblActuals354[Team 2 Points],tblActuals354[Team 2],$CU27,tblActuals354[Team 1],DC$3)+SUMIFS(tblActuals354[Team 1 Points],tblActuals354[Team 1],$CU27,tblActuals354[Team 2],DC$3)</f>
        <v>0</v>
      </c>
      <c r="DD27" s="56">
        <f>SUMIFS(tblActuals354[Team 2 Points],tblActuals354[Team 2],$CU27,tblActuals354[Team 1],DD$3)+SUMIFS(tblActuals354[Team 1 Points],tblActuals354[Team 1],$CU27,tblActuals354[Team 2],DD$3)</f>
        <v>0</v>
      </c>
      <c r="DE27" s="56">
        <f>SUMIFS(tblActuals354[Team 2 Points],tblActuals354[Team 2],$CU27,tblActuals354[Team 1],DE$3)+SUMIFS(tblActuals354[Team 1 Points],tblActuals354[Team 1],$CU27,tblActuals354[Team 2],DE$3)</f>
        <v>0</v>
      </c>
      <c r="DF27" s="56">
        <f>SUMIFS(tblActuals354[Team 2 Points],tblActuals354[Team 2],$CU27,tblActuals354[Team 1],DF$3)+SUMIFS(tblActuals354[Team 1 Points],tblActuals354[Team 1],$CU27,tblActuals354[Team 2],DF$3)</f>
        <v>0</v>
      </c>
      <c r="DG27" s="56">
        <f>SUMIFS(tblActuals354[Team 2 Points],tblActuals354[Team 2],$CU27,tblActuals354[Team 1],DG$3)+SUMIFS(tblActuals354[Team 1 Points],tblActuals354[Team 1],$CU27,tblActuals354[Team 2],DG$3)</f>
        <v>0</v>
      </c>
      <c r="DH27" s="56">
        <f>SUMIFS(tblActuals354[Team 2 Points],tblActuals354[Team 2],$CU27,tblActuals354[Team 1],DH$3)+SUMIFS(tblActuals354[Team 1 Points],tblActuals354[Team 1],$CU27,tblActuals354[Team 2],DH$3)</f>
        <v>0</v>
      </c>
      <c r="DI27" s="56">
        <f>SUMIFS(tblActuals354[Team 2 Points],tblActuals354[Team 2],$CU27,tblActuals354[Team 1],DI$3)+SUMIFS(tblActuals354[Team 1 Points],tblActuals354[Team 1],$CU27,tblActuals354[Team 2],DI$3)</f>
        <v>0</v>
      </c>
      <c r="DJ27" s="56">
        <f>SUMIFS(tblActuals354[Team 2 Points],tblActuals354[Team 2],$CU27,tblActuals354[Team 1],DJ$3)+SUMIFS(tblActuals354[Team 1 Points],tblActuals354[Team 1],$CU27,tblActuals354[Team 2],DJ$3)</f>
        <v>0</v>
      </c>
      <c r="DK27" s="56">
        <f>SUMIFS(tblActuals354[Team 2 Points],tblActuals354[Team 2],$CU27,tblActuals354[Team 1],DK$3)+SUMIFS(tblActuals354[Team 1 Points],tblActuals354[Team 1],$CU27,tblActuals354[Team 2],DK$3)</f>
        <v>0</v>
      </c>
      <c r="DL27" s="56">
        <f>SUMIFS(tblActuals354[Team 2 Points],tblActuals354[Team 2],$CU27,tblActuals354[Team 1],DL$3)+SUMIFS(tblActuals354[Team 1 Points],tblActuals354[Team 1],$CU27,tblActuals354[Team 2],DL$3)</f>
        <v>0</v>
      </c>
      <c r="DM27" s="56">
        <f>SUMIFS(tblActuals354[Team 2 Points],tblActuals354[Team 2],$CU27,tblActuals354[Team 1],DM$3)+SUMIFS(tblActuals354[Team 1 Points],tblActuals354[Team 1],$CU27,tblActuals354[Team 2],DM$3)</f>
        <v>0</v>
      </c>
      <c r="DN27" s="56">
        <f>SUMIFS(tblActuals354[Team 2 Points],tblActuals354[Team 2],$CU27,tblActuals354[Team 1],DN$3)+SUMIFS(tblActuals354[Team 1 Points],tblActuals354[Team 1],$CU27,tblActuals354[Team 2],DN$3)</f>
        <v>0</v>
      </c>
      <c r="DO27" s="56">
        <f>SUMIFS(tblActuals354[Team 2 Points],tblActuals354[Team 2],$CU27,tblActuals354[Team 1],DO$3)+SUMIFS(tblActuals354[Team 1 Points],tblActuals354[Team 1],$CU27,tblActuals354[Team 2],DO$3)</f>
        <v>0</v>
      </c>
      <c r="DP27" s="56">
        <f>SUMIFS(tblActuals354[Team 2 Points],tblActuals354[Team 2],$CU27,tblActuals354[Team 1],DP$3)+SUMIFS(tblActuals354[Team 1 Points],tblActuals354[Team 1],$CU27,tblActuals354[Team 2],DP$3)</f>
        <v>0</v>
      </c>
      <c r="DQ27" s="56">
        <f>SUMIFS(tblActuals354[Team 2 Points],tblActuals354[Team 2],$CU27,tblActuals354[Team 1],DQ$3)+SUMIFS(tblActuals354[Team 1 Points],tblActuals354[Team 1],$CU27,tblActuals354[Team 2],DQ$3)</f>
        <v>0</v>
      </c>
      <c r="DR27" s="56">
        <f>SUMIFS(tblActuals354[Team 2 Points],tblActuals354[Team 2],$CU27,tblActuals354[Team 1],DR$3)+SUMIFS(tblActuals354[Team 1 Points],tblActuals354[Team 1],$CU27,tblActuals354[Team 2],DR$3)</f>
        <v>0</v>
      </c>
      <c r="DS27" s="56">
        <f>SUMIFS(tblActuals354[Team 2 Points],tblActuals354[Team 2],$CU27,tblActuals354[Team 1],DS$3)+SUMIFS(tblActuals354[Team 1 Points],tblActuals354[Team 1],$CU27,tblActuals354[Team 2],DS$3)</f>
        <v>0</v>
      </c>
      <c r="DT27" s="57"/>
      <c r="DU27" s="57"/>
      <c r="DV27" s="57"/>
      <c r="DW27" s="57"/>
      <c r="DX27" s="57"/>
      <c r="DY27" s="57"/>
      <c r="DZ27" s="57"/>
      <c r="EA27" s="57"/>
      <c r="EB27" s="4"/>
      <c r="EC27" s="4" t="s">
        <v>135</v>
      </c>
      <c r="ED27" s="56">
        <f>SUMIFS(tblActuals354[Team 2 GD],tblActuals354[Team 2],$CU27,tblActuals354[Team 1],ED$3)+SUMIFS(tblActuals354[Team 1 GD],tblActuals354[Team 1],$CU27,tblActuals354[Team 2],ED$3)</f>
        <v>0</v>
      </c>
      <c r="EE27" s="56">
        <f>SUMIFS(tblActuals354[Team 2 GD],tblActuals354[Team 2],$CU27,tblActuals354[Team 1],EE$3)+SUMIFS(tblActuals354[Team 1 GD],tblActuals354[Team 1],$CU27,tblActuals354[Team 2],EE$3)</f>
        <v>0</v>
      </c>
      <c r="EF27" s="56">
        <f>SUMIFS(tblActuals354[Team 2 GD],tblActuals354[Team 2],$CU27,tblActuals354[Team 1],EF$3)+SUMIFS(tblActuals354[Team 1 GD],tblActuals354[Team 1],$CU27,tblActuals354[Team 2],EF$3)</f>
        <v>0</v>
      </c>
      <c r="EG27" s="56">
        <f>SUMIFS(tblActuals354[Team 2 GD],tblActuals354[Team 2],$CU27,tblActuals354[Team 1],EG$3)+SUMIFS(tblActuals354[Team 1 GD],tblActuals354[Team 1],$CU27,tblActuals354[Team 2],EG$3)</f>
        <v>0</v>
      </c>
      <c r="EH27" s="56">
        <f>SUMIFS(tblActuals354[Team 2 GD],tblActuals354[Team 2],$CU27,tblActuals354[Team 1],EH$3)+SUMIFS(tblActuals354[Team 1 GD],tblActuals354[Team 1],$CU27,tblActuals354[Team 2],EH$3)</f>
        <v>0</v>
      </c>
      <c r="EI27" s="56">
        <f>SUMIFS(tblActuals354[Team 2 GD],tblActuals354[Team 2],$CU27,tblActuals354[Team 1],EI$3)+SUMIFS(tblActuals354[Team 1 GD],tblActuals354[Team 1],$CU27,tblActuals354[Team 2],EI$3)</f>
        <v>0</v>
      </c>
      <c r="EJ27" s="56">
        <f>SUMIFS(tblActuals354[Team 2 GD],tblActuals354[Team 2],$CU27,tblActuals354[Team 1],EJ$3)+SUMIFS(tblActuals354[Team 1 GD],tblActuals354[Team 1],$CU27,tblActuals354[Team 2],EJ$3)</f>
        <v>0</v>
      </c>
      <c r="EK27" s="56">
        <f>SUMIFS(tblActuals354[Team 2 GD],tblActuals354[Team 2],$CU27,tblActuals354[Team 1],EK$3)+SUMIFS(tblActuals354[Team 1 GD],tblActuals354[Team 1],$CU27,tblActuals354[Team 2],EK$3)</f>
        <v>0</v>
      </c>
      <c r="EL27" s="56">
        <f>SUMIFS(tblActuals354[Team 2 GD],tblActuals354[Team 2],$CU27,tblActuals354[Team 1],EL$3)+SUMIFS(tblActuals354[Team 1 GD],tblActuals354[Team 1],$CU27,tblActuals354[Team 2],EL$3)</f>
        <v>0</v>
      </c>
      <c r="EM27" s="56">
        <f>SUMIFS(tblActuals354[Team 2 GD],tblActuals354[Team 2],$CU27,tblActuals354[Team 1],EM$3)+SUMIFS(tblActuals354[Team 1 GD],tblActuals354[Team 1],$CU27,tblActuals354[Team 2],EM$3)</f>
        <v>0</v>
      </c>
      <c r="EN27" s="56">
        <f>SUMIFS(tblActuals354[Team 2 GD],tblActuals354[Team 2],$CU27,tblActuals354[Team 1],EN$3)+SUMIFS(tblActuals354[Team 1 GD],tblActuals354[Team 1],$CU27,tblActuals354[Team 2],EN$3)</f>
        <v>0</v>
      </c>
      <c r="EO27" s="56">
        <f>SUMIFS(tblActuals354[Team 2 GD],tblActuals354[Team 2],$CU27,tblActuals354[Team 1],EO$3)+SUMIFS(tblActuals354[Team 1 GD],tblActuals354[Team 1],$CU27,tblActuals354[Team 2],EO$3)</f>
        <v>0</v>
      </c>
      <c r="EP27" s="56">
        <f>SUMIFS(tblActuals354[Team 2 GD],tblActuals354[Team 2],$CU27,tblActuals354[Team 1],EP$3)+SUMIFS(tblActuals354[Team 1 GD],tblActuals354[Team 1],$CU27,tblActuals354[Team 2],EP$3)</f>
        <v>0</v>
      </c>
      <c r="EQ27" s="56">
        <f>SUMIFS(tblActuals354[Team 2 GD],tblActuals354[Team 2],$CU27,tblActuals354[Team 1],EQ$3)+SUMIFS(tblActuals354[Team 1 GD],tblActuals354[Team 1],$CU27,tblActuals354[Team 2],EQ$3)</f>
        <v>0</v>
      </c>
      <c r="ER27" s="56">
        <f>SUMIFS(tblActuals354[Team 2 GD],tblActuals354[Team 2],$CU27,tblActuals354[Team 1],ER$3)+SUMIFS(tblActuals354[Team 1 GD],tblActuals354[Team 1],$CU27,tblActuals354[Team 2],ER$3)</f>
        <v>0</v>
      </c>
      <c r="ES27" s="56">
        <f>SUMIFS(tblActuals354[Team 2 GD],tblActuals354[Team 2],$CU27,tblActuals354[Team 1],ES$3)+SUMIFS(tblActuals354[Team 1 GD],tblActuals354[Team 1],$CU27,tblActuals354[Team 2],ES$3)</f>
        <v>0</v>
      </c>
      <c r="ET27" s="56">
        <f>SUMIFS(tblActuals354[Team 2 GD],tblActuals354[Team 2],$CU27,tblActuals354[Team 1],ET$3)+SUMIFS(tblActuals354[Team 1 GD],tblActuals354[Team 1],$CU27,tblActuals354[Team 2],ET$3)</f>
        <v>0</v>
      </c>
      <c r="EU27" s="56">
        <f>SUMIFS(tblActuals354[Team 2 GD],tblActuals354[Team 2],$CU27,tblActuals354[Team 1],EU$3)+SUMIFS(tblActuals354[Team 1 GD],tblActuals354[Team 1],$CU27,tblActuals354[Team 2],EU$3)</f>
        <v>0</v>
      </c>
      <c r="EV27" s="56">
        <f>SUMIFS(tblActuals354[Team 2 GD],tblActuals354[Team 2],$CU27,tblActuals354[Team 1],EV$3)+SUMIFS(tblActuals354[Team 1 GD],tblActuals354[Team 1],$CU27,tblActuals354[Team 2],EV$3)</f>
        <v>0</v>
      </c>
      <c r="EW27" s="56">
        <f>SUMIFS(tblActuals354[Team 2 GD],tblActuals354[Team 2],$CU27,tblActuals354[Team 1],EW$3)+SUMIFS(tblActuals354[Team 1 GD],tblActuals354[Team 1],$CU27,tblActuals354[Team 2],EW$3)</f>
        <v>0</v>
      </c>
      <c r="EX27" s="56">
        <f>SUMIFS(tblActuals354[Team 2 GD],tblActuals354[Team 2],$CU27,tblActuals354[Team 1],EX$3)+SUMIFS(tblActuals354[Team 1 GD],tblActuals354[Team 1],$CU27,tblActuals354[Team 2],EX$3)</f>
        <v>0</v>
      </c>
      <c r="EY27" s="56">
        <f>SUMIFS(tblActuals354[Team 2 GD],tblActuals354[Team 2],$CU27,tblActuals354[Team 1],EY$3)+SUMIFS(tblActuals354[Team 1 GD],tblActuals354[Team 1],$CU27,tblActuals354[Team 2],EY$3)</f>
        <v>0</v>
      </c>
      <c r="EZ27" s="56">
        <f>SUMIFS(tblActuals354[Team 2 GD],tblActuals354[Team 2],$CU27,tblActuals354[Team 1],EZ$3)+SUMIFS(tblActuals354[Team 1 GD],tblActuals354[Team 1],$CU27,tblActuals354[Team 2],EZ$3)</f>
        <v>0</v>
      </c>
      <c r="FA27" s="56">
        <f>SUMIFS(tblActuals354[Team 2 GD],tblActuals354[Team 2],$CU27,tblActuals354[Team 1],FA$3)+SUMIFS(tblActuals354[Team 1 GD],tblActuals354[Team 1],$CU27,tblActuals354[Team 2],FA$3)</f>
        <v>0</v>
      </c>
      <c r="FB27" s="57"/>
      <c r="FC27" s="57"/>
      <c r="FD27" s="57"/>
      <c r="FE27" s="57"/>
      <c r="FF27" s="57"/>
      <c r="FG27" s="57"/>
      <c r="FH27" s="57"/>
      <c r="FI27" s="57"/>
      <c r="FJ27" s="4"/>
      <c r="FK27" s="4" t="s">
        <v>135</v>
      </c>
      <c r="FL27" s="56">
        <f>SUMIFS(tblActuals354[Team 2 Goals],tblActuals354[Team 2],$CU27,tblActuals354[Team 1],FL$3)+SUMIFS(tblActuals354[Team 1 Goals],tblActuals354[Team 1],$CU27,tblActuals354[Team 2],FL$3)</f>
        <v>0</v>
      </c>
      <c r="FM27" s="56">
        <f>SUMIFS(tblActuals354[Team 2 Goals],tblActuals354[Team 2],$CU27,tblActuals354[Team 1],FM$3)+SUMIFS(tblActuals354[Team 1 Goals],tblActuals354[Team 1],$CU27,tblActuals354[Team 2],FM$3)</f>
        <v>0</v>
      </c>
      <c r="FN27" s="56">
        <f>SUMIFS(tblActuals354[Team 2 Goals],tblActuals354[Team 2],$CU27,tblActuals354[Team 1],FN$3)+SUMIFS(tblActuals354[Team 1 Goals],tblActuals354[Team 1],$CU27,tblActuals354[Team 2],FN$3)</f>
        <v>0</v>
      </c>
      <c r="FO27" s="56">
        <f>SUMIFS(tblActuals354[Team 2 Goals],tblActuals354[Team 2],$CU27,tblActuals354[Team 1],FO$3)+SUMIFS(tblActuals354[Team 1 Goals],tblActuals354[Team 1],$CU27,tblActuals354[Team 2],FO$3)</f>
        <v>0</v>
      </c>
      <c r="FP27" s="56">
        <f>SUMIFS(tblActuals354[Team 2 Goals],tblActuals354[Team 2],$CU27,tblActuals354[Team 1],FP$3)+SUMIFS(tblActuals354[Team 1 Goals],tblActuals354[Team 1],$CU27,tblActuals354[Team 2],FP$3)</f>
        <v>0</v>
      </c>
      <c r="FQ27" s="56">
        <f>SUMIFS(tblActuals354[Team 2 Goals],tblActuals354[Team 2],$CU27,tblActuals354[Team 1],FQ$3)+SUMIFS(tblActuals354[Team 1 Goals],tblActuals354[Team 1],$CU27,tblActuals354[Team 2],FQ$3)</f>
        <v>0</v>
      </c>
      <c r="FR27" s="56">
        <f>SUMIFS(tblActuals354[Team 2 Goals],tblActuals354[Team 2],$CU27,tblActuals354[Team 1],FR$3)+SUMIFS(tblActuals354[Team 1 Goals],tblActuals354[Team 1],$CU27,tblActuals354[Team 2],FR$3)</f>
        <v>0</v>
      </c>
      <c r="FS27" s="56">
        <f>SUMIFS(tblActuals354[Team 2 Goals],tblActuals354[Team 2],$CU27,tblActuals354[Team 1],FS$3)+SUMIFS(tblActuals354[Team 1 Goals],tblActuals354[Team 1],$CU27,tblActuals354[Team 2],FS$3)</f>
        <v>0</v>
      </c>
      <c r="FT27" s="56">
        <f>SUMIFS(tblActuals354[Team 2 Goals],tblActuals354[Team 2],$CU27,tblActuals354[Team 1],FT$3)+SUMIFS(tblActuals354[Team 1 Goals],tblActuals354[Team 1],$CU27,tblActuals354[Team 2],FT$3)</f>
        <v>0</v>
      </c>
      <c r="FU27" s="56">
        <f>SUMIFS(tblActuals354[Team 2 Goals],tblActuals354[Team 2],$CU27,tblActuals354[Team 1],FU$3)+SUMIFS(tblActuals354[Team 1 Goals],tblActuals354[Team 1],$CU27,tblActuals354[Team 2],FU$3)</f>
        <v>0</v>
      </c>
      <c r="FV27" s="56">
        <f>SUMIFS(tblActuals354[Team 2 Goals],tblActuals354[Team 2],$CU27,tblActuals354[Team 1],FV$3)+SUMIFS(tblActuals354[Team 1 Goals],tblActuals354[Team 1],$CU27,tblActuals354[Team 2],FV$3)</f>
        <v>0</v>
      </c>
      <c r="FW27" s="56">
        <f>SUMIFS(tblActuals354[Team 2 Goals],tblActuals354[Team 2],$CU27,tblActuals354[Team 1],FW$3)+SUMIFS(tblActuals354[Team 1 Goals],tblActuals354[Team 1],$CU27,tblActuals354[Team 2],FW$3)</f>
        <v>0</v>
      </c>
      <c r="FX27" s="56">
        <f>SUMIFS(tblActuals354[Team 2 Goals],tblActuals354[Team 2],$CU27,tblActuals354[Team 1],FX$3)+SUMIFS(tblActuals354[Team 1 Goals],tblActuals354[Team 1],$CU27,tblActuals354[Team 2],FX$3)</f>
        <v>0</v>
      </c>
      <c r="FY27" s="56">
        <f>SUMIFS(tblActuals354[Team 2 Goals],tblActuals354[Team 2],$CU27,tblActuals354[Team 1],FY$3)+SUMIFS(tblActuals354[Team 1 Goals],tblActuals354[Team 1],$CU27,tblActuals354[Team 2],FY$3)</f>
        <v>0</v>
      </c>
      <c r="FZ27" s="56">
        <f>SUMIFS(tblActuals354[Team 2 Goals],tblActuals354[Team 2],$CU27,tblActuals354[Team 1],FZ$3)+SUMIFS(tblActuals354[Team 1 Goals],tblActuals354[Team 1],$CU27,tblActuals354[Team 2],FZ$3)</f>
        <v>0</v>
      </c>
      <c r="GA27" s="56">
        <f>SUMIFS(tblActuals354[Team 2 Goals],tblActuals354[Team 2],$CU27,tblActuals354[Team 1],GA$3)+SUMIFS(tblActuals354[Team 1 Goals],tblActuals354[Team 1],$CU27,tblActuals354[Team 2],GA$3)</f>
        <v>0</v>
      </c>
      <c r="GB27" s="56">
        <f>SUMIFS(tblActuals354[Team 2 Goals],tblActuals354[Team 2],$CU27,tblActuals354[Team 1],GB$3)+SUMIFS(tblActuals354[Team 1 Goals],tblActuals354[Team 1],$CU27,tblActuals354[Team 2],GB$3)</f>
        <v>0</v>
      </c>
      <c r="GC27" s="56">
        <f>SUMIFS(tblActuals354[Team 2 Goals],tblActuals354[Team 2],$CU27,tblActuals354[Team 1],GC$3)+SUMIFS(tblActuals354[Team 1 Goals],tblActuals354[Team 1],$CU27,tblActuals354[Team 2],GC$3)</f>
        <v>0</v>
      </c>
      <c r="GD27" s="56">
        <f>SUMIFS(tblActuals354[Team 2 Goals],tblActuals354[Team 2],$CU27,tblActuals354[Team 1],GD$3)+SUMIFS(tblActuals354[Team 1 Goals],tblActuals354[Team 1],$CU27,tblActuals354[Team 2],GD$3)</f>
        <v>0</v>
      </c>
      <c r="GE27" s="56">
        <f>SUMIFS(tblActuals354[Team 2 Goals],tblActuals354[Team 2],$CU27,tblActuals354[Team 1],GE$3)+SUMIFS(tblActuals354[Team 1 Goals],tblActuals354[Team 1],$CU27,tblActuals354[Team 2],GE$3)</f>
        <v>0</v>
      </c>
      <c r="GF27" s="56">
        <f>SUMIFS(tblActuals354[Team 2 Goals],tblActuals354[Team 2],$CU27,tblActuals354[Team 1],GF$3)+SUMIFS(tblActuals354[Team 1 Goals],tblActuals354[Team 1],$CU27,tblActuals354[Team 2],GF$3)</f>
        <v>0</v>
      </c>
      <c r="GG27" s="56">
        <f>SUMIFS(tblActuals354[Team 2 Goals],tblActuals354[Team 2],$CU27,tblActuals354[Team 1],GG$3)+SUMIFS(tblActuals354[Team 1 Goals],tblActuals354[Team 1],$CU27,tblActuals354[Team 2],GG$3)</f>
        <v>0</v>
      </c>
      <c r="GH27" s="56">
        <f>SUMIFS(tblActuals354[Team 2 Goals],tblActuals354[Team 2],$CU27,tblActuals354[Team 1],GH$3)+SUMIFS(tblActuals354[Team 1 Goals],tblActuals354[Team 1],$CU27,tblActuals354[Team 2],GH$3)</f>
        <v>0</v>
      </c>
      <c r="GI27" s="56">
        <f>SUMIFS(tblActuals354[Team 2 Goals],tblActuals354[Team 2],$CU27,tblActuals354[Team 1],GI$3)+SUMIFS(tblActuals354[Team 1 Goals],tblActuals354[Team 1],$CU27,tblActuals354[Team 2],GI$3)</f>
        <v>0</v>
      </c>
      <c r="GJ27" s="57"/>
      <c r="GK27" s="57"/>
      <c r="GL27" s="37"/>
      <c r="GM27" s="37"/>
      <c r="GN27" s="37"/>
      <c r="GO27" s="37"/>
      <c r="GP27" s="37"/>
      <c r="GQ27" s="37"/>
      <c r="GR27" s="75"/>
      <c r="GS27" s="148"/>
      <c r="GT27" s="148"/>
      <c r="GU27" s="75"/>
      <c r="GV27" s="75"/>
      <c r="GW27" s="75"/>
      <c r="GX27" s="75"/>
      <c r="GY27" s="75"/>
      <c r="GZ27" s="75"/>
    </row>
    <row r="28" spans="1:221" s="11" customFormat="1" ht="30" customHeight="1" thickBot="1" x14ac:dyDescent="0.3">
      <c r="A28" s="20"/>
      <c r="B28" s="122">
        <v>25</v>
      </c>
      <c r="C28" s="122" t="s">
        <v>1</v>
      </c>
      <c r="D28" s="123">
        <v>45466</v>
      </c>
      <c r="E28" s="122" t="s">
        <v>86</v>
      </c>
      <c r="F28" s="124">
        <v>0.875</v>
      </c>
      <c r="G28" s="125">
        <f t="shared" si="11"/>
        <v>45466.625</v>
      </c>
      <c r="H28" s="122" t="s">
        <v>113</v>
      </c>
      <c r="I28" s="126"/>
      <c r="J28" s="118"/>
      <c r="K28" s="118"/>
      <c r="L28" s="174">
        <f>IF(I28="",0,IFERROR(IF(SCORING.RULES!$C$8="No",1,((VLOOKUP($B28,ACTUALS!$B$4:$L$100,7,FALSE)=$H28)+(VLOOKUP($B28,ACTUALS!$B$4:$L$100,7,FALSE)=S28)))*(M28+N28+O28+P28+Q28),0))+$R28</f>
        <v>0</v>
      </c>
      <c r="M28" s="168">
        <f>IFERROR(IF($B28="","",IF(U28=INDEX(ACTUALS!$AA$4:$AA$100,MATCH($B28,ACTUALS!$B$4:$B$100,0),1),CorrectScore,0)),0)</f>
        <v>0</v>
      </c>
      <c r="N28" s="157" t="str">
        <f>IFERROR(IF(I28="","",IF(INDEX(ACTUALS!$AB$4:$AB$100,MATCH($B28,ACTUALS!$B$4:$B$100,0),1)=(AB28+AC28+AH28+AI28),CorrectNumberofGoals,0)),0)</f>
        <v/>
      </c>
      <c r="O28" s="157"/>
      <c r="P28" s="157">
        <f>IFERROR(IF(B28="","",IF(INDEX(ACTUALS!$L$4:$L$100,MATCH($B28,ACTUALS!$B$4:$B$100,0),1)=W28,CorrectResult,0)),0)</f>
        <v>3</v>
      </c>
      <c r="Q28" s="157"/>
      <c r="R28" s="157"/>
      <c r="S28" s="157" t="str">
        <f t="shared" si="0"/>
        <v/>
      </c>
      <c r="T28" s="157"/>
      <c r="U28" s="157" t="str">
        <f t="shared" si="1"/>
        <v/>
      </c>
      <c r="V28" s="157" t="str">
        <f t="shared" si="2"/>
        <v/>
      </c>
      <c r="W28" s="119" t="str">
        <f>IF(tblActuals354[[#This Row],[SCORE]]="","",IF(AB28=AC28,"Draw",IF(AB28&gt;AC28,X28,Y28)))</f>
        <v/>
      </c>
      <c r="X28" s="120" t="str">
        <f>IF(tblActuals354[[#This Row],[TEAMS]]="","",LEFT(H28,FIND(" -",H28,1)-1))</f>
        <v>Switzerland</v>
      </c>
      <c r="Y28" s="120" t="str">
        <f>IF(tblActuals354[[#This Row],[TEAMS]]="","",MID(H28,FIND("-",H28,1)+2,LEN(H28)-FIND("-",H28,1)+2))</f>
        <v>Germany</v>
      </c>
      <c r="Z28" s="120" t="str">
        <f>IF(tblActuals354[[#This Row],[Team 1 Goals]]&gt;tblActuals354[[#This Row],[Team 2 Goals]],tblActuals354[[#This Row],[Team 1]],IF(tblActuals354[[#This Row],[Team 2 Goals]]&gt;tblActuals354[[#This Row],[Team 1 Goals]],tblActuals354[[#This Row],[Team 2]],""))</f>
        <v/>
      </c>
      <c r="AA28" s="120" t="str">
        <f>IF(tblActuals354[[#This Row],[Winner]]=tblActuals354[[#This Row],[Team 1]],tblActuals354[[#This Row],[Team 2]],IF(tblActuals354[[#This Row],[Winner]]=tblActuals354[[#This Row],[Team 2]],tblActuals354[[#This Row],[Team 1]],""))</f>
        <v/>
      </c>
      <c r="AB28" s="120" t="str">
        <f>IF(tblActuals354[[#This Row],[SCORE]]="","",LEFT(I28,FIND(":",I28,1)-1)*1)</f>
        <v/>
      </c>
      <c r="AC28" s="120" t="str">
        <f>IF(tblActuals354[[#This Row],[SCORE]]="","",MID(I28,FIND(":",I28,1)+1,LEN(I28)-FIND(":",I28,1)+1)*1)</f>
        <v/>
      </c>
      <c r="AD28" s="120" t="str">
        <f>IF(OR(tblActuals354[[#This Row],[Team 1 Goals]]="",tblActuals354[[#This Row],[Team 2 Goals]]=""),"",tblActuals354[[#This Row],[Team 1 Goals]]-tblActuals354[[#This Row],[Team 2 Goals]])</f>
        <v/>
      </c>
      <c r="AE28" s="120" t="str">
        <f>IF(OR(tblActuals354[[#This Row],[Team 1 Goals]]="",tblActuals354[[#This Row],[Team 2 Goals]]=""),"",tblActuals354[[#This Row],[Team 2 Goals]]-tblActuals354[[#This Row],[Team 1 Goals]])</f>
        <v/>
      </c>
      <c r="AF28" s="120" t="str">
        <f>IF(tblActuals354[[#This Row],[SCORE]]="","",IF(tblActuals354[[#This Row],[WINNER / RESULT]]="Draw",1,IF(tblActuals354[[#This Row],[WINNER / RESULT]]=tblActuals354[[#This Row],[Team 1]],3,0)))</f>
        <v/>
      </c>
      <c r="AG28" s="120" t="str">
        <f>IF(tblActuals354[[#This Row],[SCORE]]="","",IF(tblActuals354[[#This Row],[WINNER / RESULT]]="Draw",1,IF(tblActuals354[[#This Row],[WINNER / RESULT]]=tblActuals354[[#This Row],[Team 2]],3,0)))</f>
        <v/>
      </c>
      <c r="AH28" s="121"/>
      <c r="AI28" s="121"/>
      <c r="AJ28" s="121"/>
      <c r="AK28" s="121"/>
      <c r="AL28" s="120" t="e">
        <f>tblActuals354[[#This Row],[Team 1 Goals]]+tblActuals354[[#This Row],[Team 1 ET Goals]]&amp;":"&amp;tblActuals354[[#This Row],[Team 2 Goals]]+tblActuals354[[#This Row],[Team 2 ET Goals]]</f>
        <v>#VALUE!</v>
      </c>
      <c r="AM28" s="120" t="e">
        <f>+tblActuals354[[#This Row],[Team 1 Goals]]+tblActuals354[[#This Row],[Team 2 Goals]]</f>
        <v>#VALUE!</v>
      </c>
      <c r="AN28" s="161">
        <f t="shared" si="3"/>
        <v>45466</v>
      </c>
      <c r="AT28" s="77"/>
      <c r="AU28" s="148"/>
      <c r="AV28" s="148"/>
      <c r="AW28" s="148"/>
      <c r="AX28" s="148"/>
      <c r="AY28" s="148"/>
      <c r="AZ28" s="75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 t="str">
        <f t="shared" si="4"/>
        <v/>
      </c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U28" s="4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4"/>
      <c r="EC28" s="4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4"/>
      <c r="FK28" s="4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  <c r="GL28" s="37"/>
      <c r="GM28" s="37"/>
      <c r="GN28" s="37"/>
      <c r="GO28" s="37"/>
      <c r="GP28" s="37"/>
      <c r="GQ28" s="37"/>
      <c r="GR28" s="75"/>
      <c r="GS28" s="148"/>
      <c r="GT28" s="148"/>
      <c r="GU28" s="75"/>
      <c r="GV28" s="75"/>
      <c r="GW28" s="75"/>
      <c r="GX28" s="75"/>
      <c r="GY28" s="75"/>
      <c r="GZ28" s="75"/>
    </row>
    <row r="29" spans="1:221" s="11" customFormat="1" ht="30" customHeight="1" thickBot="1" x14ac:dyDescent="0.3">
      <c r="A29" s="20"/>
      <c r="B29" s="122">
        <v>26</v>
      </c>
      <c r="C29" s="122" t="s">
        <v>1</v>
      </c>
      <c r="D29" s="123">
        <v>45466</v>
      </c>
      <c r="E29" s="122" t="s">
        <v>83</v>
      </c>
      <c r="F29" s="124">
        <v>0.875</v>
      </c>
      <c r="G29" s="125">
        <f t="shared" si="11"/>
        <v>45466.625</v>
      </c>
      <c r="H29" s="122" t="s">
        <v>114</v>
      </c>
      <c r="I29" s="126"/>
      <c r="J29" s="118"/>
      <c r="K29" s="118"/>
      <c r="L29" s="174">
        <f>IF(I29="",0,IFERROR(IF(SCORING.RULES!$C$8="No",1,((VLOOKUP($B29,ACTUALS!$B$4:$L$100,7,FALSE)=$H29)+(VLOOKUP($B29,ACTUALS!$B$4:$L$100,7,FALSE)=S29)))*(M29+N29+O29+P29+Q29),0))+$R29</f>
        <v>0</v>
      </c>
      <c r="M29" s="168">
        <f>IFERROR(IF($B29="","",IF(U29=INDEX(ACTUALS!$AA$4:$AA$100,MATCH($B29,ACTUALS!$B$4:$B$100,0),1),CorrectScore,0)),0)</f>
        <v>0</v>
      </c>
      <c r="N29" s="157" t="str">
        <f>IFERROR(IF(I29="","",IF(INDEX(ACTUALS!$AB$4:$AB$100,MATCH($B29,ACTUALS!$B$4:$B$100,0),1)=(AB29+AC29+AH29+AI29),CorrectNumberofGoals,0)),0)</f>
        <v/>
      </c>
      <c r="O29" s="157"/>
      <c r="P29" s="157">
        <f>IFERROR(IF(B29="","",IF(INDEX(ACTUALS!$L$4:$L$100,MATCH($B29,ACTUALS!$B$4:$B$100,0),1)=W29,CorrectResult,0)),0)</f>
        <v>3</v>
      </c>
      <c r="Q29" s="157"/>
      <c r="R29" s="157"/>
      <c r="S29" s="157" t="str">
        <f t="shared" si="0"/>
        <v/>
      </c>
      <c r="T29" s="157"/>
      <c r="U29" s="157" t="str">
        <f t="shared" si="1"/>
        <v/>
      </c>
      <c r="V29" s="157" t="str">
        <f t="shared" si="2"/>
        <v/>
      </c>
      <c r="W29" s="119" t="str">
        <f>IF(tblActuals354[[#This Row],[SCORE]]="","",IF(AB29=AC29,"Draw",IF(AB29&gt;AC29,X29,Y29)))</f>
        <v/>
      </c>
      <c r="X29" s="120" t="str">
        <f>IF(tblActuals354[[#This Row],[TEAMS]]="","",LEFT(H29,FIND(" -",H29,1)-1))</f>
        <v>Scotland</v>
      </c>
      <c r="Y29" s="120" t="str">
        <f>IF(tblActuals354[[#This Row],[TEAMS]]="","",MID(H29,FIND("-",H29,1)+2,LEN(H29)-FIND("-",H29,1)+2))</f>
        <v>Hungary</v>
      </c>
      <c r="Z29" s="120" t="str">
        <f>IF(tblActuals354[[#This Row],[Team 1 Goals]]&gt;tblActuals354[[#This Row],[Team 2 Goals]],tblActuals354[[#This Row],[Team 1]],IF(tblActuals354[[#This Row],[Team 2 Goals]]&gt;tblActuals354[[#This Row],[Team 1 Goals]],tblActuals354[[#This Row],[Team 2]],""))</f>
        <v/>
      </c>
      <c r="AA29" s="120" t="str">
        <f>IF(tblActuals354[[#This Row],[Winner]]=tblActuals354[[#This Row],[Team 1]],tblActuals354[[#This Row],[Team 2]],IF(tblActuals354[[#This Row],[Winner]]=tblActuals354[[#This Row],[Team 2]],tblActuals354[[#This Row],[Team 1]],""))</f>
        <v/>
      </c>
      <c r="AB29" s="120" t="str">
        <f>IF(tblActuals354[[#This Row],[SCORE]]="","",LEFT(I29,FIND(":",I29,1)-1)*1)</f>
        <v/>
      </c>
      <c r="AC29" s="120" t="str">
        <f>IF(tblActuals354[[#This Row],[SCORE]]="","",MID(I29,FIND(":",I29,1)+1,LEN(I29)-FIND(":",I29,1)+1)*1)</f>
        <v/>
      </c>
      <c r="AD29" s="120" t="str">
        <f>IF(OR(tblActuals354[[#This Row],[Team 1 Goals]]="",tblActuals354[[#This Row],[Team 2 Goals]]=""),"",tblActuals354[[#This Row],[Team 1 Goals]]-tblActuals354[[#This Row],[Team 2 Goals]])</f>
        <v/>
      </c>
      <c r="AE29" s="120" t="str">
        <f>IF(OR(tblActuals354[[#This Row],[Team 1 Goals]]="",tblActuals354[[#This Row],[Team 2 Goals]]=""),"",tblActuals354[[#This Row],[Team 2 Goals]]-tblActuals354[[#This Row],[Team 1 Goals]])</f>
        <v/>
      </c>
      <c r="AF29" s="120" t="str">
        <f>IF(tblActuals354[[#This Row],[SCORE]]="","",IF(tblActuals354[[#This Row],[WINNER / RESULT]]="Draw",1,IF(tblActuals354[[#This Row],[WINNER / RESULT]]=tblActuals354[[#This Row],[Team 1]],3,0)))</f>
        <v/>
      </c>
      <c r="AG29" s="120" t="str">
        <f>IF(tblActuals354[[#This Row],[SCORE]]="","",IF(tblActuals354[[#This Row],[WINNER / RESULT]]="Draw",1,IF(tblActuals354[[#This Row],[WINNER / RESULT]]=tblActuals354[[#This Row],[Team 2]],3,0)))</f>
        <v/>
      </c>
      <c r="AH29" s="121"/>
      <c r="AI29" s="121"/>
      <c r="AJ29" s="121"/>
      <c r="AK29" s="121"/>
      <c r="AL29" s="120" t="e">
        <f>tblActuals354[[#This Row],[Team 1 Goals]]+tblActuals354[[#This Row],[Team 1 ET Goals]]&amp;":"&amp;tblActuals354[[#This Row],[Team 2 Goals]]+tblActuals354[[#This Row],[Team 2 ET Goals]]</f>
        <v>#VALUE!</v>
      </c>
      <c r="AM29" s="120" t="e">
        <f>+tblActuals354[[#This Row],[Team 1 Goals]]+tblActuals354[[#This Row],[Team 2 Goals]]</f>
        <v>#VALUE!</v>
      </c>
      <c r="AN29" s="161">
        <f t="shared" si="3"/>
        <v>45466</v>
      </c>
      <c r="AT29" s="78"/>
      <c r="AU29" s="179" t="s">
        <v>55</v>
      </c>
      <c r="AV29" s="180"/>
      <c r="AW29" s="133" t="s">
        <v>46</v>
      </c>
      <c r="AX29" s="134" t="s">
        <v>57</v>
      </c>
      <c r="AY29" s="135" t="s">
        <v>11</v>
      </c>
      <c r="AZ29" s="75"/>
      <c r="BA29" s="4"/>
      <c r="BB29" s="4"/>
      <c r="BC29" s="4" t="s">
        <v>45</v>
      </c>
      <c r="BD29" s="4" t="s">
        <v>135</v>
      </c>
      <c r="BE29" s="4">
        <f>COUNTIF(tblActuals354[Winner],BD29)</f>
        <v>0</v>
      </c>
      <c r="BF29" s="4">
        <f>COUNTIFS(tblActuals354[Team 2],BD29,tblActuals354[WINNER / RESULT],"Draw")+COUNTIFS(tblActuals354[Team 1],BD29,tblActuals354[WINNER / RESULT],"Draw")</f>
        <v>0</v>
      </c>
      <c r="BG29" s="4">
        <f>COUNTIF(tblActuals354[Loser],BD29)</f>
        <v>0</v>
      </c>
      <c r="BH29" s="4">
        <f>BF29+(3*BE29)</f>
        <v>0</v>
      </c>
      <c r="BI29" s="4">
        <f>SUMIFS(tblActuals354[Team 1 Goals],tblActuals354[Team 1],BD29)+SUMIFS(tblActuals354[Team 2 Goals],tblActuals354[Team 2],BD29)</f>
        <v>0</v>
      </c>
      <c r="BJ29" s="4">
        <f>SUMIFS(tblActuals354[Team 2 Goals],tblActuals354[Team 1],BD29)+SUMIFS(tblActuals354[Team 1 Goals],tblActuals354[Team 2],BD29)</f>
        <v>0</v>
      </c>
      <c r="BK29" s="4">
        <f>BI29-BJ29</f>
        <v>0</v>
      </c>
      <c r="BL29" s="4">
        <f ca="1">RANK(BY29,$BY$29:$BY$32,1)</f>
        <v>1</v>
      </c>
      <c r="BM29" s="4" t="str">
        <f t="shared" si="4"/>
        <v/>
      </c>
      <c r="BN29" s="4" t="str">
        <f ca="1">IF(BM29="",BL29&amp;BC29,BM29&amp;BC29)</f>
        <v>1F</v>
      </c>
      <c r="BO29" s="4">
        <f>RANK(BH29,$BH$29:$BH$32,0)</f>
        <v>1</v>
      </c>
      <c r="BP29" s="4" cm="1">
        <f t="array" aca="1" ref="BP29" ca="1">SUMPRODUCT((OFFSET($CV$3:$EA$3,MATCH($BD29,$CU$4:$CU$35,0),0))*((IF($BO31=$BO29,$CV$3:$EA$3=$BD31,0))+(IF($BO32=$BO29,$CV$3:$EA$3=$BD32,0))+(IF($BO30=$BO29,$CV$3:$EA$3=$BD30,0))))</f>
        <v>0</v>
      </c>
      <c r="BQ29" s="4" cm="1">
        <f t="array" aca="1" ref="BQ29" ca="1">SUMPRODUCT((OFFSET($ED$3:$FI$3,MATCH($BD29,$EC$4:$EC$35,0),0))*((IF($BO31=$BO29,$ED$3:$FI$3=$BD31,0))+(IF($BO32=$BO29,$ED$3:$FI$3=$BD32,0))+(IF($BO30=$BO29,$ED$3:$FI$3=$BD30,0))))</f>
        <v>0</v>
      </c>
      <c r="BR29" s="4" cm="1">
        <f t="array" aca="1" ref="BR29" ca="1">SUMPRODUCT((OFFSET($FL$3:$GQ$3,MATCH($BD29,$FK$4:$FK$35,0),0))*((IF($BO31=$BO29,$FL$3:$GQ$3=$BD31,0))+(IF($BO32=$BO29,$FL$3:$GQ$3=$BD32,0))+(IF($BO30=$BO29,$FL$3:$GQ$3=$BD30,0))))</f>
        <v>0</v>
      </c>
      <c r="BS29" s="4" cm="1">
        <f t="array" aca="1" ref="BS29" ca="1">SUMPRODUCT((OFFSET($CV$3:$EA$3,MATCH($BD29,$CU$4:$CU$35,0),0))*((IF($BO31&lt;&gt;$BO29,$CV$3:$EA$3=$BD31,0))+(IF($BO32&lt;&gt;$BO29,$CV$3:$EA$3=$BD32,0))+(IF($BO30&lt;&gt;$BO29,$CV$3:$EA$3=$BD30,0))))</f>
        <v>0</v>
      </c>
      <c r="BT29" s="4" cm="1">
        <f t="array" aca="1" ref="BT29" ca="1">SUMPRODUCT((OFFSET($ED$3:$FI$3,MATCH($BD29,$EC$4:$EC$35,0),0))*((IF($BO31&lt;&gt;$BO29,$ED$3:$FI$3=$BD31,0))+(IF($BO32&lt;&gt;$BO29,$ED$3:$FI$3=$BD32,0))+(IF($BO30&lt;&gt;$BO29,$ED$3:$FI$3=$BD30,0))))</f>
        <v>0</v>
      </c>
      <c r="BU29" s="4" cm="1">
        <f t="array" aca="1" ref="BU29" ca="1">SUMPRODUCT((OFFSET($FL$3:$GQ$3,MATCH($BD29,$FK$4:$FK$35,0),0))*((IF($BO31&lt;&gt;$BO29,$FL$3:$GQ$3=$BD31,0))+(IF($BO32&lt;&gt;$BO29,$FL$3:$GQ$3=$BD32,0))+(IF($BO30&lt;&gt;$BO29,$FL$3:$GQ$3=$BD30,0))))</f>
        <v>0</v>
      </c>
      <c r="BV29" s="4">
        <f>BK29</f>
        <v>0</v>
      </c>
      <c r="BW29" s="4">
        <f>BI29</f>
        <v>0</v>
      </c>
      <c r="BX29" s="4">
        <f ca="1">(BP29/10)+(BQ29/100)+(BR29/1000)+(BT29/10000)+(BU29/100000)+(BV29/1000000)+(BW29/10000000)+(ROW(BS32)/100000000)</f>
        <v>3.2000000000000001E-7</v>
      </c>
      <c r="BY29" s="4">
        <f ca="1">+BO29-BX29</f>
        <v>0.99999967999999995</v>
      </c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U29" s="4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4"/>
      <c r="EC29" s="4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4"/>
      <c r="FK29" s="4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37"/>
      <c r="GM29" s="37"/>
      <c r="GN29" s="37"/>
      <c r="GO29" s="37"/>
      <c r="GP29" s="37"/>
      <c r="GQ29" s="37"/>
      <c r="GR29" s="75"/>
      <c r="GS29" s="148"/>
      <c r="GT29" s="157"/>
      <c r="GU29" s="75"/>
      <c r="GV29" s="75"/>
      <c r="GW29" s="75"/>
      <c r="GX29" s="75"/>
      <c r="GY29" s="75"/>
      <c r="GZ29" s="75"/>
    </row>
    <row r="30" spans="1:221" s="11" customFormat="1" ht="30" customHeight="1" x14ac:dyDescent="0.25">
      <c r="A30" s="20"/>
      <c r="B30" s="122">
        <v>27</v>
      </c>
      <c r="C30" s="122" t="s">
        <v>5</v>
      </c>
      <c r="D30" s="123">
        <v>45467</v>
      </c>
      <c r="E30" s="122" t="s">
        <v>85</v>
      </c>
      <c r="F30" s="124">
        <v>0.875</v>
      </c>
      <c r="G30" s="125">
        <f t="shared" si="11"/>
        <v>45467.625</v>
      </c>
      <c r="H30" s="122" t="s">
        <v>115</v>
      </c>
      <c r="I30" s="126"/>
      <c r="J30" s="118"/>
      <c r="K30" s="118"/>
      <c r="L30" s="174">
        <f>IF(I30="",0,IFERROR(IF(SCORING.RULES!$C$8="No",1,((VLOOKUP($B30,ACTUALS!$B$4:$L$100,7,FALSE)=$H30)+(VLOOKUP($B30,ACTUALS!$B$4:$L$100,7,FALSE)=S30)))*(M30+N30+O30+P30+Q30),0))+$R30</f>
        <v>0</v>
      </c>
      <c r="M30" s="168">
        <f>IFERROR(IF($B30="","",IF(U30=INDEX(ACTUALS!$AA$4:$AA$100,MATCH($B30,ACTUALS!$B$4:$B$100,0),1),CorrectScore,0)),0)</f>
        <v>0</v>
      </c>
      <c r="N30" s="157" t="str">
        <f>IFERROR(IF(I30="","",IF(INDEX(ACTUALS!$AB$4:$AB$100,MATCH($B30,ACTUALS!$B$4:$B$100,0),1)=(AB30+AC30+AH30+AI30),CorrectNumberofGoals,0)),0)</f>
        <v/>
      </c>
      <c r="O30" s="157"/>
      <c r="P30" s="157">
        <f>IFERROR(IF(B30="","",IF(INDEX(ACTUALS!$L$4:$L$100,MATCH($B30,ACTUALS!$B$4:$B$100,0),1)=W30,CorrectResult,0)),0)</f>
        <v>3</v>
      </c>
      <c r="Q30" s="157"/>
      <c r="R30" s="157"/>
      <c r="S30" s="157" t="str">
        <f t="shared" si="0"/>
        <v/>
      </c>
      <c r="T30" s="157"/>
      <c r="U30" s="157" t="str">
        <f t="shared" si="1"/>
        <v/>
      </c>
      <c r="V30" s="157" t="str">
        <f t="shared" si="2"/>
        <v/>
      </c>
      <c r="W30" s="119" t="str">
        <f>IF(tblActuals354[[#This Row],[SCORE]]="","",IF(AB30=AC30,"Draw",IF(AB30&gt;AC30,X30,Y30)))</f>
        <v/>
      </c>
      <c r="X30" s="120" t="str">
        <f>IF(tblActuals354[[#This Row],[TEAMS]]="","",LEFT(H30,FIND(" -",H30,1)-1))</f>
        <v>Albania</v>
      </c>
      <c r="Y30" s="120" t="str">
        <f>IF(tblActuals354[[#This Row],[TEAMS]]="","",MID(H30,FIND("-",H30,1)+2,LEN(H30)-FIND("-",H30,1)+2))</f>
        <v>Spain</v>
      </c>
      <c r="Z30" s="120" t="str">
        <f>IF(tblActuals354[[#This Row],[Team 1 Goals]]&gt;tblActuals354[[#This Row],[Team 2 Goals]],tblActuals354[[#This Row],[Team 1]],IF(tblActuals354[[#This Row],[Team 2 Goals]]&gt;tblActuals354[[#This Row],[Team 1 Goals]],tblActuals354[[#This Row],[Team 2]],""))</f>
        <v/>
      </c>
      <c r="AA30" s="120" t="str">
        <f>IF(tblActuals354[[#This Row],[Winner]]=tblActuals354[[#This Row],[Team 1]],tblActuals354[[#This Row],[Team 2]],IF(tblActuals354[[#This Row],[Winner]]=tblActuals354[[#This Row],[Team 2]],tblActuals354[[#This Row],[Team 1]],""))</f>
        <v/>
      </c>
      <c r="AB30" s="120" t="str">
        <f>IF(tblActuals354[[#This Row],[SCORE]]="","",LEFT(I30,FIND(":",I30,1)-1)*1)</f>
        <v/>
      </c>
      <c r="AC30" s="120" t="str">
        <f>IF(tblActuals354[[#This Row],[SCORE]]="","",MID(I30,FIND(":",I30,1)+1,LEN(I30)-FIND(":",I30,1)+1)*1)</f>
        <v/>
      </c>
      <c r="AD30" s="120" t="str">
        <f>IF(OR(tblActuals354[[#This Row],[Team 1 Goals]]="",tblActuals354[[#This Row],[Team 2 Goals]]=""),"",tblActuals354[[#This Row],[Team 1 Goals]]-tblActuals354[[#This Row],[Team 2 Goals]])</f>
        <v/>
      </c>
      <c r="AE30" s="120" t="str">
        <f>IF(OR(tblActuals354[[#This Row],[Team 1 Goals]]="",tblActuals354[[#This Row],[Team 2 Goals]]=""),"",tblActuals354[[#This Row],[Team 2 Goals]]-tblActuals354[[#This Row],[Team 1 Goals]])</f>
        <v/>
      </c>
      <c r="AF30" s="120" t="str">
        <f>IF(tblActuals354[[#This Row],[SCORE]]="","",IF(tblActuals354[[#This Row],[WINNER / RESULT]]="Draw",1,IF(tblActuals354[[#This Row],[WINNER / RESULT]]=tblActuals354[[#This Row],[Team 1]],3,0)))</f>
        <v/>
      </c>
      <c r="AG30" s="120" t="str">
        <f>IF(tblActuals354[[#This Row],[SCORE]]="","",IF(tblActuals354[[#This Row],[WINNER / RESULT]]="Draw",1,IF(tblActuals354[[#This Row],[WINNER / RESULT]]=tblActuals354[[#This Row],[Team 2]],3,0)))</f>
        <v/>
      </c>
      <c r="AH30" s="121"/>
      <c r="AI30" s="121"/>
      <c r="AJ30" s="121"/>
      <c r="AK30" s="121"/>
      <c r="AL30" s="120" t="e">
        <f>tblActuals354[[#This Row],[Team 1 Goals]]+tblActuals354[[#This Row],[Team 1 ET Goals]]&amp;":"&amp;tblActuals354[[#This Row],[Team 2 Goals]]+tblActuals354[[#This Row],[Team 2 ET Goals]]</f>
        <v>#VALUE!</v>
      </c>
      <c r="AM30" s="120" t="e">
        <f>+tblActuals354[[#This Row],[Team 1 Goals]]+tblActuals354[[#This Row],[Team 2 Goals]]</f>
        <v>#VALUE!</v>
      </c>
      <c r="AN30" s="161">
        <f t="shared" si="3"/>
        <v>45467</v>
      </c>
      <c r="AT30" s="77" t="s">
        <v>12</v>
      </c>
      <c r="AU30" s="136">
        <v>1</v>
      </c>
      <c r="AV30" s="137" t="str">
        <f ca="1">IFERROR(INDEX(BD:BD,MATCH("1"&amp;AT30,BN:BN,0),1),"")</f>
        <v>Belgium</v>
      </c>
      <c r="AW30" s="137" t="str">
        <f ca="1">IF(AV30="","",VLOOKUP(AV30,BD:BI,2,FALSE)&amp;"-"&amp;VLOOKUP(AV30,BD:BI,3,FALSE)&amp;"-"&amp;VLOOKUP(AV30,BD:BI,4,FALSE))</f>
        <v>0-0-0</v>
      </c>
      <c r="AX30" s="137">
        <f ca="1">IF(AV30="","",VLOOKUP(AV30,BD:BK,8,FALSE))</f>
        <v>0</v>
      </c>
      <c r="AY30" s="138">
        <f ca="1">IF(AV30="","",VLOOKUP(AV30,BD:BN,5,FALSE))</f>
        <v>0</v>
      </c>
      <c r="AZ30" s="75"/>
      <c r="BA30" s="4"/>
      <c r="BB30" s="4"/>
      <c r="BC30" s="4" t="s">
        <v>45</v>
      </c>
      <c r="BD30" s="4" t="s">
        <v>134</v>
      </c>
      <c r="BE30" s="4">
        <f>COUNTIF(tblActuals354[Winner],BD30)</f>
        <v>0</v>
      </c>
      <c r="BF30" s="4">
        <f>COUNTIFS(tblActuals354[Team 2],BD30,tblActuals354[WINNER / RESULT],"Draw")+COUNTIFS(tblActuals354[Team 1],BD30,tblActuals354[WINNER / RESULT],"Draw")</f>
        <v>0</v>
      </c>
      <c r="BG30" s="4">
        <f>COUNTIF(tblActuals354[Loser],BD30)</f>
        <v>0</v>
      </c>
      <c r="BH30" s="4">
        <f>BF30+(3*BE30)</f>
        <v>0</v>
      </c>
      <c r="BI30" s="4">
        <f>SUMIFS(tblActuals354[Team 1 Goals],tblActuals354[Team 1],BD30)+SUMIFS(tblActuals354[Team 2 Goals],tblActuals354[Team 2],BD30)</f>
        <v>0</v>
      </c>
      <c r="BJ30" s="4">
        <f>SUMIFS(tblActuals354[Team 2 Goals],tblActuals354[Team 1],BD30)+SUMIFS(tblActuals354[Team 1 Goals],tblActuals354[Team 2],BD30)</f>
        <v>0</v>
      </c>
      <c r="BK30" s="4">
        <f>BI30-BJ30</f>
        <v>0</v>
      </c>
      <c r="BL30" s="4">
        <f ca="1">RANK(BY30,$BY$29:$BY$32,1)</f>
        <v>2</v>
      </c>
      <c r="BM30" s="4" t="str">
        <f t="shared" si="4"/>
        <v/>
      </c>
      <c r="BN30" s="4" t="str">
        <f ca="1">IF(BM30="",BL30&amp;BC30,BM30&amp;BC30)</f>
        <v>2F</v>
      </c>
      <c r="BO30" s="4">
        <f>RANK(BH30,$BH$29:$BH$32,0)</f>
        <v>1</v>
      </c>
      <c r="BP30" s="4" cm="1">
        <f t="array" aca="1" ref="BP30" ca="1">SUMPRODUCT((OFFSET($CV$3:$EA$3,MATCH($BD30,$CU$4:$CU$35,0),0))*((IF($BO31=$BO30,$CV$3:$EA$3=$BD31,0))+(IF($BO32=$BO30,$CV$3:$EA$3=$BD32,0))+(IF($BO29=$BO30,$CV$3:$EA$3=$BD29,0))))</f>
        <v>0</v>
      </c>
      <c r="BQ30" s="4" cm="1">
        <f t="array" aca="1" ref="BQ30" ca="1">SUMPRODUCT((OFFSET($ED$3:$FI$3,MATCH($BD30,$EC$4:$EC$35,0),0))*((IF($BO31=$BO30,$ED$3:$FI$3=$BD31,0))+(IF($BO32=$BO30,$ED$3:$FI$3=$BD32,0))+(IF($BO29=$BO30,$ED$3:$FI$3=$BD29,0))))</f>
        <v>0</v>
      </c>
      <c r="BR30" s="4" cm="1">
        <f t="array" aca="1" ref="BR30" ca="1">SUMPRODUCT((OFFSET($FL$3:$GQ$3,MATCH($BD30,$FK$4:$FK$35,0),0))*((IF($BO31=$BO30,$FL$3:$GQ$3=$BD31,0))+(IF($BO32=$BO30,$FL$3:$GQ$3=$BD32,0))+(IF($BO29=$BO30,$FL$3:$GQ$3=$BD29,0))))</f>
        <v>0</v>
      </c>
      <c r="BS30" s="4" cm="1">
        <f t="array" aca="1" ref="BS30" ca="1">SUMPRODUCT((OFFSET($CV$3:$EA$3,MATCH($BD30,$CU$4:$CU$35,0),0))*((IF($BO31&lt;&gt;$BO30,$CV$3:$EA$3=$BD31,0))+(IF($BO32&lt;&gt;$BO30,$CV$3:$EA$3=$BD32,0))+(IF($BO29&lt;&gt;$BO30,$CV$3:$EA$3=$BD29,0))))</f>
        <v>0</v>
      </c>
      <c r="BT30" s="4" cm="1">
        <f t="array" aca="1" ref="BT30" ca="1">SUMPRODUCT((OFFSET($ED$3:$FI$3,MATCH($BD30,$EC$4:$EC$35,0),0))*((IF($BO31&lt;&gt;$BO30,$ED$3:$FI$3=$BD31,0))+(IF($BO32&lt;&gt;$BO30,$ED$3:$FI$3=$BD32,0))+(IF($BO29&lt;&gt;$BO30,$ED$3:$FI$3=$BD29,0))))</f>
        <v>0</v>
      </c>
      <c r="BU30" s="4" cm="1">
        <f t="array" aca="1" ref="BU30" ca="1">SUMPRODUCT((OFFSET($FL$3:$GQ$3,MATCH($BD30,$FK$4:$FK$35,0),0))*((IF($BO31&lt;&gt;$BO30,$FL$3:$GQ$3=$BD31,0))+(IF($BO32&lt;&gt;$BO30,$FL$3:$GQ$3=$BD32,0))+(IF($BO29&lt;&gt;$BO30,$FL$3:$GQ$3=$BD29,0))))</f>
        <v>0</v>
      </c>
      <c r="BV30" s="4">
        <f>BK30</f>
        <v>0</v>
      </c>
      <c r="BW30" s="4">
        <f>BI30</f>
        <v>0</v>
      </c>
      <c r="BX30" s="4">
        <f ca="1">(BP30/10)+(BQ30/100)+(BR30/1000)+(BT30/10000)+(BU30/100000)+(BV30/1000000)+(BW30/10000000)+(ROW(BS31)/100000000)</f>
        <v>3.1E-7</v>
      </c>
      <c r="BY30" s="4">
        <f ca="1">+BO30-BX30</f>
        <v>0.99999969</v>
      </c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U30" s="4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4"/>
      <c r="EC30" s="4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4"/>
      <c r="FK30" s="4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37"/>
      <c r="GM30" s="37"/>
      <c r="GN30" s="37"/>
      <c r="GO30" s="37"/>
      <c r="GP30" s="37"/>
      <c r="GQ30" s="37"/>
      <c r="GR30" s="75"/>
      <c r="GS30" s="148"/>
      <c r="GT30" s="157"/>
      <c r="GU30" s="75"/>
      <c r="GV30" s="75"/>
      <c r="GW30" s="75"/>
      <c r="GX30" s="75"/>
      <c r="GY30" s="75"/>
      <c r="GZ30" s="75"/>
      <c r="HA30" s="97" t="str">
        <f>_xlfn.CONCAT(A9,A10,A11,A12,A13,A14,A15,A16)</f>
        <v/>
      </c>
    </row>
    <row r="31" spans="1:221" s="11" customFormat="1" ht="30" customHeight="1" x14ac:dyDescent="0.25">
      <c r="A31" s="20"/>
      <c r="B31" s="122">
        <v>28</v>
      </c>
      <c r="C31" s="122" t="s">
        <v>5</v>
      </c>
      <c r="D31" s="123">
        <v>45467</v>
      </c>
      <c r="E31" s="122" t="s">
        <v>87</v>
      </c>
      <c r="F31" s="124">
        <v>0.875</v>
      </c>
      <c r="G31" s="125">
        <f t="shared" si="11"/>
        <v>45467.625</v>
      </c>
      <c r="H31" s="122" t="s">
        <v>116</v>
      </c>
      <c r="I31" s="126"/>
      <c r="J31" s="118"/>
      <c r="K31" s="118"/>
      <c r="L31" s="174">
        <f>IF(I31="",0,IFERROR(IF(SCORING.RULES!$C$8="No",1,((VLOOKUP($B31,ACTUALS!$B$4:$L$100,7,FALSE)=$H31)+(VLOOKUP($B31,ACTUALS!$B$4:$L$100,7,FALSE)=S31)))*(M31+N31+O31+P31+Q31),0))+$R31</f>
        <v>0</v>
      </c>
      <c r="M31" s="168">
        <f>IFERROR(IF($B31="","",IF(U31=INDEX(ACTUALS!$AA$4:$AA$100,MATCH($B31,ACTUALS!$B$4:$B$100,0),1),CorrectScore,0)),0)</f>
        <v>0</v>
      </c>
      <c r="N31" s="157" t="str">
        <f>IFERROR(IF(I31="","",IF(INDEX(ACTUALS!$AB$4:$AB$100,MATCH($B31,ACTUALS!$B$4:$B$100,0),1)=(AB31+AC31+AH31+AI31),CorrectNumberofGoals,0)),0)</f>
        <v/>
      </c>
      <c r="O31" s="157"/>
      <c r="P31" s="157">
        <f>IFERROR(IF(B31="","",IF(INDEX(ACTUALS!$L$4:$L$100,MATCH($B31,ACTUALS!$B$4:$B$100,0),1)=W31,CorrectResult,0)),0)</f>
        <v>3</v>
      </c>
      <c r="Q31" s="157"/>
      <c r="R31" s="157"/>
      <c r="S31" s="157" t="str">
        <f t="shared" si="0"/>
        <v/>
      </c>
      <c r="T31" s="157"/>
      <c r="U31" s="157" t="str">
        <f t="shared" si="1"/>
        <v/>
      </c>
      <c r="V31" s="157" t="str">
        <f t="shared" si="2"/>
        <v/>
      </c>
      <c r="W31" s="119" t="str">
        <f>IF(tblActuals354[[#This Row],[SCORE]]="","",IF(AB31=AC31,"Draw",IF(AB31&gt;AC31,X31,Y31)))</f>
        <v/>
      </c>
      <c r="X31" s="120" t="str">
        <f>IF(tblActuals354[[#This Row],[TEAMS]]="","",LEFT(H31,FIND(" -",H31,1)-1))</f>
        <v>Croatia</v>
      </c>
      <c r="Y31" s="120" t="str">
        <f>IF(tblActuals354[[#This Row],[TEAMS]]="","",MID(H31,FIND("-",H31,1)+2,LEN(H31)-FIND("-",H31,1)+2))</f>
        <v>Italy</v>
      </c>
      <c r="Z31" s="120" t="str">
        <f>IF(tblActuals354[[#This Row],[Team 1 Goals]]&gt;tblActuals354[[#This Row],[Team 2 Goals]],tblActuals354[[#This Row],[Team 1]],IF(tblActuals354[[#This Row],[Team 2 Goals]]&gt;tblActuals354[[#This Row],[Team 1 Goals]],tblActuals354[[#This Row],[Team 2]],""))</f>
        <v/>
      </c>
      <c r="AA31" s="120" t="str">
        <f>IF(tblActuals354[[#This Row],[Winner]]=tblActuals354[[#This Row],[Team 1]],tblActuals354[[#This Row],[Team 2]],IF(tblActuals354[[#This Row],[Winner]]=tblActuals354[[#This Row],[Team 2]],tblActuals354[[#This Row],[Team 1]],""))</f>
        <v/>
      </c>
      <c r="AB31" s="120" t="str">
        <f>IF(tblActuals354[[#This Row],[SCORE]]="","",LEFT(I31,FIND(":",I31,1)-1)*1)</f>
        <v/>
      </c>
      <c r="AC31" s="120" t="str">
        <f>IF(tblActuals354[[#This Row],[SCORE]]="","",MID(I31,FIND(":",I31,1)+1,LEN(I31)-FIND(":",I31,1)+1)*1)</f>
        <v/>
      </c>
      <c r="AD31" s="120" t="str">
        <f>IF(OR(tblActuals354[[#This Row],[Team 1 Goals]]="",tblActuals354[[#This Row],[Team 2 Goals]]=""),"",tblActuals354[[#This Row],[Team 1 Goals]]-tblActuals354[[#This Row],[Team 2 Goals]])</f>
        <v/>
      </c>
      <c r="AE31" s="120" t="str">
        <f>IF(OR(tblActuals354[[#This Row],[Team 1 Goals]]="",tblActuals354[[#This Row],[Team 2 Goals]]=""),"",tblActuals354[[#This Row],[Team 2 Goals]]-tblActuals354[[#This Row],[Team 1 Goals]])</f>
        <v/>
      </c>
      <c r="AF31" s="120" t="str">
        <f>IF(tblActuals354[[#This Row],[SCORE]]="","",IF(tblActuals354[[#This Row],[WINNER / RESULT]]="Draw",1,IF(tblActuals354[[#This Row],[WINNER / RESULT]]=tblActuals354[[#This Row],[Team 1]],3,0)))</f>
        <v/>
      </c>
      <c r="AG31" s="120" t="str">
        <f>IF(tblActuals354[[#This Row],[SCORE]]="","",IF(tblActuals354[[#This Row],[WINNER / RESULT]]="Draw",1,IF(tblActuals354[[#This Row],[WINNER / RESULT]]=tblActuals354[[#This Row],[Team 2]],3,0)))</f>
        <v/>
      </c>
      <c r="AH31" s="121"/>
      <c r="AI31" s="121"/>
      <c r="AJ31" s="121"/>
      <c r="AK31" s="121"/>
      <c r="AL31" s="120" t="e">
        <f>tblActuals354[[#This Row],[Team 1 Goals]]+tblActuals354[[#This Row],[Team 1 ET Goals]]&amp;":"&amp;tblActuals354[[#This Row],[Team 2 Goals]]+tblActuals354[[#This Row],[Team 2 ET Goals]]</f>
        <v>#VALUE!</v>
      </c>
      <c r="AM31" s="120" t="e">
        <f>+tblActuals354[[#This Row],[Team 1 Goals]]+tblActuals354[[#This Row],[Team 2 Goals]]</f>
        <v>#VALUE!</v>
      </c>
      <c r="AN31" s="161">
        <f t="shared" si="3"/>
        <v>45467</v>
      </c>
      <c r="AT31" s="77" t="s">
        <v>12</v>
      </c>
      <c r="AU31" s="139">
        <v>2</v>
      </c>
      <c r="AV31" s="140" t="str">
        <f ca="1">IFERROR(INDEX(BD:BD,MATCH("2"&amp;AT31,BN:BN,0),1),"")</f>
        <v>Romania</v>
      </c>
      <c r="AW31" s="140" t="str">
        <f ca="1">IF(AV31="","",VLOOKUP(AV31,BD:BI,2,FALSE)&amp;"-"&amp;VLOOKUP(AV31,BD:BI,3,FALSE)&amp;"-"&amp;VLOOKUP(AV31,BD:BI,4,FALSE))</f>
        <v>0-0-0</v>
      </c>
      <c r="AX31" s="140">
        <f ca="1">IF(AV31="","",VLOOKUP(AV31,BD:BK,8,FALSE))</f>
        <v>0</v>
      </c>
      <c r="AY31" s="141">
        <f ca="1">IF(AV31="","",VLOOKUP(AV31,BD:BN,5,FALSE))</f>
        <v>0</v>
      </c>
      <c r="AZ31" s="75"/>
      <c r="BA31" s="4"/>
      <c r="BB31" s="4"/>
      <c r="BC31" s="4" t="s">
        <v>45</v>
      </c>
      <c r="BD31" s="4" t="s">
        <v>30</v>
      </c>
      <c r="BE31" s="4">
        <f>COUNTIF(tblActuals354[Winner],BD31)</f>
        <v>0</v>
      </c>
      <c r="BF31" s="4">
        <f>COUNTIFS(tblActuals354[Team 2],BD31,tblActuals354[WINNER / RESULT],"Draw")+COUNTIFS(tblActuals354[Team 1],BD31,tblActuals354[WINNER / RESULT],"Draw")</f>
        <v>0</v>
      </c>
      <c r="BG31" s="4">
        <f>COUNTIF(tblActuals354[Loser],BD31)</f>
        <v>0</v>
      </c>
      <c r="BH31" s="4">
        <f>BF31+(3*BE31)</f>
        <v>0</v>
      </c>
      <c r="BI31" s="4">
        <f>SUMIFS(tblActuals354[Team 1 Goals],tblActuals354[Team 1],BD31)+SUMIFS(tblActuals354[Team 2 Goals],tblActuals354[Team 2],BD31)</f>
        <v>0</v>
      </c>
      <c r="BJ31" s="4">
        <f>SUMIFS(tblActuals354[Team 2 Goals],tblActuals354[Team 1],BD31)+SUMIFS(tblActuals354[Team 1 Goals],tblActuals354[Team 2],BD31)</f>
        <v>0</v>
      </c>
      <c r="BK31" s="4">
        <f>BI31-BJ31</f>
        <v>0</v>
      </c>
      <c r="BL31" s="4">
        <f ca="1">RANK(BY31,$BY$29:$BY$32,1)</f>
        <v>3</v>
      </c>
      <c r="BM31" s="4" t="str">
        <f t="shared" si="4"/>
        <v/>
      </c>
      <c r="BN31" s="4" t="str">
        <f ca="1">IF(BM31="",BL31&amp;BC31,BM31&amp;BC31)</f>
        <v>3F</v>
      </c>
      <c r="BO31" s="4">
        <f>RANK(BH31,$BH$29:$BH$32,0)</f>
        <v>1</v>
      </c>
      <c r="BP31" s="4" cm="1">
        <f t="array" aca="1" ref="BP31" ca="1">SUMPRODUCT((OFFSET($CV$3:$EA$3,MATCH($BD31,$CU$4:$CU$35,0),0))*((IF($BO29=$BO31,$CV$3:$EA$3=$BD29,0))+(IF($BO32=$BO31,$CV$3:$EA$3=$BD32,0))+(IF($BO30=$BO31,$CV$3:$EA$3=$BD30,0))))</f>
        <v>0</v>
      </c>
      <c r="BQ31" s="4" cm="1">
        <f t="array" aca="1" ref="BQ31" ca="1">SUMPRODUCT((OFFSET($ED$3:$FI$3,MATCH($BD31,$EC$4:$EC$35,0),0))*((IF($BO29=$BO31,$ED$3:$FI$3=$BD29,0))+(IF($BO32=$BO31,$ED$3:$FI$3=$BD32,0))+(IF($BO30=$BO31,$ED$3:$FI$3=$BD30,0))))</f>
        <v>0</v>
      </c>
      <c r="BR31" s="4" cm="1">
        <f t="array" aca="1" ref="BR31" ca="1">SUMPRODUCT((OFFSET($FL$3:$GQ$3,MATCH($BD31,$FK$4:$FK$35,0),0))*((IF($BO29=$BO31,$FL$3:$GQ$3=$BD29,0))+(IF($BO32=$BO31,$FL$3:$GQ$3=$BD32,0))+(IF($BO30=$BO31,$FL$3:$GQ$3=$BD30,0))))</f>
        <v>0</v>
      </c>
      <c r="BS31" s="4" cm="1">
        <f t="array" aca="1" ref="BS31" ca="1">SUMPRODUCT((OFFSET($CV$3:$EA$3,MATCH($BD31,$CU$4:$CU$35,0),0))*((IF($BO29&lt;&gt;$BO31,$CV$3:$EA$3=$BD29,0))+(IF($BO32&lt;&gt;$BO31,$CV$3:$EA$3=$BD32,0))+(IF($BO30&lt;&gt;$BO31,$CV$3:$EA$3=$BD30,0))))</f>
        <v>0</v>
      </c>
      <c r="BT31" s="4" cm="1">
        <f t="array" aca="1" ref="BT31" ca="1">SUMPRODUCT((OFFSET($ED$3:$FI$3,MATCH($BD31,$EC$4:$EC$35,0),0))*((IF($BO29&lt;&gt;$BO31,$ED$3:$FI$3=$BD29,0))+(IF($BO32&lt;&gt;$BO31,$ED$3:$FI$3=$BD32,0))+(IF($BO30&lt;&gt;$BO31,$ED$3:$FI$3=$BD30,0))))</f>
        <v>0</v>
      </c>
      <c r="BU31" s="4" cm="1">
        <f t="array" aca="1" ref="BU31" ca="1">SUMPRODUCT((OFFSET($FL$3:$GQ$3,MATCH($BD31,$FK$4:$FK$35,0),0))*((IF($BO29&lt;&gt;$BO31,$FL$3:$GQ$3=$BD29,0))+(IF($BO32&lt;&gt;$BO31,$FL$3:$GQ$3=$BD32,0))+(IF($BO30&lt;&gt;$BO31,$FL$3:$GQ$3=$BD30,0))))</f>
        <v>0</v>
      </c>
      <c r="BV31" s="4">
        <f>BK31</f>
        <v>0</v>
      </c>
      <c r="BW31" s="4">
        <f>BI31</f>
        <v>0</v>
      </c>
      <c r="BX31" s="4">
        <f ca="1">(BP31/10)+(BQ31/100)+(BR31/1000)+(BT31/10000)+(BU31/100000)+(BV31/1000000)+(BW31/10000000)+(ROW(BS30)/100000000)</f>
        <v>2.9999999999999999E-7</v>
      </c>
      <c r="BY31" s="4">
        <f ca="1">+BO31-BX31</f>
        <v>0.99999970000000005</v>
      </c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U31" s="4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4"/>
      <c r="EC31" s="4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4"/>
      <c r="FK31" s="4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37"/>
      <c r="GM31" s="37"/>
      <c r="GN31" s="37"/>
      <c r="GO31" s="37"/>
      <c r="GP31" s="37"/>
      <c r="GQ31" s="37"/>
      <c r="GR31" s="75"/>
      <c r="GS31" s="157"/>
      <c r="GT31" s="157"/>
      <c r="GU31" s="75"/>
      <c r="GV31" s="75"/>
      <c r="GW31" s="75"/>
      <c r="GX31" s="75"/>
      <c r="GY31" s="75"/>
      <c r="GZ31" s="75"/>
    </row>
    <row r="32" spans="1:221" s="11" customFormat="1" ht="30" customHeight="1" x14ac:dyDescent="0.25">
      <c r="A32" s="20"/>
      <c r="B32" s="122">
        <v>29</v>
      </c>
      <c r="C32" s="122" t="s">
        <v>6</v>
      </c>
      <c r="D32" s="123">
        <v>45468</v>
      </c>
      <c r="E32" s="122" t="s">
        <v>79</v>
      </c>
      <c r="F32" s="124">
        <v>0.875</v>
      </c>
      <c r="G32" s="125">
        <f t="shared" si="11"/>
        <v>45468.625</v>
      </c>
      <c r="H32" s="122" t="s">
        <v>117</v>
      </c>
      <c r="I32" s="126"/>
      <c r="J32" s="118"/>
      <c r="K32" s="118"/>
      <c r="L32" s="174">
        <f>IF(I32="",0,IFERROR(IF(SCORING.RULES!$C$8="No",1,((VLOOKUP($B32,ACTUALS!$B$4:$L$100,7,FALSE)=$H32)+(VLOOKUP($B32,ACTUALS!$B$4:$L$100,7,FALSE)=S32)))*(M32+N32+O32+P32+Q32),0))+$R32</f>
        <v>0</v>
      </c>
      <c r="M32" s="168">
        <f>IFERROR(IF($B32="","",IF(U32=INDEX(ACTUALS!$AA$4:$AA$100,MATCH($B32,ACTUALS!$B$4:$B$100,0),1),CorrectScore,0)),0)</f>
        <v>0</v>
      </c>
      <c r="N32" s="157" t="str">
        <f>IFERROR(IF(I32="","",IF(INDEX(ACTUALS!$AB$4:$AB$100,MATCH($B32,ACTUALS!$B$4:$B$100,0),1)=(AB32+AC32+AH32+AI32),CorrectNumberofGoals,0)),0)</f>
        <v/>
      </c>
      <c r="O32" s="157"/>
      <c r="P32" s="157">
        <f>IFERROR(IF(B32="","",IF(INDEX(ACTUALS!$L$4:$L$100,MATCH($B32,ACTUALS!$B$4:$B$100,0),1)=W32,CorrectResult,0)),0)</f>
        <v>3</v>
      </c>
      <c r="Q32" s="157"/>
      <c r="R32" s="157"/>
      <c r="S32" s="157" t="str">
        <f t="shared" si="0"/>
        <v/>
      </c>
      <c r="T32" s="157"/>
      <c r="U32" s="157" t="str">
        <f t="shared" si="1"/>
        <v/>
      </c>
      <c r="V32" s="157" t="str">
        <f t="shared" si="2"/>
        <v/>
      </c>
      <c r="W32" s="119" t="str">
        <f>IF(tblActuals354[[#This Row],[SCORE]]="","",IF(AB32=AC32,"Draw",IF(AB32&gt;AC32,X32,Y32)))</f>
        <v/>
      </c>
      <c r="X32" s="120" t="str">
        <f>IF(tblActuals354[[#This Row],[TEAMS]]="","",LEFT(H32,FIND(" -",H32,1)-1))</f>
        <v>England</v>
      </c>
      <c r="Y32" s="120" t="str">
        <f>IF(tblActuals354[[#This Row],[TEAMS]]="","",MID(H32,FIND("-",H32,1)+2,LEN(H32)-FIND("-",H32,1)+2))</f>
        <v>Slovenia</v>
      </c>
      <c r="Z32" s="120" t="str">
        <f>IF(tblActuals354[[#This Row],[Team 1 Goals]]&gt;tblActuals354[[#This Row],[Team 2 Goals]],tblActuals354[[#This Row],[Team 1]],IF(tblActuals354[[#This Row],[Team 2 Goals]]&gt;tblActuals354[[#This Row],[Team 1 Goals]],tblActuals354[[#This Row],[Team 2]],""))</f>
        <v/>
      </c>
      <c r="AA32" s="120" t="str">
        <f>IF(tblActuals354[[#This Row],[Winner]]=tblActuals354[[#This Row],[Team 1]],tblActuals354[[#This Row],[Team 2]],IF(tblActuals354[[#This Row],[Winner]]=tblActuals354[[#This Row],[Team 2]],tblActuals354[[#This Row],[Team 1]],""))</f>
        <v/>
      </c>
      <c r="AB32" s="120" t="str">
        <f>IF(tblActuals354[[#This Row],[SCORE]]="","",LEFT(I32,FIND(":",I32,1)-1)*1)</f>
        <v/>
      </c>
      <c r="AC32" s="120" t="str">
        <f>IF(tblActuals354[[#This Row],[SCORE]]="","",MID(I32,FIND(":",I32,1)+1,LEN(I32)-FIND(":",I32,1)+1)*1)</f>
        <v/>
      </c>
      <c r="AD32" s="120" t="str">
        <f>IF(OR(tblActuals354[[#This Row],[Team 1 Goals]]="",tblActuals354[[#This Row],[Team 2 Goals]]=""),"",tblActuals354[[#This Row],[Team 1 Goals]]-tblActuals354[[#This Row],[Team 2 Goals]])</f>
        <v/>
      </c>
      <c r="AE32" s="120" t="str">
        <f>IF(OR(tblActuals354[[#This Row],[Team 1 Goals]]="",tblActuals354[[#This Row],[Team 2 Goals]]=""),"",tblActuals354[[#This Row],[Team 2 Goals]]-tblActuals354[[#This Row],[Team 1 Goals]])</f>
        <v/>
      </c>
      <c r="AF32" s="120" t="str">
        <f>IF(tblActuals354[[#This Row],[SCORE]]="","",IF(tblActuals354[[#This Row],[WINNER / RESULT]]="Draw",1,IF(tblActuals354[[#This Row],[WINNER / RESULT]]=tblActuals354[[#This Row],[Team 1]],3,0)))</f>
        <v/>
      </c>
      <c r="AG32" s="120" t="str">
        <f>IF(tblActuals354[[#This Row],[SCORE]]="","",IF(tblActuals354[[#This Row],[WINNER / RESULT]]="Draw",1,IF(tblActuals354[[#This Row],[WINNER / RESULT]]=tblActuals354[[#This Row],[Team 2]],3,0)))</f>
        <v/>
      </c>
      <c r="AH32" s="121"/>
      <c r="AI32" s="121"/>
      <c r="AJ32" s="121"/>
      <c r="AK32" s="121"/>
      <c r="AL32" s="120" t="e">
        <f>tblActuals354[[#This Row],[Team 1 Goals]]+tblActuals354[[#This Row],[Team 1 ET Goals]]&amp;":"&amp;tblActuals354[[#This Row],[Team 2 Goals]]+tblActuals354[[#This Row],[Team 2 ET Goals]]</f>
        <v>#VALUE!</v>
      </c>
      <c r="AM32" s="120" t="e">
        <f>+tblActuals354[[#This Row],[Team 1 Goals]]+tblActuals354[[#This Row],[Team 2 Goals]]</f>
        <v>#VALUE!</v>
      </c>
      <c r="AN32" s="161">
        <f t="shared" si="3"/>
        <v>45468</v>
      </c>
      <c r="AT32" s="77" t="s">
        <v>12</v>
      </c>
      <c r="AU32" s="142">
        <v>3</v>
      </c>
      <c r="AV32" s="143" t="str">
        <f ca="1">IFERROR(INDEX(BD:BD,MATCH("3"&amp;AT32,BN:BN,0),1),"")</f>
        <v>Slovakia</v>
      </c>
      <c r="AW32" s="143" t="str">
        <f ca="1">IF(AV32="","",VLOOKUP(AV32,BD:BI,2,FALSE)&amp;"-"&amp;VLOOKUP(AV32,BD:BI,3,FALSE)&amp;"-"&amp;VLOOKUP(AV32,BD:BI,4,FALSE))</f>
        <v>0-0-0</v>
      </c>
      <c r="AX32" s="143">
        <f ca="1">IF(AV32="","",VLOOKUP(AV32,BD:BK,8,FALSE))</f>
        <v>0</v>
      </c>
      <c r="AY32" s="144">
        <f ca="1">IF(AV32="","",VLOOKUP(AV32,BD:BN,5,FALSE))</f>
        <v>0</v>
      </c>
      <c r="AZ32" s="75" t="str">
        <f ca="1">IF(INDEX($AU$43:$AU$48,MATCH(AV32,$AV$43:$AV$48,0),1)&lt;=4,"X","")</f>
        <v>X</v>
      </c>
      <c r="BA32" s="4"/>
      <c r="BB32" s="4"/>
      <c r="BC32" s="4" t="s">
        <v>45</v>
      </c>
      <c r="BD32" s="4" t="s">
        <v>133</v>
      </c>
      <c r="BE32" s="4">
        <f>COUNTIF(tblActuals354[Winner],BD32)</f>
        <v>0</v>
      </c>
      <c r="BF32" s="4">
        <f>COUNTIFS(tblActuals354[Team 2],BD32,tblActuals354[WINNER / RESULT],"Draw")+COUNTIFS(tblActuals354[Team 1],BD32,tblActuals354[WINNER / RESULT],"Draw")</f>
        <v>0</v>
      </c>
      <c r="BG32" s="4">
        <f>COUNTIF(tblActuals354[Loser],BD32)</f>
        <v>0</v>
      </c>
      <c r="BH32" s="4">
        <f>BF32+(3*BE32)</f>
        <v>0</v>
      </c>
      <c r="BI32" s="4">
        <f>SUMIFS(tblActuals354[Team 1 Goals],tblActuals354[Team 1],BD32)+SUMIFS(tblActuals354[Team 2 Goals],tblActuals354[Team 2],BD32)</f>
        <v>0</v>
      </c>
      <c r="BJ32" s="4">
        <f>SUMIFS(tblActuals354[Team 2 Goals],tblActuals354[Team 1],BD32)+SUMIFS(tblActuals354[Team 1 Goals],tblActuals354[Team 2],BD32)</f>
        <v>0</v>
      </c>
      <c r="BK32" s="4">
        <f>BI32-BJ32</f>
        <v>0</v>
      </c>
      <c r="BL32" s="4">
        <f ca="1">RANK(BY32,$BY$29:$BY$32,1)</f>
        <v>4</v>
      </c>
      <c r="BM32" s="4" t="str">
        <f t="shared" si="4"/>
        <v/>
      </c>
      <c r="BN32" s="4" t="str">
        <f ca="1">IF(BM32="",BL32&amp;BC32,BM32&amp;BC32)</f>
        <v>4F</v>
      </c>
      <c r="BO32" s="4">
        <f>RANK(BH32,$BH$29:$BH$32,0)</f>
        <v>1</v>
      </c>
      <c r="BP32" s="4" cm="1">
        <f t="array" aca="1" ref="BP32" ca="1">SUMPRODUCT((OFFSET($CV$3:$EA$3,MATCH($BD32,$CU$4:$CU$35,0),0))*((IF($BO30=$BO32,$CV$3:$EA$3=$BD30,0))+(IF($BO29=$BO32,$CV$3:$EA$3=$BD29,0))+(IF($BO31=$BO32,$CV$3:$EA$3=$BD31,0))))</f>
        <v>0</v>
      </c>
      <c r="BQ32" s="4" cm="1">
        <f t="array" aca="1" ref="BQ32" ca="1">SUMPRODUCT((OFFSET($ED$3:$FI$3,MATCH($BD32,$EC$4:$EC$35,0),0))*((IF($BO30=$BO32,$ED$3:$FI$3=$BD30,0))+(IF($BO29=$BO32,$ED$3:$FI$3=$BD29,0))+(IF($BO31=$BO32,$ED$3:$FI$3=$BD31,0))))</f>
        <v>0</v>
      </c>
      <c r="BR32" s="4" cm="1">
        <f t="array" aca="1" ref="BR32" ca="1">SUMPRODUCT((OFFSET($FL$3:$GQ$3,MATCH($BD32,$FK$4:$FK$35,0),0))*((IF($BO30=$BO32,$FL$3:$GQ$3=$BD30,0))+(IF($BO29=$BO32,$FL$3:$GQ$3=$BD29,0))+(IF($BO31=$BO32,$FL$3:$GQ$3=$BD31,0))))</f>
        <v>0</v>
      </c>
      <c r="BS32" s="4" cm="1">
        <f t="array" aca="1" ref="BS32" ca="1">SUMPRODUCT((OFFSET($CV$3:$EA$3,MATCH($BD32,$CU$4:$CU$35,0),0))*((IF($BO30&lt;&gt;$BO32,$CV$3:$EA$3=$BD30,0))+(IF($BO29&lt;&gt;$BO32,$CV$3:$EA$3=$BD29,0))+(IF($BO31&lt;&gt;$BO32,$CV$3:$EA$3=$BD31,0))))</f>
        <v>0</v>
      </c>
      <c r="BT32" s="4" cm="1">
        <f t="array" aca="1" ref="BT32" ca="1">SUMPRODUCT((OFFSET($ED$3:$FI$3,MATCH($BD32,$EC$4:$EC$35,0),0))*((IF($BO30&lt;&gt;$BO32,$ED$3:$FI$3=$BD30,0))+(IF($BO29&lt;&gt;$BO32,$ED$3:$FI$3=$BD29,0))+(IF($BO31&lt;&gt;$BO32,$ED$3:$FI$3=$BD31,0))))</f>
        <v>0</v>
      </c>
      <c r="BU32" s="4" cm="1">
        <f t="array" aca="1" ref="BU32" ca="1">SUMPRODUCT((OFFSET($FL$3:$GQ$3,MATCH($BD32,$FK$4:$FK$35,0),0))*((IF($BO30&lt;&gt;$BO32,$FL$3:$GQ$3=$BD30,0))+(IF($BO29&lt;&gt;$BO32,$FL$3:$GQ$3=$BD29,0))+(IF($BO31&lt;&gt;$BO32,$FL$3:$GQ$3=$BD31,0))))</f>
        <v>0</v>
      </c>
      <c r="BV32" s="4">
        <f>BK32</f>
        <v>0</v>
      </c>
      <c r="BW32" s="4">
        <f>BI32</f>
        <v>0</v>
      </c>
      <c r="BX32" s="4">
        <f ca="1">(BP32/10)+(BQ32/100)+(BR32/1000)+(BT32/10000)+(BU32/100000)+(BV32/1000000)+(BW32/10000000)+(ROW(BS29)/100000000)</f>
        <v>2.8999999999999998E-7</v>
      </c>
      <c r="BY32" s="4">
        <f ca="1">+BO32-BX32</f>
        <v>0.99999970999999999</v>
      </c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U32" s="4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4"/>
      <c r="EC32" s="4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4"/>
      <c r="FK32" s="4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37"/>
      <c r="GM32" s="37"/>
      <c r="GN32" s="37"/>
      <c r="GO32" s="37"/>
      <c r="GP32" s="37"/>
      <c r="GQ32" s="37"/>
      <c r="GR32" s="75"/>
      <c r="GS32" s="157"/>
      <c r="GT32" s="157"/>
      <c r="GU32" s="79"/>
      <c r="GV32" s="79"/>
      <c r="GW32" s="79"/>
      <c r="GX32" s="79"/>
      <c r="GY32" s="79"/>
      <c r="GZ32" s="79"/>
    </row>
    <row r="33" spans="1:208" s="11" customFormat="1" ht="30" customHeight="1" thickBot="1" x14ac:dyDescent="0.3">
      <c r="A33" s="20"/>
      <c r="B33" s="122">
        <v>30</v>
      </c>
      <c r="C33" s="122" t="s">
        <v>6</v>
      </c>
      <c r="D33" s="123">
        <v>45468</v>
      </c>
      <c r="E33" s="122" t="s">
        <v>78</v>
      </c>
      <c r="F33" s="124">
        <v>0.875</v>
      </c>
      <c r="G33" s="125">
        <f t="shared" si="11"/>
        <v>45468.625</v>
      </c>
      <c r="H33" s="122" t="s">
        <v>118</v>
      </c>
      <c r="I33" s="126"/>
      <c r="J33" s="118"/>
      <c r="K33" s="118"/>
      <c r="L33" s="174">
        <f>IF(I33="",0,IFERROR(IF(SCORING.RULES!$C$8="No",1,((VLOOKUP($B33,ACTUALS!$B$4:$L$100,7,FALSE)=$H33)+(VLOOKUP($B33,ACTUALS!$B$4:$L$100,7,FALSE)=S33)))*(M33+N33+O33+P33+Q33),0))+$R33</f>
        <v>0</v>
      </c>
      <c r="M33" s="168">
        <f>IFERROR(IF($B33="","",IF(U33=INDEX(ACTUALS!$AA$4:$AA$100,MATCH($B33,ACTUALS!$B$4:$B$100,0),1),CorrectScore,0)),0)</f>
        <v>0</v>
      </c>
      <c r="N33" s="157" t="str">
        <f>IFERROR(IF(I33="","",IF(INDEX(ACTUALS!$AB$4:$AB$100,MATCH($B33,ACTUALS!$B$4:$B$100,0),1)=(AB33+AC33+AH33+AI33),CorrectNumberofGoals,0)),0)</f>
        <v/>
      </c>
      <c r="O33" s="157"/>
      <c r="P33" s="157">
        <f>IFERROR(IF(B33="","",IF(INDEX(ACTUALS!$L$4:$L$100,MATCH($B33,ACTUALS!$B$4:$B$100,0),1)=W33,CorrectResult,0)),0)</f>
        <v>3</v>
      </c>
      <c r="Q33" s="157"/>
      <c r="R33" s="157"/>
      <c r="S33" s="157" t="str">
        <f t="shared" si="0"/>
        <v/>
      </c>
      <c r="T33" s="157"/>
      <c r="U33" s="157" t="str">
        <f t="shared" si="1"/>
        <v/>
      </c>
      <c r="V33" s="157" t="str">
        <f t="shared" si="2"/>
        <v/>
      </c>
      <c r="W33" s="119" t="str">
        <f>IF(tblActuals354[[#This Row],[SCORE]]="","",IF(AB33=AC33,"Draw",IF(AB33&gt;AC33,X33,Y33)))</f>
        <v/>
      </c>
      <c r="X33" s="120" t="str">
        <f>IF(tblActuals354[[#This Row],[TEAMS]]="","",LEFT(H33,FIND(" -",H33,1)-1))</f>
        <v>Denmark</v>
      </c>
      <c r="Y33" s="120" t="str">
        <f>IF(tblActuals354[[#This Row],[TEAMS]]="","",MID(H33,FIND("-",H33,1)+2,LEN(H33)-FIND("-",H33,1)+2))</f>
        <v>Serbia</v>
      </c>
      <c r="Z33" s="120" t="str">
        <f>IF(tblActuals354[[#This Row],[Team 1 Goals]]&gt;tblActuals354[[#This Row],[Team 2 Goals]],tblActuals354[[#This Row],[Team 1]],IF(tblActuals354[[#This Row],[Team 2 Goals]]&gt;tblActuals354[[#This Row],[Team 1 Goals]],tblActuals354[[#This Row],[Team 2]],""))</f>
        <v/>
      </c>
      <c r="AA33" s="120" t="str">
        <f>IF(tblActuals354[[#This Row],[Winner]]=tblActuals354[[#This Row],[Team 1]],tblActuals354[[#This Row],[Team 2]],IF(tblActuals354[[#This Row],[Winner]]=tblActuals354[[#This Row],[Team 2]],tblActuals354[[#This Row],[Team 1]],""))</f>
        <v/>
      </c>
      <c r="AB33" s="120" t="str">
        <f>IF(tblActuals354[[#This Row],[SCORE]]="","",LEFT(I33,FIND(":",I33,1)-1)*1)</f>
        <v/>
      </c>
      <c r="AC33" s="120" t="str">
        <f>IF(tblActuals354[[#This Row],[SCORE]]="","",MID(I33,FIND(":",I33,1)+1,LEN(I33)-FIND(":",I33,1)+1)*1)</f>
        <v/>
      </c>
      <c r="AD33" s="120" t="str">
        <f>IF(OR(tblActuals354[[#This Row],[Team 1 Goals]]="",tblActuals354[[#This Row],[Team 2 Goals]]=""),"",tblActuals354[[#This Row],[Team 1 Goals]]-tblActuals354[[#This Row],[Team 2 Goals]])</f>
        <v/>
      </c>
      <c r="AE33" s="120" t="str">
        <f>IF(OR(tblActuals354[[#This Row],[Team 1 Goals]]="",tblActuals354[[#This Row],[Team 2 Goals]]=""),"",tblActuals354[[#This Row],[Team 2 Goals]]-tblActuals354[[#This Row],[Team 1 Goals]])</f>
        <v/>
      </c>
      <c r="AF33" s="120" t="str">
        <f>IF(tblActuals354[[#This Row],[SCORE]]="","",IF(tblActuals354[[#This Row],[WINNER / RESULT]]="Draw",1,IF(tblActuals354[[#This Row],[WINNER / RESULT]]=tblActuals354[[#This Row],[Team 1]],3,0)))</f>
        <v/>
      </c>
      <c r="AG33" s="120" t="str">
        <f>IF(tblActuals354[[#This Row],[SCORE]]="","",IF(tblActuals354[[#This Row],[WINNER / RESULT]]="Draw",1,IF(tblActuals354[[#This Row],[WINNER / RESULT]]=tblActuals354[[#This Row],[Team 2]],3,0)))</f>
        <v/>
      </c>
      <c r="AH33" s="121"/>
      <c r="AI33" s="121"/>
      <c r="AJ33" s="121"/>
      <c r="AK33" s="121"/>
      <c r="AL33" s="120" t="e">
        <f>tblActuals354[[#This Row],[Team 1 Goals]]+tblActuals354[[#This Row],[Team 1 ET Goals]]&amp;":"&amp;tblActuals354[[#This Row],[Team 2 Goals]]+tblActuals354[[#This Row],[Team 2 ET Goals]]</f>
        <v>#VALUE!</v>
      </c>
      <c r="AM33" s="120" t="e">
        <f>+tblActuals354[[#This Row],[Team 1 Goals]]+tblActuals354[[#This Row],[Team 2 Goals]]</f>
        <v>#VALUE!</v>
      </c>
      <c r="AN33" s="161">
        <f t="shared" si="3"/>
        <v>45468</v>
      </c>
      <c r="AT33" s="77" t="s">
        <v>12</v>
      </c>
      <c r="AU33" s="145">
        <v>4</v>
      </c>
      <c r="AV33" s="146" t="str">
        <f ca="1">IFERROR(INDEX(BD:BD,MATCH("4"&amp;AT33,BN:BN,0),1),"")</f>
        <v>Ukraine</v>
      </c>
      <c r="AW33" s="146" t="str">
        <f ca="1">IF(AV33="","",VLOOKUP(AV33,BD:BI,2,FALSE)&amp;"-"&amp;VLOOKUP(AV33,BD:BI,3,FALSE)&amp;"-"&amp;VLOOKUP(AV33,BD:BI,4,FALSE))</f>
        <v>0-0-0</v>
      </c>
      <c r="AX33" s="146">
        <f ca="1">IF(AV33="","",VLOOKUP(AV33,BD:BK,8,FALSE))</f>
        <v>0</v>
      </c>
      <c r="AY33" s="147">
        <f ca="1">IF(AV33="","",VLOOKUP(AV33,BD:BN,5,FALSE))</f>
        <v>0</v>
      </c>
      <c r="AZ33" s="75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U33" s="4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4"/>
      <c r="EC33" s="4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4"/>
      <c r="FK33" s="4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37"/>
      <c r="GM33" s="37"/>
      <c r="GN33" s="37"/>
      <c r="GO33" s="37"/>
      <c r="GP33" s="37"/>
      <c r="GQ33" s="37"/>
      <c r="GR33" s="75"/>
      <c r="GS33" s="157"/>
      <c r="GT33" s="157"/>
      <c r="GU33" s="79"/>
      <c r="GV33" s="79"/>
      <c r="GW33" s="79"/>
      <c r="GX33" s="79"/>
      <c r="GY33" s="79"/>
      <c r="GZ33" s="79"/>
    </row>
    <row r="34" spans="1:208" s="11" customFormat="1" ht="30" customHeight="1" thickBot="1" x14ac:dyDescent="0.3">
      <c r="A34" s="20"/>
      <c r="B34" s="122">
        <v>31</v>
      </c>
      <c r="C34" s="122" t="s">
        <v>7</v>
      </c>
      <c r="D34" s="123">
        <v>45468</v>
      </c>
      <c r="E34" s="122" t="s">
        <v>80</v>
      </c>
      <c r="F34" s="124">
        <v>0.75</v>
      </c>
      <c r="G34" s="125">
        <f t="shared" si="11"/>
        <v>45468.5</v>
      </c>
      <c r="H34" s="122" t="s">
        <v>141</v>
      </c>
      <c r="I34" s="126"/>
      <c r="J34" s="118"/>
      <c r="K34" s="118"/>
      <c r="L34" s="174">
        <f>IF(I34="",0,IFERROR(IF(SCORING.RULES!$C$8="No",1,((VLOOKUP($B34,ACTUALS!$B$4:$L$100,7,FALSE)=$H34)+(VLOOKUP($B34,ACTUALS!$B$4:$L$100,7,FALSE)=S34)))*(M34+N34+O34+P34+Q34),0))+$R34</f>
        <v>0</v>
      </c>
      <c r="M34" s="168">
        <f>IFERROR(IF($B34="","",IF(U34=INDEX(ACTUALS!$AA$4:$AA$100,MATCH($B34,ACTUALS!$B$4:$B$100,0),1),CorrectScore,0)),0)</f>
        <v>0</v>
      </c>
      <c r="N34" s="157" t="str">
        <f>IFERROR(IF(I34="","",IF(INDEX(ACTUALS!$AB$4:$AB$100,MATCH($B34,ACTUALS!$B$4:$B$100,0),1)=(AB34+AC34+AH34+AI34),CorrectNumberofGoals,0)),0)</f>
        <v/>
      </c>
      <c r="O34" s="157"/>
      <c r="P34" s="157">
        <f>IFERROR(IF(B34="","",IF(INDEX(ACTUALS!$L$4:$L$100,MATCH($B34,ACTUALS!$B$4:$B$100,0),1)=W34,CorrectResult,0)),0)</f>
        <v>3</v>
      </c>
      <c r="Q34" s="157"/>
      <c r="R34" s="157"/>
      <c r="S34" s="157" t="str">
        <f t="shared" si="0"/>
        <v/>
      </c>
      <c r="T34" s="157"/>
      <c r="U34" s="157" t="str">
        <f t="shared" si="1"/>
        <v/>
      </c>
      <c r="V34" s="157" t="str">
        <f t="shared" si="2"/>
        <v/>
      </c>
      <c r="W34" s="119" t="str">
        <f>IF(tblActuals354[[#This Row],[SCORE]]="","",IF(AB34=AC34,"Draw",IF(AB34&gt;AC34,X34,Y34)))</f>
        <v/>
      </c>
      <c r="X34" s="120" t="str">
        <f>IF(tblActuals354[[#This Row],[TEAMS]]="","",LEFT(H34,FIND(" -",H34,1)-1))</f>
        <v>Netherlands</v>
      </c>
      <c r="Y34" s="120" t="str">
        <f>IF(tblActuals354[[#This Row],[TEAMS]]="","",MID(H34,FIND("-",H34,1)+2,LEN(H34)-FIND("-",H34,1)+2))</f>
        <v>Austria</v>
      </c>
      <c r="Z34" s="120" t="str">
        <f>IF(tblActuals354[[#This Row],[Team 1 Goals]]&gt;tblActuals354[[#This Row],[Team 2 Goals]],tblActuals354[[#This Row],[Team 1]],IF(tblActuals354[[#This Row],[Team 2 Goals]]&gt;tblActuals354[[#This Row],[Team 1 Goals]],tblActuals354[[#This Row],[Team 2]],""))</f>
        <v/>
      </c>
      <c r="AA34" s="120" t="str">
        <f>IF(tblActuals354[[#This Row],[Winner]]=tblActuals354[[#This Row],[Team 1]],tblActuals354[[#This Row],[Team 2]],IF(tblActuals354[[#This Row],[Winner]]=tblActuals354[[#This Row],[Team 2]],tblActuals354[[#This Row],[Team 1]],""))</f>
        <v/>
      </c>
      <c r="AB34" s="120" t="str">
        <f>IF(tblActuals354[[#This Row],[SCORE]]="","",LEFT(I34,FIND(":",I34,1)-1)*1)</f>
        <v/>
      </c>
      <c r="AC34" s="120" t="str">
        <f>IF(tblActuals354[[#This Row],[SCORE]]="","",MID(I34,FIND(":",I34,1)+1,LEN(I34)-FIND(":",I34,1)+1)*1)</f>
        <v/>
      </c>
      <c r="AD34" s="120" t="str">
        <f>IF(OR(tblActuals354[[#This Row],[Team 1 Goals]]="",tblActuals354[[#This Row],[Team 2 Goals]]=""),"",tblActuals354[[#This Row],[Team 1 Goals]]-tblActuals354[[#This Row],[Team 2 Goals]])</f>
        <v/>
      </c>
      <c r="AE34" s="120" t="str">
        <f>IF(OR(tblActuals354[[#This Row],[Team 1 Goals]]="",tblActuals354[[#This Row],[Team 2 Goals]]=""),"",tblActuals354[[#This Row],[Team 2 Goals]]-tblActuals354[[#This Row],[Team 1 Goals]])</f>
        <v/>
      </c>
      <c r="AF34" s="120" t="str">
        <f>IF(tblActuals354[[#This Row],[SCORE]]="","",IF(tblActuals354[[#This Row],[WINNER / RESULT]]="Draw",1,IF(tblActuals354[[#This Row],[WINNER / RESULT]]=tblActuals354[[#This Row],[Team 1]],3,0)))</f>
        <v/>
      </c>
      <c r="AG34" s="120" t="str">
        <f>IF(tblActuals354[[#This Row],[SCORE]]="","",IF(tblActuals354[[#This Row],[WINNER / RESULT]]="Draw",1,IF(tblActuals354[[#This Row],[WINNER / RESULT]]=tblActuals354[[#This Row],[Team 2]],3,0)))</f>
        <v/>
      </c>
      <c r="AH34" s="121"/>
      <c r="AI34" s="121"/>
      <c r="AJ34" s="121"/>
      <c r="AK34" s="121"/>
      <c r="AL34" s="120" t="e">
        <f>tblActuals354[[#This Row],[Team 1 Goals]]+tblActuals354[[#This Row],[Team 1 ET Goals]]&amp;":"&amp;tblActuals354[[#This Row],[Team 2 Goals]]+tblActuals354[[#This Row],[Team 2 ET Goals]]</f>
        <v>#VALUE!</v>
      </c>
      <c r="AM34" s="120" t="e">
        <f>+tblActuals354[[#This Row],[Team 1 Goals]]+tblActuals354[[#This Row],[Team 2 Goals]]</f>
        <v>#VALUE!</v>
      </c>
      <c r="AN34" s="161">
        <f t="shared" si="3"/>
        <v>45468</v>
      </c>
      <c r="AT34" s="77"/>
      <c r="AU34" s="148"/>
      <c r="AV34" s="148"/>
      <c r="AW34" s="148"/>
      <c r="AX34" s="148"/>
      <c r="AY34" s="148"/>
      <c r="AZ34" s="75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U34" s="4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4"/>
      <c r="EC34" s="4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4"/>
      <c r="FK34" s="4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37"/>
      <c r="GM34" s="37"/>
      <c r="GN34" s="37"/>
      <c r="GO34" s="37"/>
      <c r="GP34" s="37"/>
      <c r="GQ34" s="37"/>
      <c r="GR34" s="75"/>
      <c r="GS34" s="157"/>
      <c r="GT34" s="157"/>
      <c r="GU34" s="79"/>
      <c r="GV34" s="79"/>
      <c r="GW34" s="79"/>
      <c r="GX34" s="79"/>
      <c r="GY34" s="79"/>
      <c r="GZ34" s="79"/>
    </row>
    <row r="35" spans="1:208" s="11" customFormat="1" ht="30" customHeight="1" thickBot="1" x14ac:dyDescent="0.3">
      <c r="A35" s="20"/>
      <c r="B35" s="122">
        <v>32</v>
      </c>
      <c r="C35" s="122" t="s">
        <v>7</v>
      </c>
      <c r="D35" s="123">
        <v>45468</v>
      </c>
      <c r="E35" s="122" t="s">
        <v>81</v>
      </c>
      <c r="F35" s="124">
        <v>0.75</v>
      </c>
      <c r="G35" s="125">
        <f t="shared" si="11"/>
        <v>45468.5</v>
      </c>
      <c r="H35" s="122" t="s">
        <v>119</v>
      </c>
      <c r="I35" s="126"/>
      <c r="J35" s="118"/>
      <c r="K35" s="118"/>
      <c r="L35" s="174">
        <f>IF(I35="",0,IFERROR(IF(SCORING.RULES!$C$8="No",1,((VLOOKUP($B35,ACTUALS!$B$4:$L$100,7,FALSE)=$H35)+(VLOOKUP($B35,ACTUALS!$B$4:$L$100,7,FALSE)=S35)))*(M35+N35+O35+P35+Q35),0))+$R35</f>
        <v>0</v>
      </c>
      <c r="M35" s="168">
        <f>IFERROR(IF($B35="","",IF(U35=INDEX(ACTUALS!$AA$4:$AA$100,MATCH($B35,ACTUALS!$B$4:$B$100,0),1),CorrectScore,0)),0)</f>
        <v>0</v>
      </c>
      <c r="N35" s="157" t="str">
        <f>IFERROR(IF(I35="","",IF(INDEX(ACTUALS!$AB$4:$AB$100,MATCH($B35,ACTUALS!$B$4:$B$100,0),1)=(AB35+AC35+AH35+AI35),CorrectNumberofGoals,0)),0)</f>
        <v/>
      </c>
      <c r="O35" s="157"/>
      <c r="P35" s="157">
        <f>IFERROR(IF(B35="","",IF(INDEX(ACTUALS!$L$4:$L$100,MATCH($B35,ACTUALS!$B$4:$B$100,0),1)=W35,CorrectResult,0)),0)</f>
        <v>3</v>
      </c>
      <c r="Q35" s="157"/>
      <c r="R35" s="157"/>
      <c r="S35" s="157" t="str">
        <f t="shared" si="0"/>
        <v/>
      </c>
      <c r="T35" s="157"/>
      <c r="U35" s="157" t="str">
        <f t="shared" si="1"/>
        <v/>
      </c>
      <c r="V35" s="157" t="str">
        <f t="shared" si="2"/>
        <v/>
      </c>
      <c r="W35" s="119" t="str">
        <f>IF(tblActuals354[[#This Row],[SCORE]]="","",IF(AB35=AC35,"Draw",IF(AB35&gt;AC35,X35,Y35)))</f>
        <v/>
      </c>
      <c r="X35" s="120" t="str">
        <f>IF(tblActuals354[[#This Row],[TEAMS]]="","",LEFT(H35,FIND(" -",H35,1)-1))</f>
        <v>France</v>
      </c>
      <c r="Y35" s="120" t="str">
        <f>IF(tblActuals354[[#This Row],[TEAMS]]="","",MID(H35,FIND("-",H35,1)+2,LEN(H35)-FIND("-",H35,1)+2))</f>
        <v>Poland</v>
      </c>
      <c r="Z35" s="120" t="str">
        <f>IF(tblActuals354[[#This Row],[Team 1 Goals]]&gt;tblActuals354[[#This Row],[Team 2 Goals]],tblActuals354[[#This Row],[Team 1]],IF(tblActuals354[[#This Row],[Team 2 Goals]]&gt;tblActuals354[[#This Row],[Team 1 Goals]],tblActuals354[[#This Row],[Team 2]],""))</f>
        <v/>
      </c>
      <c r="AA35" s="120" t="str">
        <f>IF(tblActuals354[[#This Row],[Winner]]=tblActuals354[[#This Row],[Team 1]],tblActuals354[[#This Row],[Team 2]],IF(tblActuals354[[#This Row],[Winner]]=tblActuals354[[#This Row],[Team 2]],tblActuals354[[#This Row],[Team 1]],""))</f>
        <v/>
      </c>
      <c r="AB35" s="120" t="str">
        <f>IF(tblActuals354[[#This Row],[SCORE]]="","",LEFT(I35,FIND(":",I35,1)-1)*1)</f>
        <v/>
      </c>
      <c r="AC35" s="120" t="str">
        <f>IF(tblActuals354[[#This Row],[SCORE]]="","",MID(I35,FIND(":",I35,1)+1,LEN(I35)-FIND(":",I35,1)+1)*1)</f>
        <v/>
      </c>
      <c r="AD35" s="120" t="str">
        <f>IF(OR(tblActuals354[[#This Row],[Team 1 Goals]]="",tblActuals354[[#This Row],[Team 2 Goals]]=""),"",tblActuals354[[#This Row],[Team 1 Goals]]-tblActuals354[[#This Row],[Team 2 Goals]])</f>
        <v/>
      </c>
      <c r="AE35" s="120" t="str">
        <f>IF(OR(tblActuals354[[#This Row],[Team 1 Goals]]="",tblActuals354[[#This Row],[Team 2 Goals]]=""),"",tblActuals354[[#This Row],[Team 2 Goals]]-tblActuals354[[#This Row],[Team 1 Goals]])</f>
        <v/>
      </c>
      <c r="AF35" s="120" t="str">
        <f>IF(tblActuals354[[#This Row],[SCORE]]="","",IF(tblActuals354[[#This Row],[WINNER / RESULT]]="Draw",1,IF(tblActuals354[[#This Row],[WINNER / RESULT]]=tblActuals354[[#This Row],[Team 1]],3,0)))</f>
        <v/>
      </c>
      <c r="AG35" s="120" t="str">
        <f>IF(tblActuals354[[#This Row],[SCORE]]="","",IF(tblActuals354[[#This Row],[WINNER / RESULT]]="Draw",1,IF(tblActuals354[[#This Row],[WINNER / RESULT]]=tblActuals354[[#This Row],[Team 2]],3,0)))</f>
        <v/>
      </c>
      <c r="AH35" s="121"/>
      <c r="AI35" s="121"/>
      <c r="AJ35" s="121"/>
      <c r="AK35" s="121"/>
      <c r="AL35" s="120" t="e">
        <f>tblActuals354[[#This Row],[Team 1 Goals]]+tblActuals354[[#This Row],[Team 1 ET Goals]]&amp;":"&amp;tblActuals354[[#This Row],[Team 2 Goals]]+tblActuals354[[#This Row],[Team 2 ET Goals]]</f>
        <v>#VALUE!</v>
      </c>
      <c r="AM35" s="120" t="e">
        <f>+tblActuals354[[#This Row],[Team 1 Goals]]+tblActuals354[[#This Row],[Team 2 Goals]]</f>
        <v>#VALUE!</v>
      </c>
      <c r="AN35" s="161">
        <f t="shared" si="3"/>
        <v>45468</v>
      </c>
      <c r="AT35" s="78"/>
      <c r="AU35" s="179" t="s">
        <v>56</v>
      </c>
      <c r="AV35" s="180"/>
      <c r="AW35" s="133" t="s">
        <v>46</v>
      </c>
      <c r="AX35" s="134" t="s">
        <v>57</v>
      </c>
      <c r="AY35" s="135" t="s">
        <v>11</v>
      </c>
      <c r="AZ35" s="75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U35" s="4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4"/>
      <c r="EC35" s="4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4"/>
      <c r="FK35" s="4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37"/>
      <c r="GM35" s="37"/>
      <c r="GN35" s="37"/>
      <c r="GO35" s="37"/>
      <c r="GP35" s="37"/>
      <c r="GQ35" s="37"/>
      <c r="GR35" s="75"/>
      <c r="GS35" s="157"/>
      <c r="GT35" s="157"/>
      <c r="GU35" s="79"/>
      <c r="GV35" s="79"/>
      <c r="GW35" s="79"/>
      <c r="GX35" s="79"/>
      <c r="GY35" s="79"/>
      <c r="GZ35" s="79"/>
    </row>
    <row r="36" spans="1:208" s="11" customFormat="1" ht="30" customHeight="1" x14ac:dyDescent="0.25">
      <c r="A36" s="20"/>
      <c r="B36" s="122">
        <v>33</v>
      </c>
      <c r="C36" s="122" t="s">
        <v>12</v>
      </c>
      <c r="D36" s="123">
        <v>45469</v>
      </c>
      <c r="E36" s="122" t="s">
        <v>86</v>
      </c>
      <c r="F36" s="124">
        <v>0.75</v>
      </c>
      <c r="G36" s="125">
        <f t="shared" si="11"/>
        <v>45469.5</v>
      </c>
      <c r="H36" s="122" t="s">
        <v>120</v>
      </c>
      <c r="I36" s="126"/>
      <c r="J36" s="118"/>
      <c r="K36" s="118"/>
      <c r="L36" s="174">
        <f>IF(I36="",0,IFERROR(IF(SCORING.RULES!$C$8="No",1,((VLOOKUP($B36,ACTUALS!$B$4:$L$100,7,FALSE)=$H36)+(VLOOKUP($B36,ACTUALS!$B$4:$L$100,7,FALSE)=S36)))*(M36+N36+O36+P36+Q36),0))+$R36</f>
        <v>0</v>
      </c>
      <c r="M36" s="168">
        <f>IFERROR(IF($B36="","",IF(U36=INDEX(ACTUALS!$AA$4:$AA$100,MATCH($B36,ACTUALS!$B$4:$B$100,0),1),CorrectScore,0)),0)</f>
        <v>0</v>
      </c>
      <c r="N36" s="157" t="str">
        <f>IFERROR(IF(I36="","",IF(INDEX(ACTUALS!$AB$4:$AB$100,MATCH($B36,ACTUALS!$B$4:$B$100,0),1)=(AB36+AC36+AH36+AI36),CorrectNumberofGoals,0)),0)</f>
        <v/>
      </c>
      <c r="O36" s="157"/>
      <c r="P36" s="157">
        <f>IFERROR(IF(B36="","",IF(INDEX(ACTUALS!$L$4:$L$100,MATCH($B36,ACTUALS!$B$4:$B$100,0),1)=W36,CorrectResult,0)),0)</f>
        <v>3</v>
      </c>
      <c r="Q36" s="157"/>
      <c r="R36" s="157"/>
      <c r="S36" s="157" t="str">
        <f t="shared" si="0"/>
        <v/>
      </c>
      <c r="T36" s="157"/>
      <c r="U36" s="157" t="str">
        <f t="shared" si="1"/>
        <v/>
      </c>
      <c r="V36" s="157" t="str">
        <f t="shared" si="2"/>
        <v/>
      </c>
      <c r="W36" s="119" t="str">
        <f>IF(tblActuals354[[#This Row],[SCORE]]="","",IF(AB36=AC36,"Draw",IF(AB36&gt;AC36,X36,Y36)))</f>
        <v/>
      </c>
      <c r="X36" s="120" t="str">
        <f>IF(tblActuals354[[#This Row],[TEAMS]]="","",LEFT(H36,FIND(" -",H36,1)-1))</f>
        <v>Slovakia</v>
      </c>
      <c r="Y36" s="120" t="str">
        <f>IF(tblActuals354[[#This Row],[TEAMS]]="","",MID(H36,FIND("-",H36,1)+2,LEN(H36)-FIND("-",H36,1)+2))</f>
        <v>Romania</v>
      </c>
      <c r="Z36" s="120" t="str">
        <f>IF(tblActuals354[[#This Row],[Team 1 Goals]]&gt;tblActuals354[[#This Row],[Team 2 Goals]],tblActuals354[[#This Row],[Team 1]],IF(tblActuals354[[#This Row],[Team 2 Goals]]&gt;tblActuals354[[#This Row],[Team 1 Goals]],tblActuals354[[#This Row],[Team 2]],""))</f>
        <v/>
      </c>
      <c r="AA36" s="120" t="str">
        <f>IF(tblActuals354[[#This Row],[Winner]]=tblActuals354[[#This Row],[Team 1]],tblActuals354[[#This Row],[Team 2]],IF(tblActuals354[[#This Row],[Winner]]=tblActuals354[[#This Row],[Team 2]],tblActuals354[[#This Row],[Team 1]],""))</f>
        <v/>
      </c>
      <c r="AB36" s="120" t="str">
        <f>IF(tblActuals354[[#This Row],[SCORE]]="","",LEFT(I36,FIND(":",I36,1)-1)*1)</f>
        <v/>
      </c>
      <c r="AC36" s="120" t="str">
        <f>IF(tblActuals354[[#This Row],[SCORE]]="","",MID(I36,FIND(":",I36,1)+1,LEN(I36)-FIND(":",I36,1)+1)*1)</f>
        <v/>
      </c>
      <c r="AD36" s="120" t="str">
        <f>IF(OR(tblActuals354[[#This Row],[Team 1 Goals]]="",tblActuals354[[#This Row],[Team 2 Goals]]=""),"",tblActuals354[[#This Row],[Team 1 Goals]]-tblActuals354[[#This Row],[Team 2 Goals]])</f>
        <v/>
      </c>
      <c r="AE36" s="120" t="str">
        <f>IF(OR(tblActuals354[[#This Row],[Team 1 Goals]]="",tblActuals354[[#This Row],[Team 2 Goals]]=""),"",tblActuals354[[#This Row],[Team 2 Goals]]-tblActuals354[[#This Row],[Team 1 Goals]])</f>
        <v/>
      </c>
      <c r="AF36" s="120" t="str">
        <f>IF(tblActuals354[[#This Row],[SCORE]]="","",IF(tblActuals354[[#This Row],[WINNER / RESULT]]="Draw",1,IF(tblActuals354[[#This Row],[WINNER / RESULT]]=tblActuals354[[#This Row],[Team 1]],3,0)))</f>
        <v/>
      </c>
      <c r="AG36" s="120" t="str">
        <f>IF(tblActuals354[[#This Row],[SCORE]]="","",IF(tblActuals354[[#This Row],[WINNER / RESULT]]="Draw",1,IF(tblActuals354[[#This Row],[WINNER / RESULT]]=tblActuals354[[#This Row],[Team 2]],3,0)))</f>
        <v/>
      </c>
      <c r="AH36" s="121"/>
      <c r="AI36" s="121"/>
      <c r="AJ36" s="121"/>
      <c r="AK36" s="121"/>
      <c r="AL36" s="120" t="e">
        <f>tblActuals354[[#This Row],[Team 1 Goals]]+tblActuals354[[#This Row],[Team 1 ET Goals]]&amp;":"&amp;tblActuals354[[#This Row],[Team 2 Goals]]+tblActuals354[[#This Row],[Team 2 ET Goals]]</f>
        <v>#VALUE!</v>
      </c>
      <c r="AM36" s="120" t="e">
        <f>+tblActuals354[[#This Row],[Team 1 Goals]]+tblActuals354[[#This Row],[Team 2 Goals]]</f>
        <v>#VALUE!</v>
      </c>
      <c r="AN36" s="161">
        <f t="shared" ref="AN36:AN54" si="13">DATE(YEAR(G36),MONTH(G36),DAY(G36))</f>
        <v>45469</v>
      </c>
      <c r="AT36" s="77" t="s">
        <v>45</v>
      </c>
      <c r="AU36" s="136">
        <v>1</v>
      </c>
      <c r="AV36" s="137" t="str">
        <f ca="1">IFERROR(INDEX(BD:BD,MATCH("1"&amp;AT36,BN:BN,0),1),"")</f>
        <v>Czechia</v>
      </c>
      <c r="AW36" s="137" t="str">
        <f ca="1">IF(AV36="","",VLOOKUP(AV36,BD:BI,2,FALSE)&amp;"-"&amp;VLOOKUP(AV36,BD:BI,3,FALSE)&amp;"-"&amp;VLOOKUP(AV36,BD:BI,4,FALSE))</f>
        <v>0-0-0</v>
      </c>
      <c r="AX36" s="137">
        <f ca="1">IF(AV36="","",VLOOKUP(AV36,BD:BK,8,FALSE))</f>
        <v>0</v>
      </c>
      <c r="AY36" s="138">
        <f ca="1">IF(AV36="","",VLOOKUP(AV36,BD:BN,5,FALSE))</f>
        <v>0</v>
      </c>
      <c r="AZ36" s="75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U36" s="58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4"/>
      <c r="EC36" s="58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4"/>
      <c r="FK36" s="58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13"/>
      <c r="GM36" s="13"/>
      <c r="GN36" s="13"/>
      <c r="GO36" s="13"/>
      <c r="GP36" s="13"/>
      <c r="GQ36" s="13"/>
      <c r="GR36" s="75"/>
      <c r="GS36" s="157"/>
      <c r="GT36" s="157"/>
      <c r="GU36" s="79"/>
      <c r="GV36" s="79"/>
      <c r="GW36" s="79"/>
      <c r="GX36" s="79"/>
      <c r="GY36" s="79"/>
      <c r="GZ36" s="79"/>
    </row>
    <row r="37" spans="1:208" s="11" customFormat="1" ht="30" customHeight="1" x14ac:dyDescent="0.25">
      <c r="A37" s="20"/>
      <c r="B37" s="122">
        <v>34</v>
      </c>
      <c r="C37" s="122" t="s">
        <v>12</v>
      </c>
      <c r="D37" s="123">
        <v>45469</v>
      </c>
      <c r="E37" s="122" t="s">
        <v>83</v>
      </c>
      <c r="F37" s="124">
        <v>0.75</v>
      </c>
      <c r="G37" s="125">
        <f t="shared" si="11"/>
        <v>45469.5</v>
      </c>
      <c r="H37" s="122" t="s">
        <v>121</v>
      </c>
      <c r="I37" s="126"/>
      <c r="J37" s="118"/>
      <c r="K37" s="118"/>
      <c r="L37" s="174">
        <f>IF(I37="",0,IFERROR(IF(SCORING.RULES!$C$8="No",1,((VLOOKUP($B37,ACTUALS!$B$4:$L$100,7,FALSE)=$H37)+(VLOOKUP($B37,ACTUALS!$B$4:$L$100,7,FALSE)=S37)))*(M37+N37+O37+P37+Q37),0))+$R37</f>
        <v>0</v>
      </c>
      <c r="M37" s="168">
        <f>IFERROR(IF($B37="","",IF(U37=INDEX(ACTUALS!$AA$4:$AA$100,MATCH($B37,ACTUALS!$B$4:$B$100,0),1),CorrectScore,0)),0)</f>
        <v>0</v>
      </c>
      <c r="N37" s="157" t="str">
        <f>IFERROR(IF(I37="","",IF(INDEX(ACTUALS!$AB$4:$AB$100,MATCH($B37,ACTUALS!$B$4:$B$100,0),1)=(AB37+AC37+AH37+AI37),CorrectNumberofGoals,0)),0)</f>
        <v/>
      </c>
      <c r="O37" s="157"/>
      <c r="P37" s="157">
        <f>IFERROR(IF(B37="","",IF(INDEX(ACTUALS!$L$4:$L$100,MATCH($B37,ACTUALS!$B$4:$B$100,0),1)=W37,CorrectResult,0)),0)</f>
        <v>3</v>
      </c>
      <c r="Q37" s="157"/>
      <c r="R37" s="157"/>
      <c r="S37" s="157" t="str">
        <f t="shared" si="0"/>
        <v/>
      </c>
      <c r="T37" s="157"/>
      <c r="U37" s="157" t="str">
        <f t="shared" si="1"/>
        <v/>
      </c>
      <c r="V37" s="157" t="str">
        <f t="shared" si="2"/>
        <v/>
      </c>
      <c r="W37" s="119" t="str">
        <f>IF(tblActuals354[[#This Row],[SCORE]]="","",IF(AB37=AC37,"Draw",IF(AB37&gt;AC37,X37,Y37)))</f>
        <v/>
      </c>
      <c r="X37" s="120" t="str">
        <f>IF(tblActuals354[[#This Row],[TEAMS]]="","",LEFT(H37,FIND(" -",H37,1)-1))</f>
        <v>Ukraine</v>
      </c>
      <c r="Y37" s="120" t="str">
        <f>IF(tblActuals354[[#This Row],[TEAMS]]="","",MID(H37,FIND("-",H37,1)+2,LEN(H37)-FIND("-",H37,1)+2))</f>
        <v>Belgium</v>
      </c>
      <c r="Z37" s="120" t="str">
        <f>IF(tblActuals354[[#This Row],[Team 1 Goals]]&gt;tblActuals354[[#This Row],[Team 2 Goals]],tblActuals354[[#This Row],[Team 1]],IF(tblActuals354[[#This Row],[Team 2 Goals]]&gt;tblActuals354[[#This Row],[Team 1 Goals]],tblActuals354[[#This Row],[Team 2]],""))</f>
        <v/>
      </c>
      <c r="AA37" s="120" t="str">
        <f>IF(tblActuals354[[#This Row],[Winner]]=tblActuals354[[#This Row],[Team 1]],tblActuals354[[#This Row],[Team 2]],IF(tblActuals354[[#This Row],[Winner]]=tblActuals354[[#This Row],[Team 2]],tblActuals354[[#This Row],[Team 1]],""))</f>
        <v/>
      </c>
      <c r="AB37" s="120" t="str">
        <f>IF(tblActuals354[[#This Row],[SCORE]]="","",LEFT(I37,FIND(":",I37,1)-1)*1)</f>
        <v/>
      </c>
      <c r="AC37" s="120" t="str">
        <f>IF(tblActuals354[[#This Row],[SCORE]]="","",MID(I37,FIND(":",I37,1)+1,LEN(I37)-FIND(":",I37,1)+1)*1)</f>
        <v/>
      </c>
      <c r="AD37" s="120" t="str">
        <f>IF(OR(tblActuals354[[#This Row],[Team 1 Goals]]="",tblActuals354[[#This Row],[Team 2 Goals]]=""),"",tblActuals354[[#This Row],[Team 1 Goals]]-tblActuals354[[#This Row],[Team 2 Goals]])</f>
        <v/>
      </c>
      <c r="AE37" s="120" t="str">
        <f>IF(OR(tblActuals354[[#This Row],[Team 1 Goals]]="",tblActuals354[[#This Row],[Team 2 Goals]]=""),"",tblActuals354[[#This Row],[Team 2 Goals]]-tblActuals354[[#This Row],[Team 1 Goals]])</f>
        <v/>
      </c>
      <c r="AF37" s="120" t="str">
        <f>IF(tblActuals354[[#This Row],[SCORE]]="","",IF(tblActuals354[[#This Row],[WINNER / RESULT]]="Draw",1,IF(tblActuals354[[#This Row],[WINNER / RESULT]]=tblActuals354[[#This Row],[Team 1]],3,0)))</f>
        <v/>
      </c>
      <c r="AG37" s="120" t="str">
        <f>IF(tblActuals354[[#This Row],[SCORE]]="","",IF(tblActuals354[[#This Row],[WINNER / RESULT]]="Draw",1,IF(tblActuals354[[#This Row],[WINNER / RESULT]]=tblActuals354[[#This Row],[Team 2]],3,0)))</f>
        <v/>
      </c>
      <c r="AH37" s="121"/>
      <c r="AI37" s="121"/>
      <c r="AJ37" s="121"/>
      <c r="AK37" s="121"/>
      <c r="AL37" s="120" t="e">
        <f>tblActuals354[[#This Row],[Team 1 Goals]]+tblActuals354[[#This Row],[Team 1 ET Goals]]&amp;":"&amp;tblActuals354[[#This Row],[Team 2 Goals]]+tblActuals354[[#This Row],[Team 2 ET Goals]]</f>
        <v>#VALUE!</v>
      </c>
      <c r="AM37" s="120" t="e">
        <f>+tblActuals354[[#This Row],[Team 1 Goals]]+tblActuals354[[#This Row],[Team 2 Goals]]</f>
        <v>#VALUE!</v>
      </c>
      <c r="AN37" s="161">
        <f t="shared" si="13"/>
        <v>45469</v>
      </c>
      <c r="AT37" s="77" t="s">
        <v>45</v>
      </c>
      <c r="AU37" s="139">
        <v>2</v>
      </c>
      <c r="AV37" s="140" t="str">
        <f ca="1">IFERROR(INDEX(BD:BD,MATCH("2"&amp;AT37,BN:BN,0),1),"")</f>
        <v>Georgia</v>
      </c>
      <c r="AW37" s="140" t="str">
        <f ca="1">IF(AV37="","",VLOOKUP(AV37,BD:BI,2,FALSE)&amp;"-"&amp;VLOOKUP(AV37,BD:BI,3,FALSE)&amp;"-"&amp;VLOOKUP(AV37,BD:BI,4,FALSE))</f>
        <v>0-0-0</v>
      </c>
      <c r="AX37" s="140">
        <f ca="1">IF(AV37="","",VLOOKUP(AV37,BD:BK,8,FALSE))</f>
        <v>0</v>
      </c>
      <c r="AY37" s="141">
        <f ca="1">IF(AV37="","",VLOOKUP(AV37,BD:BN,5,FALSE))</f>
        <v>0</v>
      </c>
      <c r="AZ37" s="75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U37" s="58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4"/>
      <c r="EC37" s="58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4"/>
      <c r="FK37" s="58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13"/>
      <c r="GM37" s="13"/>
      <c r="GN37" s="13"/>
      <c r="GO37" s="13"/>
      <c r="GP37" s="13"/>
      <c r="GQ37" s="13"/>
      <c r="GR37" s="75"/>
      <c r="GS37" s="157"/>
      <c r="GT37" s="157"/>
      <c r="GU37" s="79"/>
      <c r="GV37" s="79"/>
      <c r="GW37" s="79"/>
      <c r="GX37" s="79"/>
      <c r="GY37" s="79"/>
      <c r="GZ37" s="79"/>
    </row>
    <row r="38" spans="1:208" s="11" customFormat="1" ht="30" customHeight="1" x14ac:dyDescent="0.25">
      <c r="A38" s="20"/>
      <c r="B38" s="122">
        <v>35</v>
      </c>
      <c r="C38" s="122" t="s">
        <v>45</v>
      </c>
      <c r="D38" s="123">
        <v>45469</v>
      </c>
      <c r="E38" s="122" t="s">
        <v>82</v>
      </c>
      <c r="F38" s="124">
        <v>0.875</v>
      </c>
      <c r="G38" s="125">
        <f t="shared" si="11"/>
        <v>45469.625</v>
      </c>
      <c r="H38" s="122" t="s">
        <v>122</v>
      </c>
      <c r="I38" s="126"/>
      <c r="J38" s="118"/>
      <c r="K38" s="118"/>
      <c r="L38" s="174">
        <f>IF(I38="",0,IFERROR(IF(SCORING.RULES!$C$8="No",1,((VLOOKUP($B38,ACTUALS!$B$4:$L$100,7,FALSE)=$H38)+(VLOOKUP($B38,ACTUALS!$B$4:$L$100,7,FALSE)=S38)))*(M38+N38+O38+P38+Q38),0))+$R38</f>
        <v>0</v>
      </c>
      <c r="M38" s="168">
        <f>IFERROR(IF($B38="","",IF(U38=INDEX(ACTUALS!$AA$4:$AA$100,MATCH($B38,ACTUALS!$B$4:$B$100,0),1),CorrectScore,0)),0)</f>
        <v>0</v>
      </c>
      <c r="N38" s="157" t="str">
        <f>IFERROR(IF(I38="","",IF(INDEX(ACTUALS!$AB$4:$AB$100,MATCH($B38,ACTUALS!$B$4:$B$100,0),1)=(AB38+AC38+AH38+AI38),CorrectNumberofGoals,0)),0)</f>
        <v/>
      </c>
      <c r="O38" s="157"/>
      <c r="P38" s="157">
        <f>IFERROR(IF(B38="","",IF(INDEX(ACTUALS!$L$4:$L$100,MATCH($B38,ACTUALS!$B$4:$B$100,0),1)=W38,CorrectResult,0)),0)</f>
        <v>3</v>
      </c>
      <c r="Q38" s="157"/>
      <c r="R38" s="157"/>
      <c r="S38" s="157" t="str">
        <f t="shared" si="0"/>
        <v/>
      </c>
      <c r="T38" s="157"/>
      <c r="U38" s="157" t="str">
        <f t="shared" si="1"/>
        <v/>
      </c>
      <c r="V38" s="157" t="str">
        <f t="shared" si="2"/>
        <v/>
      </c>
      <c r="W38" s="119" t="str">
        <f>IF(tblActuals354[[#This Row],[SCORE]]="","",IF(AB38=AC38,"Draw",IF(AB38&gt;AC38,X38,Y38)))</f>
        <v/>
      </c>
      <c r="X38" s="120" t="str">
        <f>IF(tblActuals354[[#This Row],[TEAMS]]="","",LEFT(H38,FIND(" -",H38,1)-1))</f>
        <v>Georgia</v>
      </c>
      <c r="Y38" s="120" t="str">
        <f>IF(tblActuals354[[#This Row],[TEAMS]]="","",MID(H38,FIND("-",H38,1)+2,LEN(H38)-FIND("-",H38,1)+2))</f>
        <v>Portugal</v>
      </c>
      <c r="Z38" s="120" t="str">
        <f>IF(tblActuals354[[#This Row],[Team 1 Goals]]&gt;tblActuals354[[#This Row],[Team 2 Goals]],tblActuals354[[#This Row],[Team 1]],IF(tblActuals354[[#This Row],[Team 2 Goals]]&gt;tblActuals354[[#This Row],[Team 1 Goals]],tblActuals354[[#This Row],[Team 2]],""))</f>
        <v/>
      </c>
      <c r="AA38" s="120" t="str">
        <f>IF(tblActuals354[[#This Row],[Winner]]=tblActuals354[[#This Row],[Team 1]],tblActuals354[[#This Row],[Team 2]],IF(tblActuals354[[#This Row],[Winner]]=tblActuals354[[#This Row],[Team 2]],tblActuals354[[#This Row],[Team 1]],""))</f>
        <v/>
      </c>
      <c r="AB38" s="120" t="str">
        <f>IF(tblActuals354[[#This Row],[SCORE]]="","",LEFT(I38,FIND(":",I38,1)-1)*1)</f>
        <v/>
      </c>
      <c r="AC38" s="120" t="str">
        <f>IF(tblActuals354[[#This Row],[SCORE]]="","",MID(I38,FIND(":",I38,1)+1,LEN(I38)-FIND(":",I38,1)+1)*1)</f>
        <v/>
      </c>
      <c r="AD38" s="120" t="str">
        <f>IF(OR(tblActuals354[[#This Row],[Team 1 Goals]]="",tblActuals354[[#This Row],[Team 2 Goals]]=""),"",tblActuals354[[#This Row],[Team 1 Goals]]-tblActuals354[[#This Row],[Team 2 Goals]])</f>
        <v/>
      </c>
      <c r="AE38" s="120" t="str">
        <f>IF(OR(tblActuals354[[#This Row],[Team 1 Goals]]="",tblActuals354[[#This Row],[Team 2 Goals]]=""),"",tblActuals354[[#This Row],[Team 2 Goals]]-tblActuals354[[#This Row],[Team 1 Goals]])</f>
        <v/>
      </c>
      <c r="AF38" s="120" t="str">
        <f>IF(tblActuals354[[#This Row],[SCORE]]="","",IF(tblActuals354[[#This Row],[WINNER / RESULT]]="Draw",1,IF(tblActuals354[[#This Row],[WINNER / RESULT]]=tblActuals354[[#This Row],[Team 1]],3,0)))</f>
        <v/>
      </c>
      <c r="AG38" s="120" t="str">
        <f>IF(tblActuals354[[#This Row],[SCORE]]="","",IF(tblActuals354[[#This Row],[WINNER / RESULT]]="Draw",1,IF(tblActuals354[[#This Row],[WINNER / RESULT]]=tblActuals354[[#This Row],[Team 2]],3,0)))</f>
        <v/>
      </c>
      <c r="AH38" s="121"/>
      <c r="AI38" s="121"/>
      <c r="AJ38" s="121"/>
      <c r="AK38" s="121"/>
      <c r="AL38" s="120" t="e">
        <f>tblActuals354[[#This Row],[Team 1 Goals]]+tblActuals354[[#This Row],[Team 1 ET Goals]]&amp;":"&amp;tblActuals354[[#This Row],[Team 2 Goals]]+tblActuals354[[#This Row],[Team 2 ET Goals]]</f>
        <v>#VALUE!</v>
      </c>
      <c r="AM38" s="120" t="e">
        <f>+tblActuals354[[#This Row],[Team 1 Goals]]+tblActuals354[[#This Row],[Team 2 Goals]]</f>
        <v>#VALUE!</v>
      </c>
      <c r="AN38" s="161">
        <f t="shared" si="13"/>
        <v>45469</v>
      </c>
      <c r="AT38" s="77" t="s">
        <v>45</v>
      </c>
      <c r="AU38" s="142">
        <v>3</v>
      </c>
      <c r="AV38" s="143" t="str">
        <f ca="1">IFERROR(INDEX(BD:BD,MATCH("3"&amp;AT38,BN:BN,0),1),"")</f>
        <v>Portugal</v>
      </c>
      <c r="AW38" s="143" t="str">
        <f ca="1">IF(AV38="","",VLOOKUP(AV38,BD:BI,2,FALSE)&amp;"-"&amp;VLOOKUP(AV38,BD:BI,3,FALSE)&amp;"-"&amp;VLOOKUP(AV38,BD:BI,4,FALSE))</f>
        <v>0-0-0</v>
      </c>
      <c r="AX38" s="143">
        <f ca="1">IF(AV38="","",VLOOKUP(AV38,BD:BK,8,FALSE))</f>
        <v>0</v>
      </c>
      <c r="AY38" s="144">
        <f ca="1">IF(AV38="","",VLOOKUP(AV38,BD:BN,5,FALSE))</f>
        <v>0</v>
      </c>
      <c r="AZ38" s="75" t="str">
        <f ca="1">IF(INDEX($AU$43:$AU$48,MATCH(AV38,$AV$43:$AV$48,0),1)&lt;=4,"X","")</f>
        <v>X</v>
      </c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U38" s="58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4"/>
      <c r="EC38" s="58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4"/>
      <c r="FK38" s="58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13"/>
      <c r="GM38" s="13"/>
      <c r="GN38" s="13"/>
      <c r="GO38" s="13"/>
      <c r="GP38" s="13"/>
      <c r="GQ38" s="13"/>
      <c r="GR38" s="75"/>
      <c r="GS38" s="157"/>
      <c r="GT38" s="157"/>
      <c r="GU38" s="75"/>
      <c r="GV38" s="75"/>
      <c r="GW38" s="75"/>
      <c r="GX38" s="75"/>
      <c r="GY38" s="75"/>
      <c r="GZ38" s="75"/>
    </row>
    <row r="39" spans="1:208" s="11" customFormat="1" ht="30" customHeight="1" thickBot="1" x14ac:dyDescent="0.3">
      <c r="A39" s="20"/>
      <c r="B39" s="127">
        <v>36</v>
      </c>
      <c r="C39" s="127" t="s">
        <v>45</v>
      </c>
      <c r="D39" s="128">
        <v>45469</v>
      </c>
      <c r="E39" s="127" t="s">
        <v>84</v>
      </c>
      <c r="F39" s="129">
        <v>0.875</v>
      </c>
      <c r="G39" s="130">
        <f t="shared" si="11"/>
        <v>45469.625</v>
      </c>
      <c r="H39" s="127" t="s">
        <v>123</v>
      </c>
      <c r="I39" s="131"/>
      <c r="J39" s="118"/>
      <c r="K39" s="118"/>
      <c r="L39" s="174">
        <f>IF(I39="",0,IFERROR(IF(SCORING.RULES!$C$8="No",1,((VLOOKUP($B39,ACTUALS!$B$4:$L$100,7,FALSE)=$H39)+(VLOOKUP($B39,ACTUALS!$B$4:$L$100,7,FALSE)=S39)))*(M39+N39+O39+P39+Q39),0))+$R39</f>
        <v>0</v>
      </c>
      <c r="M39" s="168">
        <f>IFERROR(IF($B39="","",IF(U39=INDEX(ACTUALS!$AA$4:$AA$100,MATCH($B39,ACTUALS!$B$4:$B$100,0),1),CorrectScore,0)),0)</f>
        <v>0</v>
      </c>
      <c r="N39" s="157" t="str">
        <f>IFERROR(IF(I39="","",IF(INDEX(ACTUALS!$AB$4:$AB$100,MATCH($B39,ACTUALS!$B$4:$B$100,0),1)=(AB39+AC39+AH39+AI39),CorrectNumberofGoals,0)),0)</f>
        <v/>
      </c>
      <c r="O39" s="157"/>
      <c r="P39" s="157">
        <f>IFERROR(IF(B39="","",IF(INDEX(ACTUALS!$L$4:$L$100,MATCH($B39,ACTUALS!$B$4:$B$100,0),1)=W39,CorrectResult,0)),0)</f>
        <v>3</v>
      </c>
      <c r="Q39" s="157"/>
      <c r="R39" s="157"/>
      <c r="S39" s="157" t="str">
        <f t="shared" si="0"/>
        <v/>
      </c>
      <c r="T39" s="157"/>
      <c r="U39" s="157" t="str">
        <f t="shared" si="1"/>
        <v/>
      </c>
      <c r="V39" s="157" t="str">
        <f t="shared" si="2"/>
        <v/>
      </c>
      <c r="W39" s="132" t="str">
        <f>IF(tblActuals354[[#This Row],[SCORE]]="","",IF(AB39=AC39,"Draw",IF(AB39&gt;AC39,X39,Y39)))</f>
        <v/>
      </c>
      <c r="X39" s="120" t="str">
        <f>IF(tblActuals354[[#This Row],[TEAMS]]="","",LEFT(H39,FIND(" -",H39,1)-1))</f>
        <v>Czechia</v>
      </c>
      <c r="Y39" s="120" t="str">
        <f>IF(tblActuals354[[#This Row],[TEAMS]]="","",MID(H39,FIND("-",H39,1)+2,LEN(H39)-FIND("-",H39,1)+2))</f>
        <v>Turkey</v>
      </c>
      <c r="Z39" s="120" t="str">
        <f>IF(tblActuals354[[#This Row],[Team 1 Goals]]&gt;tblActuals354[[#This Row],[Team 2 Goals]],tblActuals354[[#This Row],[Team 1]],IF(tblActuals354[[#This Row],[Team 2 Goals]]&gt;tblActuals354[[#This Row],[Team 1 Goals]],tblActuals354[[#This Row],[Team 2]],""))</f>
        <v/>
      </c>
      <c r="AA39" s="120" t="str">
        <f>IF(tblActuals354[[#This Row],[Winner]]=tblActuals354[[#This Row],[Team 1]],tblActuals354[[#This Row],[Team 2]],IF(tblActuals354[[#This Row],[Winner]]=tblActuals354[[#This Row],[Team 2]],tblActuals354[[#This Row],[Team 1]],""))</f>
        <v/>
      </c>
      <c r="AB39" s="120" t="str">
        <f>IF(tblActuals354[[#This Row],[SCORE]]="","",LEFT(I39,FIND(":",I39,1)-1)*1)</f>
        <v/>
      </c>
      <c r="AC39" s="120" t="str">
        <f>IF(tblActuals354[[#This Row],[SCORE]]="","",MID(I39,FIND(":",I39,1)+1,LEN(I39)-FIND(":",I39,1)+1)*1)</f>
        <v/>
      </c>
      <c r="AD39" s="120" t="str">
        <f>IF(OR(tblActuals354[[#This Row],[Team 1 Goals]]="",tblActuals354[[#This Row],[Team 2 Goals]]=""),"",tblActuals354[[#This Row],[Team 1 Goals]]-tblActuals354[[#This Row],[Team 2 Goals]])</f>
        <v/>
      </c>
      <c r="AE39" s="120" t="str">
        <f>IF(OR(tblActuals354[[#This Row],[Team 1 Goals]]="",tblActuals354[[#This Row],[Team 2 Goals]]=""),"",tblActuals354[[#This Row],[Team 2 Goals]]-tblActuals354[[#This Row],[Team 1 Goals]])</f>
        <v/>
      </c>
      <c r="AF39" s="120" t="str">
        <f>IF(tblActuals354[[#This Row],[SCORE]]="","",IF(tblActuals354[[#This Row],[WINNER / RESULT]]="Draw",1,IF(tblActuals354[[#This Row],[WINNER / RESULT]]=tblActuals354[[#This Row],[Team 1]],3,0)))</f>
        <v/>
      </c>
      <c r="AG39" s="120" t="str">
        <f>IF(tblActuals354[[#This Row],[SCORE]]="","",IF(tblActuals354[[#This Row],[WINNER / RESULT]]="Draw",1,IF(tblActuals354[[#This Row],[WINNER / RESULT]]=tblActuals354[[#This Row],[Team 2]],3,0)))</f>
        <v/>
      </c>
      <c r="AH39" s="121"/>
      <c r="AI39" s="121"/>
      <c r="AJ39" s="121"/>
      <c r="AK39" s="121"/>
      <c r="AL39" s="120" t="e">
        <f>tblActuals354[[#This Row],[Team 1 Goals]]+tblActuals354[[#This Row],[Team 1 ET Goals]]&amp;":"&amp;tblActuals354[[#This Row],[Team 2 Goals]]+tblActuals354[[#This Row],[Team 2 ET Goals]]</f>
        <v>#VALUE!</v>
      </c>
      <c r="AM39" s="120" t="e">
        <f>+tblActuals354[[#This Row],[Team 1 Goals]]+tblActuals354[[#This Row],[Team 2 Goals]]</f>
        <v>#VALUE!</v>
      </c>
      <c r="AN39" s="161">
        <f t="shared" si="13"/>
        <v>45469</v>
      </c>
      <c r="AT39" s="77" t="s">
        <v>45</v>
      </c>
      <c r="AU39" s="145">
        <v>4</v>
      </c>
      <c r="AV39" s="146" t="str">
        <f ca="1">IFERROR(INDEX(BD:BD,MATCH("4"&amp;AT39,BN:BN,0),1),"")</f>
        <v>Turkey</v>
      </c>
      <c r="AW39" s="146" t="str">
        <f ca="1">IF(AV39="","",VLOOKUP(AV39,BD:BI,2,FALSE)&amp;"-"&amp;VLOOKUP(AV39,BD:BI,3,FALSE)&amp;"-"&amp;VLOOKUP(AV39,BD:BI,4,FALSE))</f>
        <v>0-0-0</v>
      </c>
      <c r="AX39" s="146">
        <f ca="1">IF(AV39="","",VLOOKUP(AV39,BD:BK,8,FALSE))</f>
        <v>0</v>
      </c>
      <c r="AY39" s="147">
        <f ca="1">IF(AV39="","",VLOOKUP(AV39,BD:BN,5,FALSE))</f>
        <v>0</v>
      </c>
      <c r="AZ39" s="75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U39" s="58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4"/>
      <c r="EC39" s="58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4"/>
      <c r="FK39" s="58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13"/>
      <c r="GM39" s="13"/>
      <c r="GN39" s="13"/>
      <c r="GO39" s="13"/>
      <c r="GP39" s="13"/>
      <c r="GQ39" s="13"/>
      <c r="GR39" s="75"/>
      <c r="GS39" s="157"/>
      <c r="GT39" s="157"/>
      <c r="GU39" s="75"/>
      <c r="GV39" s="75"/>
      <c r="GW39" s="75"/>
      <c r="GX39" s="75"/>
      <c r="GY39" s="75"/>
      <c r="GZ39" s="75"/>
    </row>
    <row r="40" spans="1:208" s="11" customFormat="1" ht="30" customHeight="1" thickBot="1" x14ac:dyDescent="0.3">
      <c r="A40" s="20"/>
      <c r="B40" s="113">
        <v>37</v>
      </c>
      <c r="C40" s="113" t="s">
        <v>48</v>
      </c>
      <c r="D40" s="114">
        <v>45472</v>
      </c>
      <c r="E40" s="113" t="s">
        <v>81</v>
      </c>
      <c r="F40" s="115">
        <v>0.875</v>
      </c>
      <c r="G40" s="116">
        <f t="shared" si="11"/>
        <v>45472.625</v>
      </c>
      <c r="H40" s="113" t="str">
        <f>IF(I39="","Round of 16",INDEX(BD:BD,MATCH("1A",BN:BN,0),1)&amp;" - "&amp;INDEX(BD:BD,MATCH("2C",BN:BN,0),1))</f>
        <v>Round of 16</v>
      </c>
      <c r="I40" s="50"/>
      <c r="J40" s="62"/>
      <c r="K40" s="66"/>
      <c r="L40" s="175">
        <f>IF(I40="",0,IFERROR(IF(SCORING.RULES!$C$8="No",1,((VLOOKUP($B40,ACTUALS!$B$4:$L$100,7,FALSE)=$H40)+(VLOOKUP($B40,ACTUALS!$B$4:$L$100,7,FALSE)=S40)))*(M40+N40+O40+P40+Q40),0))+$R40</f>
        <v>0</v>
      </c>
      <c r="M40" s="168">
        <f>IFERROR(IF($B40="","",IF(U40=INDEX(ACTUALS!$AA$4:$AA$100,MATCH($B40,ACTUALS!$B$4:$B$100,0),1),CorrectScore,0)),0)</f>
        <v>0</v>
      </c>
      <c r="N40" s="168" t="str">
        <f>IFERROR(IF(I40="","",IF(INDEX(ACTUALS!$AB$4:$AB$100,MATCH($B40,ACTUALS!$B$4:$B$100,0),1)=(AB40+AC40+AH40+AI40),CorrectNumberofGoals,0)),0)</f>
        <v/>
      </c>
      <c r="O40" s="168">
        <f>IFERROR(IF(V40="",0,IF($V40=INDEX(ACTUALS!$K$3:$K$100,MATCH($B40,ACTUALS!$B$3:$B$100,0),1),penaltiesscored,0)),0)</f>
        <v>0</v>
      </c>
      <c r="P40" s="168">
        <f>IFERROR(IF(B40="","",IF(INDEX(ACTUALS!$L$4:$L$100,MATCH($B40,ACTUALS!$B$4:$B$100,0),1)=W40,CorrectResult,0)),0)</f>
        <v>3</v>
      </c>
      <c r="Q40" s="168">
        <f>IFERROR(IF(ISNUMBER(AI40),IF(ISNUMBER(INDEX(ACTUALS!$Y$3:$Y$100,MATCH($B40,ACTUALS!$B$3:$B$100,0),1)),shootoutswon,0),0),0)</f>
        <v>0</v>
      </c>
      <c r="R40" s="168">
        <f t="shared" ref="R40:R54" si="14">(IF(ISNUMBER(FIND($X40,VLOOKUP($C40,EliminationStages,2,FALSE),1)),1,0)+IF(ISNUMBER(FIND($Y40,VLOOKUP($C40,EliminationStages,2,FALSE),1)),1,0))*CorrectStage</f>
        <v>0</v>
      </c>
      <c r="S40" s="168" t="e">
        <f>IF(OR($H40="",$B40&lt;37),"",RIGHT($H40,LEN($H40)-FIND("-",$H40,1)-1)&amp;" - "&amp;LEFT($H40,FIND("-",$H40,1)-2))</f>
        <v>#VALUE!</v>
      </c>
      <c r="T40" s="168" t="str">
        <f>IF($W40="","",IF(NOT(ISERROR(MATCH($S40,ACTUALS!$H$40:$H$47,0))),"Y","N"))</f>
        <v/>
      </c>
      <c r="U40" s="168" t="str">
        <f>IF($I40="","",IF($T40="Y",AC40+AI40&amp;":"&amp;AB40+AH40,AB40+AH40&amp;":"&amp;AC40+AI40))</f>
        <v/>
      </c>
      <c r="V40" s="168" t="str">
        <f>IF($K40="","",IF($T40="Y",$AK40&amp;":"&amp;$AJ40,$AJ40&amp;":"&amp;$AK40))</f>
        <v/>
      </c>
      <c r="W40" s="63" t="str">
        <f t="shared" ref="W40:W54" si="15">IF(I40="","",IF(AB40=AC40,IF(AJ40&gt;AK40,X40,IF(AK40&gt;AJ40,Y40,IF(AH40&gt;AI40,X40,IF(AI40&gt;AH40,Y40,"")))),IF(AB40&gt;AC40,X40,Y40)))</f>
        <v/>
      </c>
      <c r="X40" s="65" t="e">
        <f t="shared" ref="X40:X54" si="16">IF(OR(LEFT(H40,1)=" ",H40=""),"N/A",LEFT(H40,FIND(" -",H40,1)-1))</f>
        <v>#VALUE!</v>
      </c>
      <c r="Y40" s="65" t="e">
        <f t="shared" ref="Y40:Y54" si="17">IF(OR(RIGHT(H40)=" ",H40=""),"N/A",MID(H40,FIND("-",H40,1)+2,LEN(H40)-FIND("-",H40,1)+2))</f>
        <v>#VALUE!</v>
      </c>
      <c r="Z40" s="65" t="str">
        <f t="shared" ref="Z40:Z51" si="18">IF(W40="","",IF(W40=X40,X40,Y40))</f>
        <v/>
      </c>
      <c r="AA40" s="65" t="str">
        <f t="shared" ref="AA40:AA51" si="19">IF(W40="","",IF(Z40=X40,Y40,X40))</f>
        <v/>
      </c>
      <c r="AB40" s="65" t="str">
        <f t="shared" ref="AB40:AB54" si="20">IF(I40="","",LEFT(I40,FIND(":",I40,1)-1)*1)</f>
        <v/>
      </c>
      <c r="AC40" s="65" t="str">
        <f t="shared" ref="AC40:AC54" si="21">IF(I40="","",MID(I40,FIND(":",I40,1)+1,LEN(I40)-FIND(":",I40,1)+1)*1)</f>
        <v/>
      </c>
      <c r="AD40" s="65"/>
      <c r="AE40" s="65"/>
      <c r="AF40" s="65"/>
      <c r="AG40" s="65"/>
      <c r="AH40" s="65">
        <f>IF(J40="",0,LEFT(J40,FIND(":",J40,1)-1)*1)</f>
        <v>0</v>
      </c>
      <c r="AI40" s="65">
        <f>IF(J40="",0,MID(J40,FIND(":",J40,1)+1,LEN(J40)-FIND(":",J40,1)+1)*1)</f>
        <v>0</v>
      </c>
      <c r="AJ40" s="65" t="str">
        <f t="shared" ref="AJ40:AJ54" si="22">IF(K40="","",LEFT(K40,FIND(":",K40,1)-1)*1)</f>
        <v/>
      </c>
      <c r="AK40" s="65" t="str">
        <f t="shared" ref="AK40:AK54" si="23">IF(K40="","",MID(K40,FIND(":",K40,1)+1,LEN(K40)-FIND(":",K40,1)+1)*1)</f>
        <v/>
      </c>
      <c r="AL40" s="65" t="e">
        <f>AB40+N(AH40)&amp;":"&amp;AC40+N(AI40)</f>
        <v>#VALUE!</v>
      </c>
      <c r="AM40" s="65" t="e">
        <f t="shared" ref="AM40:AM54" si="24">+AB40+AC40+N(AH40)+N(AI40)</f>
        <v>#VALUE!</v>
      </c>
      <c r="AN40" s="161">
        <f t="shared" si="13"/>
        <v>45472</v>
      </c>
      <c r="AT40" s="79"/>
      <c r="AU40" s="148"/>
      <c r="AV40" s="148"/>
      <c r="AW40" s="148"/>
      <c r="AX40" s="148"/>
      <c r="AY40" s="148"/>
      <c r="AZ40" s="75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U40" s="58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4"/>
      <c r="EC40" s="58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4"/>
      <c r="FK40" s="58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13"/>
      <c r="GM40" s="13"/>
      <c r="GN40" s="13"/>
      <c r="GO40" s="13"/>
      <c r="GP40" s="13"/>
      <c r="GQ40" s="13"/>
      <c r="GR40" s="75"/>
      <c r="GS40" s="157"/>
      <c r="GT40" s="157"/>
      <c r="GU40" s="75"/>
      <c r="GV40" s="75"/>
      <c r="GW40" s="75"/>
      <c r="GX40" s="75"/>
      <c r="GY40" s="75"/>
      <c r="GZ40" s="75"/>
    </row>
    <row r="41" spans="1:208" s="11" customFormat="1" ht="30" customHeight="1" x14ac:dyDescent="0.25">
      <c r="A41" s="20"/>
      <c r="B41" s="122">
        <v>38</v>
      </c>
      <c r="C41" s="122" t="s">
        <v>48</v>
      </c>
      <c r="D41" s="123">
        <v>45472</v>
      </c>
      <c r="E41" s="122" t="s">
        <v>80</v>
      </c>
      <c r="F41" s="124">
        <v>0.75</v>
      </c>
      <c r="G41" s="125">
        <f t="shared" si="11"/>
        <v>45472.5</v>
      </c>
      <c r="H41" s="122" t="str">
        <f>IF(I39="","Round of 16",INDEX(BD:BD,MATCH("2A",BN:BN,0),1)&amp;" - "&amp;INDEX(BD:BD,MATCH("2b",BN:BN,0),1))</f>
        <v>Round of 16</v>
      </c>
      <c r="I41" s="49"/>
      <c r="J41" s="62"/>
      <c r="K41" s="66"/>
      <c r="L41" s="175">
        <f>IF(I41="",0,IFERROR(IF(SCORING.RULES!$C$8="No",1,((VLOOKUP($B41,ACTUALS!$B$4:$L$100,7,FALSE)=$H41)+(VLOOKUP($B41,ACTUALS!$B$4:$L$100,7,FALSE)=S41)))*(M41+N41+O41+P41+Q41),0))+$R41</f>
        <v>0</v>
      </c>
      <c r="M41" s="168">
        <f>IFERROR(IF($B41="","",IF(U41=INDEX(ACTUALS!$AA$4:$AA$100,MATCH($B41,ACTUALS!$B$4:$B$100,0),1),CorrectScore,0)),0)</f>
        <v>0</v>
      </c>
      <c r="N41" s="168" t="str">
        <f>IFERROR(IF(I41="","",IF(INDEX(ACTUALS!$AB$4:$AB$100,MATCH($B41,ACTUALS!$B$4:$B$100,0),1)=(AB41+AC41+AH41+AI41),CorrectNumberofGoals,0)),0)</f>
        <v/>
      </c>
      <c r="O41" s="168">
        <f>IFERROR(IF(V41="",0,IF($V41=INDEX(ACTUALS!$K$3:$K$100,MATCH($B41,ACTUALS!$B$3:$B$100,0),1),penaltiesscored,0)),0)</f>
        <v>0</v>
      </c>
      <c r="P41" s="168">
        <f>IFERROR(IF(B41="","",IF(INDEX(ACTUALS!$L$4:$L$100,MATCH($B41,ACTUALS!$B$4:$B$100,0),1)=W41,CorrectResult,0)),0)</f>
        <v>3</v>
      </c>
      <c r="Q41" s="168">
        <f>IFERROR(IF(ISNUMBER(AI41),IF(ISNUMBER(INDEX(ACTUALS!$Y$3:$Y$100,MATCH($B41,ACTUALS!$B$3:$B$100,0),1)),shootoutswon,0),0),0)</f>
        <v>0</v>
      </c>
      <c r="R41" s="168">
        <f t="shared" si="14"/>
        <v>0</v>
      </c>
      <c r="S41" s="168" t="e">
        <f t="shared" ref="S41:S54" si="25">IF(OR($H41="",$B41&lt;37),"",RIGHT($H41,LEN($H41)-FIND("-",$H41,1)-1)&amp;" - "&amp;LEFT($H41,FIND("-",$H41,1)-2))</f>
        <v>#VALUE!</v>
      </c>
      <c r="T41" s="168" t="str">
        <f>IF($W41="","",IF(NOT(ISERROR(MATCH($S41,ACTUALS!$H$40:$H$47,0))),"Y","N"))</f>
        <v/>
      </c>
      <c r="U41" s="168" t="str">
        <f t="shared" ref="U41:U54" si="26">IF($I41="","",IF($T41="Y",AC41+AI41&amp;":"&amp;AB41+AH41,AB41+AH41&amp;":"&amp;AC41+AI41))</f>
        <v/>
      </c>
      <c r="V41" s="168" t="str">
        <f t="shared" ref="V41:V54" si="27">IF($K41="","",IF($T41="Y",$AK41&amp;":"&amp;$AJ41,$AJ41&amp;":"&amp;$AK41))</f>
        <v/>
      </c>
      <c r="W41" s="63" t="str">
        <f t="shared" si="15"/>
        <v/>
      </c>
      <c r="X41" s="65" t="e">
        <f t="shared" si="16"/>
        <v>#VALUE!</v>
      </c>
      <c r="Y41" s="65" t="e">
        <f t="shared" si="17"/>
        <v>#VALUE!</v>
      </c>
      <c r="Z41" s="65" t="str">
        <f>IF(W41="","",IF(W41=X41,X41,Y41))</f>
        <v/>
      </c>
      <c r="AA41" s="65" t="str">
        <f t="shared" si="19"/>
        <v/>
      </c>
      <c r="AB41" s="65" t="str">
        <f t="shared" si="20"/>
        <v/>
      </c>
      <c r="AC41" s="65" t="str">
        <f t="shared" si="21"/>
        <v/>
      </c>
      <c r="AD41" s="65"/>
      <c r="AE41" s="65"/>
      <c r="AF41" s="65"/>
      <c r="AG41" s="65"/>
      <c r="AH41" s="65">
        <f t="shared" ref="AH41:AH54" si="28">IF(J41="",0,LEFT(J41,FIND(":",J41,1)-1)*1)</f>
        <v>0</v>
      </c>
      <c r="AI41" s="65">
        <f t="shared" ref="AI41:AI54" si="29">IF(J41="",0,MID(J41,FIND(":",J41,1)+1,LEN(J41)-FIND(":",J41,1)+1)*1)</f>
        <v>0</v>
      </c>
      <c r="AJ41" s="65" t="str">
        <f t="shared" si="22"/>
        <v/>
      </c>
      <c r="AK41" s="65" t="str">
        <f t="shared" si="23"/>
        <v/>
      </c>
      <c r="AL41" s="65" t="e">
        <f t="shared" ref="AL41:AL54" si="30">AB41+N(AH41)&amp;":"&amp;AC41+N(AI41)</f>
        <v>#VALUE!</v>
      </c>
      <c r="AM41" s="65" t="e">
        <f t="shared" si="24"/>
        <v>#VALUE!</v>
      </c>
      <c r="AN41" s="161">
        <f t="shared" si="13"/>
        <v>45472</v>
      </c>
      <c r="AT41" s="80"/>
      <c r="AU41" s="187" t="s">
        <v>138</v>
      </c>
      <c r="AV41" s="188"/>
      <c r="AW41" s="188"/>
      <c r="AX41" s="188"/>
      <c r="AY41" s="189"/>
      <c r="AZ41" s="75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U41" s="58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4"/>
      <c r="EC41" s="58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4"/>
      <c r="FK41" s="58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13"/>
      <c r="GM41" s="13"/>
      <c r="GN41" s="13"/>
      <c r="GO41" s="13"/>
      <c r="GP41" s="13"/>
      <c r="GQ41" s="13"/>
      <c r="GR41" s="75"/>
      <c r="GS41" s="157"/>
      <c r="GT41" s="157"/>
      <c r="GU41" s="75"/>
      <c r="GV41" s="75"/>
      <c r="GW41" s="75"/>
      <c r="GX41" s="75"/>
      <c r="GY41" s="75"/>
      <c r="GZ41" s="75"/>
    </row>
    <row r="42" spans="1:208" s="11" customFormat="1" ht="30" customHeight="1" thickBot="1" x14ac:dyDescent="0.3">
      <c r="A42" s="20"/>
      <c r="B42" s="122">
        <v>39</v>
      </c>
      <c r="C42" s="122" t="s">
        <v>48</v>
      </c>
      <c r="D42" s="123">
        <v>45473</v>
      </c>
      <c r="E42" s="122" t="s">
        <v>79</v>
      </c>
      <c r="F42" s="124">
        <v>0.875</v>
      </c>
      <c r="G42" s="125">
        <f t="shared" si="11"/>
        <v>45473.625</v>
      </c>
      <c r="H42" s="122" t="str">
        <f>IF(I39="","Round of 16",INDEX(BD:BD,MATCH("1B",BN:BN,0),1)&amp;" - "&amp;INDEX(BD:BD,MATCH(INDEX(HJ:HJ,MATCH(AZ42,HB:HB,0),1),BN:BN,0),1))</f>
        <v>Round of 16</v>
      </c>
      <c r="I42" s="49"/>
      <c r="J42" s="62"/>
      <c r="K42" s="66"/>
      <c r="L42" s="175">
        <f>IF(I42="",0,IFERROR(IF(SCORING.RULES!$C$8="No",1,((VLOOKUP($B42,ACTUALS!$B$4:$L$100,7,FALSE)=$H42)+(VLOOKUP($B42,ACTUALS!$B$4:$L$100,7,FALSE)=S42)))*(M42+N42+O42+P42+Q42),0))+$R42</f>
        <v>0</v>
      </c>
      <c r="M42" s="168">
        <f>IFERROR(IF($B42="","",IF(U42=INDEX(ACTUALS!$AA$4:$AA$100,MATCH($B42,ACTUALS!$B$4:$B$100,0),1),CorrectScore,0)),0)</f>
        <v>0</v>
      </c>
      <c r="N42" s="168" t="str">
        <f>IFERROR(IF(I42="","",IF(INDEX(ACTUALS!$AB$4:$AB$100,MATCH($B42,ACTUALS!$B$4:$B$100,0),1)=(AB42+AC42+AH42+AI42),CorrectNumberofGoals,0)),0)</f>
        <v/>
      </c>
      <c r="O42" s="168">
        <f>IFERROR(IF(V42="",0,IF($V42=INDEX(ACTUALS!$K$3:$K$100,MATCH($B42,ACTUALS!$B$3:$B$100,0),1),penaltiesscored,0)),0)</f>
        <v>0</v>
      </c>
      <c r="P42" s="168">
        <f>IFERROR(IF(B42="","",IF(INDEX(ACTUALS!$L$4:$L$100,MATCH($B42,ACTUALS!$B$4:$B$100,0),1)=W42,CorrectResult,0)),0)</f>
        <v>3</v>
      </c>
      <c r="Q42" s="168">
        <f>IFERROR(IF(ISNUMBER(AI42),IF(ISNUMBER(INDEX(ACTUALS!$Y$3:$Y$100,MATCH($B42,ACTUALS!$B$3:$B$100,0),1)),shootoutswon,0),0),0)</f>
        <v>0</v>
      </c>
      <c r="R42" s="168">
        <f t="shared" si="14"/>
        <v>0</v>
      </c>
      <c r="S42" s="168" t="e">
        <f t="shared" si="25"/>
        <v>#VALUE!</v>
      </c>
      <c r="T42" s="168" t="str">
        <f>IF($W42="","",IF(NOT(ISERROR(MATCH($S42,ACTUALS!$H$40:$H$47,0))),"Y","N"))</f>
        <v/>
      </c>
      <c r="U42" s="168" t="str">
        <f t="shared" si="26"/>
        <v/>
      </c>
      <c r="V42" s="168" t="str">
        <f t="shared" si="27"/>
        <v/>
      </c>
      <c r="W42" s="63" t="str">
        <f t="shared" si="15"/>
        <v/>
      </c>
      <c r="X42" s="65" t="e">
        <f t="shared" si="16"/>
        <v>#VALUE!</v>
      </c>
      <c r="Y42" s="65" t="e">
        <f t="shared" si="17"/>
        <v>#VALUE!</v>
      </c>
      <c r="Z42" s="65" t="str">
        <f t="shared" si="18"/>
        <v/>
      </c>
      <c r="AA42" s="65" t="str">
        <f t="shared" si="19"/>
        <v/>
      </c>
      <c r="AB42" s="65" t="str">
        <f t="shared" si="20"/>
        <v/>
      </c>
      <c r="AC42" s="65" t="str">
        <f t="shared" si="21"/>
        <v/>
      </c>
      <c r="AD42" s="65"/>
      <c r="AE42" s="65"/>
      <c r="AF42" s="65"/>
      <c r="AG42" s="65"/>
      <c r="AH42" s="65">
        <f t="shared" si="28"/>
        <v>0</v>
      </c>
      <c r="AI42" s="65">
        <f t="shared" si="29"/>
        <v>0</v>
      </c>
      <c r="AJ42" s="65" t="str">
        <f t="shared" si="22"/>
        <v/>
      </c>
      <c r="AK42" s="65" t="str">
        <f t="shared" si="23"/>
        <v/>
      </c>
      <c r="AL42" s="65" t="e">
        <f t="shared" si="30"/>
        <v>#VALUE!</v>
      </c>
      <c r="AM42" s="65" t="e">
        <f t="shared" si="24"/>
        <v>#VALUE!</v>
      </c>
      <c r="AN42" s="161">
        <f t="shared" si="13"/>
        <v>45473</v>
      </c>
      <c r="AT42" s="79"/>
      <c r="AU42" s="149" t="s">
        <v>140</v>
      </c>
      <c r="AV42" s="150" t="s">
        <v>13</v>
      </c>
      <c r="AW42" s="150" t="s">
        <v>46</v>
      </c>
      <c r="AX42" s="150" t="s">
        <v>57</v>
      </c>
      <c r="AY42" s="151" t="s">
        <v>11</v>
      </c>
      <c r="AZ42" s="75" t="str">
        <f ca="1">IF(AZ8="X","A","")&amp;IF(AZ14="X","B","")&amp;IF(AZ20="X","C","")&amp;IF(AZ26="X","D","")&amp;IF(AZ32="X","E","")&amp;IF(AZ38="X","F","")</f>
        <v>CDEF</v>
      </c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U42" s="58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R42" s="75"/>
      <c r="GS42" s="157"/>
      <c r="GT42" s="157"/>
      <c r="GU42" s="75"/>
      <c r="GV42" s="75"/>
      <c r="GW42" s="75"/>
      <c r="GX42" s="75"/>
      <c r="GY42" s="75"/>
      <c r="GZ42" s="75"/>
    </row>
    <row r="43" spans="1:208" s="11" customFormat="1" ht="30" customHeight="1" x14ac:dyDescent="0.25">
      <c r="A43" s="20"/>
      <c r="B43" s="122">
        <v>40</v>
      </c>
      <c r="C43" s="122" t="s">
        <v>48</v>
      </c>
      <c r="D43" s="123">
        <v>45473</v>
      </c>
      <c r="E43" s="122" t="s">
        <v>82</v>
      </c>
      <c r="F43" s="124">
        <v>0.75</v>
      </c>
      <c r="G43" s="125">
        <f t="shared" si="11"/>
        <v>45473.5</v>
      </c>
      <c r="H43" s="122" t="str">
        <f>IF(I39="","Round of 16",INDEX(BD:BD,MATCH("1c",BN:BN,0),1)&amp;" - "&amp;INDEX(BD:BD,MATCH(INDEX(HK:HK,MATCH(AZ42,HB:HB,0),1),BN:BN,0),1))</f>
        <v>Round of 16</v>
      </c>
      <c r="I43" s="49"/>
      <c r="J43" s="62"/>
      <c r="K43" s="66"/>
      <c r="L43" s="175">
        <f>IF(I43="",0,IFERROR(IF(SCORING.RULES!$C$8="No",1,((VLOOKUP($B43,ACTUALS!$B$4:$L$100,7,FALSE)=$H43)+(VLOOKUP($B43,ACTUALS!$B$4:$L$100,7,FALSE)=S43)))*(M43+N43+O43+P43+Q43),0))+$R43</f>
        <v>0</v>
      </c>
      <c r="M43" s="168">
        <f>IFERROR(IF($B43="","",IF(U43=INDEX(ACTUALS!$AA$4:$AA$100,MATCH($B43,ACTUALS!$B$4:$B$100,0),1),CorrectScore,0)),0)</f>
        <v>0</v>
      </c>
      <c r="N43" s="168" t="str">
        <f>IFERROR(IF(I43="","",IF(INDEX(ACTUALS!$AB$4:$AB$100,MATCH($B43,ACTUALS!$B$4:$B$100,0),1)=(AB43+AC43+AH43+AI43),CorrectNumberofGoals,0)),0)</f>
        <v/>
      </c>
      <c r="O43" s="168">
        <f>IFERROR(IF(V43="",0,IF($V43=INDEX(ACTUALS!$K$3:$K$100,MATCH($B43,ACTUALS!$B$3:$B$100,0),1),penaltiesscored,0)),0)</f>
        <v>0</v>
      </c>
      <c r="P43" s="168">
        <f>IFERROR(IF(B43="","",IF(INDEX(ACTUALS!$L$4:$L$100,MATCH($B43,ACTUALS!$B$4:$B$100,0),1)=W43,CorrectResult,0)),0)</f>
        <v>3</v>
      </c>
      <c r="Q43" s="168">
        <f>IFERROR(IF(ISNUMBER(AI43),IF(ISNUMBER(INDEX(ACTUALS!$Y$3:$Y$100,MATCH($B43,ACTUALS!$B$3:$B$100,0),1)),shootoutswon,0),0),0)</f>
        <v>0</v>
      </c>
      <c r="R43" s="168">
        <f t="shared" si="14"/>
        <v>0</v>
      </c>
      <c r="S43" s="168" t="e">
        <f t="shared" si="25"/>
        <v>#VALUE!</v>
      </c>
      <c r="T43" s="168" t="str">
        <f>IF($W43="","",IF(NOT(ISERROR(MATCH($S43,ACTUALS!$H$40:$H$47,0))),"Y","N"))</f>
        <v/>
      </c>
      <c r="U43" s="168" t="str">
        <f t="shared" si="26"/>
        <v/>
      </c>
      <c r="V43" s="168" t="str">
        <f t="shared" si="27"/>
        <v/>
      </c>
      <c r="W43" s="63" t="str">
        <f t="shared" si="15"/>
        <v/>
      </c>
      <c r="X43" s="65" t="e">
        <f t="shared" si="16"/>
        <v>#VALUE!</v>
      </c>
      <c r="Y43" s="65" t="e">
        <f t="shared" si="17"/>
        <v>#VALUE!</v>
      </c>
      <c r="Z43" s="65" t="str">
        <f t="shared" si="18"/>
        <v/>
      </c>
      <c r="AA43" s="65" t="str">
        <f t="shared" si="19"/>
        <v/>
      </c>
      <c r="AB43" s="65" t="str">
        <f t="shared" si="20"/>
        <v/>
      </c>
      <c r="AC43" s="65" t="str">
        <f t="shared" si="21"/>
        <v/>
      </c>
      <c r="AD43" s="65"/>
      <c r="AE43" s="65"/>
      <c r="AF43" s="65"/>
      <c r="AG43" s="65"/>
      <c r="AH43" s="65">
        <f t="shared" si="28"/>
        <v>0</v>
      </c>
      <c r="AI43" s="65">
        <f t="shared" si="29"/>
        <v>0</v>
      </c>
      <c r="AJ43" s="65" t="str">
        <f t="shared" si="22"/>
        <v/>
      </c>
      <c r="AK43" s="65" t="str">
        <f t="shared" si="23"/>
        <v/>
      </c>
      <c r="AL43" s="65" t="e">
        <f t="shared" si="30"/>
        <v>#VALUE!</v>
      </c>
      <c r="AM43" s="65" t="e">
        <f t="shared" si="24"/>
        <v>#VALUE!</v>
      </c>
      <c r="AN43" s="161">
        <f t="shared" si="13"/>
        <v>45473</v>
      </c>
      <c r="AT43" s="79"/>
      <c r="AU43" s="136">
        <v>1</v>
      </c>
      <c r="AV43" s="137" t="str">
        <f t="shared" ref="AV43:AV48" ca="1" si="31">IF(GV4&lt;&gt;"",GV4,INDEX($CB$4:$CB$9,MATCH(ROW(A1),$CH$4:$CH$9,0),1))</f>
        <v>Portugal</v>
      </c>
      <c r="AW43" s="137" t="str">
        <f t="shared" ref="AW43:AW48" ca="1" si="32">INDEX($AW$5:$AW$39,MATCH($AV43,$AV$5:$AV$39,0),1)</f>
        <v>0-0-0</v>
      </c>
      <c r="AX43" s="137">
        <f t="shared" ref="AX43:AX48" ca="1" si="33">INDEX($AX$5:$AX$39,MATCH($AV43,$AV$5:$AV$39,0),1)</f>
        <v>0</v>
      </c>
      <c r="AY43" s="138">
        <f t="shared" ref="AY43:AY48" ca="1" si="34">INDEX($AY$5:$AY$39,MATCH($AV43,$AV$5:$AV$39,0),1)</f>
        <v>0</v>
      </c>
      <c r="AZ43" s="75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U43" s="58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R43" s="75"/>
      <c r="GS43" s="157"/>
      <c r="GT43" s="157"/>
      <c r="GU43" s="75"/>
      <c r="GV43" s="75"/>
      <c r="GW43" s="75"/>
      <c r="GX43" s="75"/>
      <c r="GY43" s="75"/>
      <c r="GZ43" s="75"/>
    </row>
    <row r="44" spans="1:208" s="11" customFormat="1" ht="30" customHeight="1" x14ac:dyDescent="0.25">
      <c r="A44" s="20"/>
      <c r="B44" s="122">
        <v>41</v>
      </c>
      <c r="C44" s="122" t="s">
        <v>48</v>
      </c>
      <c r="D44" s="123">
        <v>45474</v>
      </c>
      <c r="E44" s="122" t="s">
        <v>86</v>
      </c>
      <c r="F44" s="124">
        <v>0.875</v>
      </c>
      <c r="G44" s="125">
        <f t="shared" si="11"/>
        <v>45474.625</v>
      </c>
      <c r="H44" s="122" t="str">
        <f>IF(I39="","Round of 16",INDEX(BD:BD,MATCH("1f",BN:BN,0),1)&amp;" - "&amp;INDEX(BD:BD,MATCH(INDEX(HM:HM,MATCH(AZ42,HB:HB,0),1),BN:BN,0),1))</f>
        <v>Round of 16</v>
      </c>
      <c r="I44" s="49"/>
      <c r="J44" s="62"/>
      <c r="K44" s="66"/>
      <c r="L44" s="175">
        <f>IF(I44="",0,IFERROR(IF(SCORING.RULES!$C$8="No",1,((VLOOKUP($B44,ACTUALS!$B$4:$L$100,7,FALSE)=$H44)+(VLOOKUP($B44,ACTUALS!$B$4:$L$100,7,FALSE)=S44)))*(M44+N44+O44+P44+Q44),0))+$R44</f>
        <v>0</v>
      </c>
      <c r="M44" s="168">
        <f>IFERROR(IF($B44="","",IF(U44=INDEX(ACTUALS!$AA$4:$AA$100,MATCH($B44,ACTUALS!$B$4:$B$100,0),1),CorrectScore,0)),0)</f>
        <v>0</v>
      </c>
      <c r="N44" s="168" t="str">
        <f>IFERROR(IF(I44="","",IF(INDEX(ACTUALS!$AB$4:$AB$100,MATCH($B44,ACTUALS!$B$4:$B$100,0),1)=(AB44+AC44+AH44+AI44),CorrectNumberofGoals,0)),0)</f>
        <v/>
      </c>
      <c r="O44" s="168">
        <f>IFERROR(IF(V44="",0,IF($V44=INDEX(ACTUALS!$K$3:$K$100,MATCH($B44,ACTUALS!$B$3:$B$100,0),1),penaltiesscored,0)),0)</f>
        <v>0</v>
      </c>
      <c r="P44" s="168">
        <f>IFERROR(IF(B44="","",IF(INDEX(ACTUALS!$L$4:$L$100,MATCH($B44,ACTUALS!$B$4:$B$100,0),1)=W44,CorrectResult,0)),0)</f>
        <v>3</v>
      </c>
      <c r="Q44" s="168">
        <f>IFERROR(IF(ISNUMBER(AI44),IF(ISNUMBER(INDEX(ACTUALS!$Y$3:$Y$100,MATCH($B44,ACTUALS!$B$3:$B$100,0),1)),shootoutswon,0),0),0)</f>
        <v>0</v>
      </c>
      <c r="R44" s="168">
        <f t="shared" si="14"/>
        <v>0</v>
      </c>
      <c r="S44" s="168" t="e">
        <f t="shared" si="25"/>
        <v>#VALUE!</v>
      </c>
      <c r="T44" s="168" t="str">
        <f>IF($W44="","",IF(NOT(ISERROR(MATCH($S44,ACTUALS!$H$40:$H$47,0))),"Y","N"))</f>
        <v/>
      </c>
      <c r="U44" s="168" t="str">
        <f t="shared" si="26"/>
        <v/>
      </c>
      <c r="V44" s="168" t="str">
        <f t="shared" si="27"/>
        <v/>
      </c>
      <c r="W44" s="63" t="str">
        <f t="shared" si="15"/>
        <v/>
      </c>
      <c r="X44" s="65" t="e">
        <f t="shared" si="16"/>
        <v>#VALUE!</v>
      </c>
      <c r="Y44" s="65" t="e">
        <f t="shared" si="17"/>
        <v>#VALUE!</v>
      </c>
      <c r="Z44" s="65" t="str">
        <f t="shared" si="18"/>
        <v/>
      </c>
      <c r="AA44" s="65" t="str">
        <f t="shared" si="19"/>
        <v/>
      </c>
      <c r="AB44" s="65" t="str">
        <f t="shared" si="20"/>
        <v/>
      </c>
      <c r="AC44" s="65" t="str">
        <f t="shared" si="21"/>
        <v/>
      </c>
      <c r="AD44" s="65"/>
      <c r="AE44" s="65"/>
      <c r="AF44" s="65"/>
      <c r="AG44" s="65"/>
      <c r="AH44" s="65">
        <f t="shared" si="28"/>
        <v>0</v>
      </c>
      <c r="AI44" s="65">
        <f t="shared" si="29"/>
        <v>0</v>
      </c>
      <c r="AJ44" s="65" t="str">
        <f t="shared" si="22"/>
        <v/>
      </c>
      <c r="AK44" s="65" t="str">
        <f t="shared" si="23"/>
        <v/>
      </c>
      <c r="AL44" s="65" t="e">
        <f t="shared" si="30"/>
        <v>#VALUE!</v>
      </c>
      <c r="AM44" s="65" t="e">
        <f t="shared" si="24"/>
        <v>#VALUE!</v>
      </c>
      <c r="AN44" s="161">
        <f t="shared" si="13"/>
        <v>45474</v>
      </c>
      <c r="AT44" s="79"/>
      <c r="AU44" s="136">
        <v>2</v>
      </c>
      <c r="AV44" s="137" t="str">
        <f t="shared" ca="1" si="31"/>
        <v>Slovakia</v>
      </c>
      <c r="AW44" s="137" t="str">
        <f t="shared" ca="1" si="32"/>
        <v>0-0-0</v>
      </c>
      <c r="AX44" s="137">
        <f t="shared" ca="1" si="33"/>
        <v>0</v>
      </c>
      <c r="AY44" s="138">
        <f t="shared" ca="1" si="34"/>
        <v>0</v>
      </c>
      <c r="AZ44" s="75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U44" s="58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R44" s="75"/>
      <c r="GS44" s="157"/>
      <c r="GT44" s="157"/>
      <c r="GU44" s="75"/>
      <c r="GV44" s="75"/>
      <c r="GW44" s="75"/>
      <c r="GX44" s="75"/>
      <c r="GY44" s="75"/>
      <c r="GZ44" s="75"/>
    </row>
    <row r="45" spans="1:208" s="11" customFormat="1" ht="30" customHeight="1" x14ac:dyDescent="0.25">
      <c r="A45" s="20"/>
      <c r="B45" s="122">
        <v>42</v>
      </c>
      <c r="C45" s="122" t="s">
        <v>48</v>
      </c>
      <c r="D45" s="123">
        <v>45474</v>
      </c>
      <c r="E45" s="122" t="s">
        <v>85</v>
      </c>
      <c r="F45" s="124">
        <v>0.75</v>
      </c>
      <c r="G45" s="125">
        <f t="shared" si="11"/>
        <v>45474.5</v>
      </c>
      <c r="H45" s="122" t="str">
        <f>IF(I39="","Round of 16",INDEX(BD:BD,MATCH("2d",BN:BN,0),1)&amp;" - "&amp;INDEX(BD:BD,MATCH("2e",BN:BN,0),1))</f>
        <v>Round of 16</v>
      </c>
      <c r="I45" s="49"/>
      <c r="J45" s="62"/>
      <c r="K45" s="66"/>
      <c r="L45" s="175">
        <f>IF(I45="",0,IFERROR(IF(SCORING.RULES!$C$8="No",1,((VLOOKUP($B45,ACTUALS!$B$4:$L$100,7,FALSE)=$H45)+(VLOOKUP($B45,ACTUALS!$B$4:$L$100,7,FALSE)=S45)))*(M45+N45+O45+P45+Q45),0))+$R45</f>
        <v>0</v>
      </c>
      <c r="M45" s="168">
        <f>IFERROR(IF($B45="","",IF(U45=INDEX(ACTUALS!$AA$4:$AA$100,MATCH($B45,ACTUALS!$B$4:$B$100,0),1),CorrectScore,0)),0)</f>
        <v>0</v>
      </c>
      <c r="N45" s="168" t="str">
        <f>IFERROR(IF(I45="","",IF(INDEX(ACTUALS!$AB$4:$AB$100,MATCH($B45,ACTUALS!$B$4:$B$100,0),1)=(AB45+AC45+AH45+AI45),CorrectNumberofGoals,0)),0)</f>
        <v/>
      </c>
      <c r="O45" s="168">
        <f>IFERROR(IF(V45="",0,IF($V45=INDEX(ACTUALS!$K$3:$K$100,MATCH($B45,ACTUALS!$B$3:$B$100,0),1),penaltiesscored,0)),0)</f>
        <v>0</v>
      </c>
      <c r="P45" s="168">
        <f>IFERROR(IF(B45="","",IF(INDEX(ACTUALS!$L$4:$L$100,MATCH($B45,ACTUALS!$B$4:$B$100,0),1)=W45,CorrectResult,0)),0)</f>
        <v>3</v>
      </c>
      <c r="Q45" s="168">
        <f>IFERROR(IF(ISNUMBER(AI45),IF(ISNUMBER(INDEX(ACTUALS!$Y$3:$Y$100,MATCH($B45,ACTUALS!$B$3:$B$100,0),1)),shootoutswon,0),0),0)</f>
        <v>0</v>
      </c>
      <c r="R45" s="168">
        <f t="shared" si="14"/>
        <v>0</v>
      </c>
      <c r="S45" s="168" t="e">
        <f t="shared" si="25"/>
        <v>#VALUE!</v>
      </c>
      <c r="T45" s="168" t="str">
        <f>IF($W45="","",IF(NOT(ISERROR(MATCH($S45,ACTUALS!$H$40:$H$47,0))),"Y","N"))</f>
        <v/>
      </c>
      <c r="U45" s="168" t="str">
        <f t="shared" si="26"/>
        <v/>
      </c>
      <c r="V45" s="168" t="str">
        <f t="shared" si="27"/>
        <v/>
      </c>
      <c r="W45" s="63" t="str">
        <f t="shared" si="15"/>
        <v/>
      </c>
      <c r="X45" s="65" t="e">
        <f t="shared" si="16"/>
        <v>#VALUE!</v>
      </c>
      <c r="Y45" s="65" t="e">
        <f t="shared" si="17"/>
        <v>#VALUE!</v>
      </c>
      <c r="Z45" s="65" t="str">
        <f t="shared" si="18"/>
        <v/>
      </c>
      <c r="AA45" s="65" t="str">
        <f t="shared" si="19"/>
        <v/>
      </c>
      <c r="AB45" s="65" t="str">
        <f t="shared" si="20"/>
        <v/>
      </c>
      <c r="AC45" s="65" t="str">
        <f t="shared" si="21"/>
        <v/>
      </c>
      <c r="AD45" s="65"/>
      <c r="AE45" s="65"/>
      <c r="AF45" s="65"/>
      <c r="AG45" s="65"/>
      <c r="AH45" s="65">
        <f t="shared" si="28"/>
        <v>0</v>
      </c>
      <c r="AI45" s="65">
        <f t="shared" si="29"/>
        <v>0</v>
      </c>
      <c r="AJ45" s="65" t="str">
        <f t="shared" si="22"/>
        <v/>
      </c>
      <c r="AK45" s="65" t="str">
        <f t="shared" si="23"/>
        <v/>
      </c>
      <c r="AL45" s="65" t="e">
        <f t="shared" si="30"/>
        <v>#VALUE!</v>
      </c>
      <c r="AM45" s="65" t="e">
        <f t="shared" si="24"/>
        <v>#VALUE!</v>
      </c>
      <c r="AN45" s="161">
        <f t="shared" si="13"/>
        <v>45474</v>
      </c>
      <c r="AT45" s="79"/>
      <c r="AU45" s="136">
        <v>3</v>
      </c>
      <c r="AV45" s="137" t="str">
        <f t="shared" ca="1" si="31"/>
        <v>Netherlands</v>
      </c>
      <c r="AW45" s="137" t="str">
        <f t="shared" ca="1" si="32"/>
        <v>0-0-0</v>
      </c>
      <c r="AX45" s="137">
        <f t="shared" ca="1" si="33"/>
        <v>0</v>
      </c>
      <c r="AY45" s="138">
        <f t="shared" ca="1" si="34"/>
        <v>0</v>
      </c>
      <c r="AZ45" s="75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U45" s="58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R45" s="75"/>
      <c r="GS45" s="157"/>
      <c r="GT45" s="157"/>
      <c r="GU45" s="75"/>
      <c r="GV45" s="75"/>
      <c r="GW45" s="75"/>
      <c r="GX45" s="75"/>
      <c r="GY45" s="75"/>
      <c r="GZ45" s="75"/>
    </row>
    <row r="46" spans="1:208" s="11" customFormat="1" ht="30" customHeight="1" x14ac:dyDescent="0.25">
      <c r="A46" s="20"/>
      <c r="B46" s="122">
        <v>43</v>
      </c>
      <c r="C46" s="122" t="s">
        <v>48</v>
      </c>
      <c r="D46" s="123">
        <v>45475</v>
      </c>
      <c r="E46" s="122" t="s">
        <v>78</v>
      </c>
      <c r="F46" s="124">
        <v>0.75</v>
      </c>
      <c r="G46" s="125">
        <f t="shared" si="11"/>
        <v>45475.5</v>
      </c>
      <c r="H46" s="122" t="str">
        <f>IF(I39="","Round of 16",INDEX(BD:BD,MATCH("1e",BN:BN,0),1)&amp;" - "&amp;INDEX(BD:BD,MATCH(INDEX(HL:HL,MATCH(AZ42,HB:HB,0),1),BN:BN,0),1))</f>
        <v>Round of 16</v>
      </c>
      <c r="I46" s="49"/>
      <c r="J46" s="62"/>
      <c r="K46" s="66"/>
      <c r="L46" s="175">
        <f>IF(I46="",0,IFERROR(IF(SCORING.RULES!$C$8="No",1,((VLOOKUP($B46,ACTUALS!$B$4:$L$100,7,FALSE)=$H46)+(VLOOKUP($B46,ACTUALS!$B$4:$L$100,7,FALSE)=S46)))*(M46+N46+O46+P46+Q46),0))+$R46</f>
        <v>0</v>
      </c>
      <c r="M46" s="168">
        <f>IFERROR(IF($B46="","",IF(U46=INDEX(ACTUALS!$AA$4:$AA$100,MATCH($B46,ACTUALS!$B$4:$B$100,0),1),CorrectScore,0)),0)</f>
        <v>0</v>
      </c>
      <c r="N46" s="168" t="str">
        <f>IFERROR(IF(I46="","",IF(INDEX(ACTUALS!$AB$4:$AB$100,MATCH($B46,ACTUALS!$B$4:$B$100,0),1)=(AB46+AC46+AH46+AI46),CorrectNumberofGoals,0)),0)</f>
        <v/>
      </c>
      <c r="O46" s="168">
        <f>IFERROR(IF(V46="",0,IF($V46=INDEX(ACTUALS!$K$3:$K$100,MATCH($B46,ACTUALS!$B$3:$B$100,0),1),penaltiesscored,0)),0)</f>
        <v>0</v>
      </c>
      <c r="P46" s="168">
        <f>IFERROR(IF(B46="","",IF(INDEX(ACTUALS!$L$4:$L$100,MATCH($B46,ACTUALS!$B$4:$B$100,0),1)=W46,CorrectResult,0)),0)</f>
        <v>3</v>
      </c>
      <c r="Q46" s="168">
        <f>IFERROR(IF(ISNUMBER(AI46),IF(ISNUMBER(INDEX(ACTUALS!$Y$3:$Y$100,MATCH($B46,ACTUALS!$B$3:$B$100,0),1)),shootoutswon,0),0),0)</f>
        <v>0</v>
      </c>
      <c r="R46" s="168">
        <f t="shared" si="14"/>
        <v>0</v>
      </c>
      <c r="S46" s="168" t="e">
        <f t="shared" si="25"/>
        <v>#VALUE!</v>
      </c>
      <c r="T46" s="168" t="str">
        <f>IF($W46="","",IF(NOT(ISERROR(MATCH($S46,ACTUALS!$H$40:$H$47,0))),"Y","N"))</f>
        <v/>
      </c>
      <c r="U46" s="168" t="str">
        <f t="shared" si="26"/>
        <v/>
      </c>
      <c r="V46" s="168" t="str">
        <f t="shared" si="27"/>
        <v/>
      </c>
      <c r="W46" s="63" t="str">
        <f t="shared" si="15"/>
        <v/>
      </c>
      <c r="X46" s="65" t="e">
        <f t="shared" si="16"/>
        <v>#VALUE!</v>
      </c>
      <c r="Y46" s="65" t="e">
        <f t="shared" si="17"/>
        <v>#VALUE!</v>
      </c>
      <c r="Z46" s="65" t="str">
        <f t="shared" si="18"/>
        <v/>
      </c>
      <c r="AA46" s="65" t="str">
        <f t="shared" si="19"/>
        <v/>
      </c>
      <c r="AB46" s="65" t="str">
        <f t="shared" si="20"/>
        <v/>
      </c>
      <c r="AC46" s="65" t="str">
        <f t="shared" si="21"/>
        <v/>
      </c>
      <c r="AD46" s="65"/>
      <c r="AE46" s="65"/>
      <c r="AF46" s="65"/>
      <c r="AG46" s="65"/>
      <c r="AH46" s="65">
        <f t="shared" si="28"/>
        <v>0</v>
      </c>
      <c r="AI46" s="65">
        <f t="shared" si="29"/>
        <v>0</v>
      </c>
      <c r="AJ46" s="65" t="str">
        <f t="shared" si="22"/>
        <v/>
      </c>
      <c r="AK46" s="65" t="str">
        <f t="shared" si="23"/>
        <v/>
      </c>
      <c r="AL46" s="65" t="e">
        <f t="shared" si="30"/>
        <v>#VALUE!</v>
      </c>
      <c r="AM46" s="65" t="e">
        <f t="shared" si="24"/>
        <v>#VALUE!</v>
      </c>
      <c r="AN46" s="161">
        <f t="shared" si="13"/>
        <v>45475</v>
      </c>
      <c r="AT46" s="79"/>
      <c r="AU46" s="139">
        <v>4</v>
      </c>
      <c r="AV46" s="140" t="str">
        <f t="shared" ca="1" si="31"/>
        <v>Serbia</v>
      </c>
      <c r="AW46" s="140" t="str">
        <f t="shared" ca="1" si="32"/>
        <v>0-0-0</v>
      </c>
      <c r="AX46" s="140">
        <f t="shared" ca="1" si="33"/>
        <v>0</v>
      </c>
      <c r="AY46" s="141">
        <f t="shared" ca="1" si="34"/>
        <v>0</v>
      </c>
      <c r="AZ46" s="75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U46" s="58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R46" s="75"/>
      <c r="GS46" s="157"/>
      <c r="GT46" s="157"/>
      <c r="GU46" s="75"/>
      <c r="GV46" s="75"/>
      <c r="GW46" s="75"/>
      <c r="GX46" s="75"/>
      <c r="GY46" s="75"/>
      <c r="GZ46" s="75"/>
    </row>
    <row r="47" spans="1:208" s="11" customFormat="1" ht="30" customHeight="1" thickBot="1" x14ac:dyDescent="0.3">
      <c r="A47" s="20"/>
      <c r="B47" s="127">
        <v>44</v>
      </c>
      <c r="C47" s="127" t="s">
        <v>48</v>
      </c>
      <c r="D47" s="128">
        <v>45475</v>
      </c>
      <c r="E47" s="127" t="s">
        <v>87</v>
      </c>
      <c r="F47" s="129">
        <v>0.875</v>
      </c>
      <c r="G47" s="130">
        <f t="shared" si="11"/>
        <v>45475.625</v>
      </c>
      <c r="H47" s="127" t="str">
        <f>IF(I39="","Round of 16",INDEX(BD:BD,MATCH("1d",BN:BN,0),1)&amp;" - "&amp;INDEX(BD:BD,MATCH("2f",BN:BN,0),1))</f>
        <v>Round of 16</v>
      </c>
      <c r="I47" s="51"/>
      <c r="J47" s="62"/>
      <c r="K47" s="66"/>
      <c r="L47" s="175">
        <f>IF(I47="",0,IFERROR(IF(SCORING.RULES!$C$8="No",1,((VLOOKUP($B47,ACTUALS!$B$4:$L$100,7,FALSE)=$H47)+(VLOOKUP($B47,ACTUALS!$B$4:$L$100,7,FALSE)=S47)))*(M47+N47+O47+P47+Q47),0))+$R47</f>
        <v>0</v>
      </c>
      <c r="M47" s="168">
        <f>IFERROR(IF($B47="","",IF(U47=INDEX(ACTUALS!$AA$4:$AA$100,MATCH($B47,ACTUALS!$B$4:$B$100,0),1),CorrectScore,0)),0)</f>
        <v>0</v>
      </c>
      <c r="N47" s="168" t="str">
        <f>IFERROR(IF(I47="","",IF(INDEX(ACTUALS!$AB$4:$AB$100,MATCH($B47,ACTUALS!$B$4:$B$100,0),1)=(AB47+AC47+AH47+AI47),CorrectNumberofGoals,0)),0)</f>
        <v/>
      </c>
      <c r="O47" s="168">
        <f>IFERROR(IF(V47="",0,IF($V47=INDEX(ACTUALS!$K$3:$K$100,MATCH($B47,ACTUALS!$B$3:$B$100,0),1),penaltiesscored,0)),0)</f>
        <v>0</v>
      </c>
      <c r="P47" s="168">
        <f>IFERROR(IF(B47="","",IF(INDEX(ACTUALS!$L$4:$L$100,MATCH($B47,ACTUALS!$B$4:$B$100,0),1)=W47,CorrectResult,0)),0)</f>
        <v>3</v>
      </c>
      <c r="Q47" s="168">
        <f>IFERROR(IF(ISNUMBER(AI47),IF(ISNUMBER(INDEX(ACTUALS!$Y$3:$Y$100,MATCH($B47,ACTUALS!$B$3:$B$100,0),1)),shootoutswon,0),0),0)</f>
        <v>0</v>
      </c>
      <c r="R47" s="168">
        <f t="shared" si="14"/>
        <v>0</v>
      </c>
      <c r="S47" s="168" t="e">
        <f t="shared" si="25"/>
        <v>#VALUE!</v>
      </c>
      <c r="T47" s="168" t="str">
        <f>IF($W47="","",IF(NOT(ISERROR(MATCH($S47,ACTUALS!$H$40:$H$47,0))),"Y","N"))</f>
        <v/>
      </c>
      <c r="U47" s="168" t="str">
        <f t="shared" si="26"/>
        <v/>
      </c>
      <c r="V47" s="168" t="str">
        <f t="shared" si="27"/>
        <v/>
      </c>
      <c r="W47" s="63" t="str">
        <f t="shared" si="15"/>
        <v/>
      </c>
      <c r="X47" s="65" t="e">
        <f t="shared" si="16"/>
        <v>#VALUE!</v>
      </c>
      <c r="Y47" s="65" t="e">
        <f t="shared" si="17"/>
        <v>#VALUE!</v>
      </c>
      <c r="Z47" s="65" t="str">
        <f t="shared" si="18"/>
        <v/>
      </c>
      <c r="AA47" s="65" t="str">
        <f t="shared" si="19"/>
        <v/>
      </c>
      <c r="AB47" s="65" t="str">
        <f t="shared" si="20"/>
        <v/>
      </c>
      <c r="AC47" s="65" t="str">
        <f t="shared" si="21"/>
        <v/>
      </c>
      <c r="AD47" s="65"/>
      <c r="AE47" s="65"/>
      <c r="AF47" s="65"/>
      <c r="AG47" s="65"/>
      <c r="AH47" s="65">
        <f t="shared" si="28"/>
        <v>0</v>
      </c>
      <c r="AI47" s="65">
        <f t="shared" si="29"/>
        <v>0</v>
      </c>
      <c r="AJ47" s="65" t="str">
        <f t="shared" si="22"/>
        <v/>
      </c>
      <c r="AK47" s="65" t="str">
        <f t="shared" si="23"/>
        <v/>
      </c>
      <c r="AL47" s="65" t="e">
        <f t="shared" si="30"/>
        <v>#VALUE!</v>
      </c>
      <c r="AM47" s="65" t="e">
        <f t="shared" si="24"/>
        <v>#VALUE!</v>
      </c>
      <c r="AN47" s="161">
        <f t="shared" si="13"/>
        <v>45475</v>
      </c>
      <c r="AT47" s="80"/>
      <c r="AU47" s="142">
        <v>5</v>
      </c>
      <c r="AV47" s="143" t="str">
        <f t="shared" ca="1" si="31"/>
        <v>Italy</v>
      </c>
      <c r="AW47" s="143" t="str">
        <f t="shared" ca="1" si="32"/>
        <v>0-0-0</v>
      </c>
      <c r="AX47" s="143">
        <f t="shared" ca="1" si="33"/>
        <v>0</v>
      </c>
      <c r="AY47" s="144">
        <f t="shared" ca="1" si="34"/>
        <v>0</v>
      </c>
      <c r="AZ47" s="75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U47" s="58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R47" s="75"/>
      <c r="GS47" s="157"/>
      <c r="GT47" s="157"/>
      <c r="GU47" s="75"/>
      <c r="GV47" s="75"/>
      <c r="GW47" s="75"/>
      <c r="GX47" s="75"/>
      <c r="GY47" s="75"/>
      <c r="GZ47" s="75"/>
    </row>
    <row r="48" spans="1:208" s="11" customFormat="1" ht="30" customHeight="1" thickBot="1" x14ac:dyDescent="0.3">
      <c r="A48" s="20"/>
      <c r="B48" s="113">
        <v>45</v>
      </c>
      <c r="C48" s="113" t="s">
        <v>74</v>
      </c>
      <c r="D48" s="114">
        <v>45478</v>
      </c>
      <c r="E48" s="113" t="s">
        <v>83</v>
      </c>
      <c r="F48" s="115">
        <v>0.75</v>
      </c>
      <c r="G48" s="116">
        <f t="shared" si="11"/>
        <v>45478.5</v>
      </c>
      <c r="H48" s="113" t="str">
        <f>IF(I47="","Quarterfinal 1",Z42&amp;" - "&amp;Z40)</f>
        <v>Quarterfinal 1</v>
      </c>
      <c r="I48" s="50"/>
      <c r="J48" s="62"/>
      <c r="K48" s="66"/>
      <c r="L48" s="175">
        <f>IF(I48="",0,IFERROR(IF(SCORING.RULES!$C$8="No",1,((VLOOKUP($B48,ACTUALS!$B$4:$L$100,7,FALSE)=$H48)+(VLOOKUP($B48,ACTUALS!$B$4:$L$100,7,FALSE)=S48)))*(M48+N48+O48+P48+Q48),0))+$R48</f>
        <v>0</v>
      </c>
      <c r="M48" s="168">
        <f>IFERROR(IF($B48="","",IF(U48=INDEX(ACTUALS!$AA$4:$AA$100,MATCH($B48,ACTUALS!$B$4:$B$100,0),1),CorrectScore,0)),0)</f>
        <v>0</v>
      </c>
      <c r="N48" s="168" t="str">
        <f>IFERROR(IF(I48="","",IF(INDEX(ACTUALS!$AB$4:$AB$100,MATCH($B48,ACTUALS!$B$4:$B$100,0),1)=(AB48+AC48+AH48+AI48),CorrectNumberofGoals,0)),0)</f>
        <v/>
      </c>
      <c r="O48" s="168">
        <f>IFERROR(IF(V48="",0,IF($V48=INDEX(ACTUALS!$K$3:$K$100,MATCH($B48,ACTUALS!$B$3:$B$100,0),1),penaltiesscored,0)),0)</f>
        <v>0</v>
      </c>
      <c r="P48" s="168">
        <f>IFERROR(IF(B48="","",IF(INDEX(ACTUALS!$L$4:$L$100,MATCH($B48,ACTUALS!$B$4:$B$100,0),1)=W48,CorrectResult,0)),0)</f>
        <v>3</v>
      </c>
      <c r="Q48" s="168">
        <f>IFERROR(IF(ISNUMBER(AI48),IF(ISNUMBER(INDEX(ACTUALS!$Y$3:$Y$100,MATCH($B48,ACTUALS!$B$3:$B$100,0),1)),shootoutswon,0),0),0)</f>
        <v>0</v>
      </c>
      <c r="R48" s="168">
        <f t="shared" si="14"/>
        <v>0</v>
      </c>
      <c r="S48" s="168" t="e">
        <f t="shared" si="25"/>
        <v>#VALUE!</v>
      </c>
      <c r="T48" s="168" t="str">
        <f>IF($W48="","",IF(NOT(ISERROR(MATCH($S48,ACTUALS!$H$48:$H$51,0))),"Y","N"))</f>
        <v/>
      </c>
      <c r="U48" s="168" t="str">
        <f t="shared" si="26"/>
        <v/>
      </c>
      <c r="V48" s="168" t="str">
        <f t="shared" si="27"/>
        <v/>
      </c>
      <c r="W48" s="63" t="str">
        <f t="shared" si="15"/>
        <v/>
      </c>
      <c r="X48" s="65" t="e">
        <f t="shared" si="16"/>
        <v>#VALUE!</v>
      </c>
      <c r="Y48" s="65" t="e">
        <f t="shared" si="17"/>
        <v>#VALUE!</v>
      </c>
      <c r="Z48" s="65" t="str">
        <f>IF(W48="","",IF(W48=X48,X48,Y48))</f>
        <v/>
      </c>
      <c r="AA48" s="65" t="str">
        <f t="shared" si="19"/>
        <v/>
      </c>
      <c r="AB48" s="65" t="str">
        <f t="shared" si="20"/>
        <v/>
      </c>
      <c r="AC48" s="65" t="str">
        <f t="shared" si="21"/>
        <v/>
      </c>
      <c r="AD48" s="65"/>
      <c r="AE48" s="65"/>
      <c r="AF48" s="65"/>
      <c r="AG48" s="65"/>
      <c r="AH48" s="65">
        <f t="shared" si="28"/>
        <v>0</v>
      </c>
      <c r="AI48" s="65">
        <f t="shared" si="29"/>
        <v>0</v>
      </c>
      <c r="AJ48" s="65" t="str">
        <f t="shared" si="22"/>
        <v/>
      </c>
      <c r="AK48" s="65" t="str">
        <f t="shared" si="23"/>
        <v/>
      </c>
      <c r="AL48" s="65" t="e">
        <f t="shared" si="30"/>
        <v>#VALUE!</v>
      </c>
      <c r="AM48" s="65" t="e">
        <f t="shared" si="24"/>
        <v>#VALUE!</v>
      </c>
      <c r="AN48" s="161">
        <f t="shared" si="13"/>
        <v>45478</v>
      </c>
      <c r="AT48" s="79"/>
      <c r="AU48" s="145">
        <v>6</v>
      </c>
      <c r="AV48" s="146" t="str">
        <f t="shared" ca="1" si="31"/>
        <v>Scotland</v>
      </c>
      <c r="AW48" s="146" t="str">
        <f t="shared" ca="1" si="32"/>
        <v>0-0-0</v>
      </c>
      <c r="AX48" s="146">
        <f t="shared" ca="1" si="33"/>
        <v>0</v>
      </c>
      <c r="AY48" s="147">
        <f t="shared" ca="1" si="34"/>
        <v>0</v>
      </c>
      <c r="AZ48" s="75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U48" s="58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R48" s="75"/>
      <c r="GS48" s="157"/>
      <c r="GT48" s="157"/>
      <c r="GU48" s="75"/>
      <c r="GV48" s="75"/>
      <c r="GW48" s="75"/>
      <c r="GX48" s="75"/>
      <c r="GY48" s="75"/>
      <c r="GZ48" s="75"/>
    </row>
    <row r="49" spans="1:208" s="11" customFormat="1" ht="30" customHeight="1" x14ac:dyDescent="0.25">
      <c r="A49" s="20"/>
      <c r="B49" s="122">
        <v>46</v>
      </c>
      <c r="C49" s="122" t="s">
        <v>74</v>
      </c>
      <c r="D49" s="123">
        <v>45478</v>
      </c>
      <c r="E49" s="122" t="s">
        <v>84</v>
      </c>
      <c r="F49" s="124">
        <v>0.875</v>
      </c>
      <c r="G49" s="125">
        <f t="shared" si="11"/>
        <v>45478.625</v>
      </c>
      <c r="H49" s="122" t="str">
        <f>IF(I47="","Quarterfinal 2",Z44&amp;" - "&amp;Z45)</f>
        <v>Quarterfinal 2</v>
      </c>
      <c r="I49" s="49"/>
      <c r="J49" s="62"/>
      <c r="K49" s="66"/>
      <c r="L49" s="175">
        <f>IF(I49="",0,IFERROR(IF(SCORING.RULES!$C$8="No",1,((VLOOKUP($B49,ACTUALS!$B$4:$L$100,7,FALSE)=$H49)+(VLOOKUP($B49,ACTUALS!$B$4:$L$100,7,FALSE)=S49)))*(M49+N49+O49+P49+Q49),0))+$R49</f>
        <v>0</v>
      </c>
      <c r="M49" s="168">
        <f>IFERROR(IF($B49="","",IF(U49=INDEX(ACTUALS!$AA$4:$AA$100,MATCH($B49,ACTUALS!$B$4:$B$100,0),1),CorrectScore,0)),0)</f>
        <v>0</v>
      </c>
      <c r="N49" s="168" t="str">
        <f>IFERROR(IF(I49="","",IF(INDEX(ACTUALS!$AB$4:$AB$100,MATCH($B49,ACTUALS!$B$4:$B$100,0),1)=(AB49+AC49+AH49+AI49),CorrectNumberofGoals,0)),0)</f>
        <v/>
      </c>
      <c r="O49" s="168">
        <f>IFERROR(IF(V49="",0,IF($V49=INDEX(ACTUALS!$K$3:$K$100,MATCH($B49,ACTUALS!$B$3:$B$100,0),1),penaltiesscored,0)),0)</f>
        <v>0</v>
      </c>
      <c r="P49" s="168">
        <f>IFERROR(IF(B49="","",IF(INDEX(ACTUALS!$L$4:$L$100,MATCH($B49,ACTUALS!$B$4:$B$100,0),1)=W49,CorrectResult,0)),0)</f>
        <v>3</v>
      </c>
      <c r="Q49" s="168">
        <f>IFERROR(IF(ISNUMBER(AI49),IF(ISNUMBER(INDEX(ACTUALS!$Y$3:$Y$100,MATCH($B49,ACTUALS!$B$3:$B$100,0),1)),shootoutswon,0),0),0)</f>
        <v>0</v>
      </c>
      <c r="R49" s="168">
        <f t="shared" si="14"/>
        <v>0</v>
      </c>
      <c r="S49" s="168" t="e">
        <f t="shared" si="25"/>
        <v>#VALUE!</v>
      </c>
      <c r="T49" s="168" t="str">
        <f>IF($W49="","",IF(NOT(ISERROR(MATCH($S49,ACTUALS!$H$48:$H$51,0))),"Y","N"))</f>
        <v/>
      </c>
      <c r="U49" s="168" t="str">
        <f t="shared" si="26"/>
        <v/>
      </c>
      <c r="V49" s="168" t="str">
        <f t="shared" si="27"/>
        <v/>
      </c>
      <c r="W49" s="63" t="str">
        <f t="shared" si="15"/>
        <v/>
      </c>
      <c r="X49" s="65" t="e">
        <f t="shared" si="16"/>
        <v>#VALUE!</v>
      </c>
      <c r="Y49" s="65" t="e">
        <f t="shared" si="17"/>
        <v>#VALUE!</v>
      </c>
      <c r="Z49" s="65" t="str">
        <f t="shared" si="18"/>
        <v/>
      </c>
      <c r="AA49" s="65" t="str">
        <f t="shared" si="19"/>
        <v/>
      </c>
      <c r="AB49" s="65" t="str">
        <f t="shared" si="20"/>
        <v/>
      </c>
      <c r="AC49" s="65" t="str">
        <f t="shared" si="21"/>
        <v/>
      </c>
      <c r="AD49" s="65"/>
      <c r="AE49" s="65"/>
      <c r="AF49" s="65"/>
      <c r="AG49" s="65"/>
      <c r="AH49" s="65">
        <f t="shared" si="28"/>
        <v>0</v>
      </c>
      <c r="AI49" s="65">
        <f t="shared" si="29"/>
        <v>0</v>
      </c>
      <c r="AJ49" s="65" t="str">
        <f t="shared" si="22"/>
        <v/>
      </c>
      <c r="AK49" s="65" t="str">
        <f t="shared" si="23"/>
        <v/>
      </c>
      <c r="AL49" s="65" t="e">
        <f t="shared" si="30"/>
        <v>#VALUE!</v>
      </c>
      <c r="AM49" s="65" t="e">
        <f t="shared" si="24"/>
        <v>#VALUE!</v>
      </c>
      <c r="AN49" s="161">
        <f t="shared" si="13"/>
        <v>45478</v>
      </c>
      <c r="AT49" s="79"/>
      <c r="AU49" s="79"/>
      <c r="AV49" s="79"/>
      <c r="AW49" s="79"/>
      <c r="AX49" s="79"/>
      <c r="AY49" s="79"/>
      <c r="AZ49" s="75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U49" s="58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R49" s="75"/>
      <c r="GS49" s="157"/>
      <c r="GT49" s="157"/>
      <c r="GU49" s="75"/>
      <c r="GV49" s="75"/>
      <c r="GW49" s="75"/>
      <c r="GX49" s="75"/>
      <c r="GY49" s="75"/>
      <c r="GZ49" s="75"/>
    </row>
    <row r="50" spans="1:208" s="11" customFormat="1" ht="30" customHeight="1" x14ac:dyDescent="0.25">
      <c r="A50" s="20"/>
      <c r="B50" s="122">
        <v>47</v>
      </c>
      <c r="C50" s="122" t="s">
        <v>74</v>
      </c>
      <c r="D50" s="123">
        <v>45479</v>
      </c>
      <c r="E50" s="122" t="s">
        <v>80</v>
      </c>
      <c r="F50" s="124">
        <v>0.875</v>
      </c>
      <c r="G50" s="125">
        <f t="shared" si="11"/>
        <v>45479.625</v>
      </c>
      <c r="H50" s="122" t="str">
        <f>IF(I47="","Quarterfinal 3",Z46&amp;" - "&amp;Z47)</f>
        <v>Quarterfinal 3</v>
      </c>
      <c r="I50" s="49"/>
      <c r="J50" s="62"/>
      <c r="K50" s="66"/>
      <c r="L50" s="175">
        <f>IF(I50="",0,IFERROR(IF(SCORING.RULES!$C$8="No",1,((VLOOKUP($B50,ACTUALS!$B$4:$L$100,7,FALSE)=$H50)+(VLOOKUP($B50,ACTUALS!$B$4:$L$100,7,FALSE)=S50)))*(M50+N50+O50+P50+Q50),0))+$R50</f>
        <v>0</v>
      </c>
      <c r="M50" s="168">
        <f>IFERROR(IF($B50="","",IF(U50=INDEX(ACTUALS!$AA$4:$AA$100,MATCH($B50,ACTUALS!$B$4:$B$100,0),1),CorrectScore,0)),0)</f>
        <v>0</v>
      </c>
      <c r="N50" s="168" t="str">
        <f>IFERROR(IF(I50="","",IF(INDEX(ACTUALS!$AB$4:$AB$100,MATCH($B50,ACTUALS!$B$4:$B$100,0),1)=(AB50+AC50+AH50+AI50),CorrectNumberofGoals,0)),0)</f>
        <v/>
      </c>
      <c r="O50" s="168">
        <f>IFERROR(IF(V50="",0,IF($V50=INDEX(ACTUALS!$K$3:$K$100,MATCH($B50,ACTUALS!$B$3:$B$100,0),1),penaltiesscored,0)),0)</f>
        <v>0</v>
      </c>
      <c r="P50" s="168">
        <f>IFERROR(IF(B50="","",IF(INDEX(ACTUALS!$L$4:$L$100,MATCH($B50,ACTUALS!$B$4:$B$100,0),1)=W50,CorrectResult,0)),0)</f>
        <v>3</v>
      </c>
      <c r="Q50" s="168">
        <f>IFERROR(IF(ISNUMBER(AI50),IF(ISNUMBER(INDEX(ACTUALS!$Y$3:$Y$100,MATCH($B50,ACTUALS!$B$3:$B$100,0),1)),shootoutswon,0),0),0)</f>
        <v>0</v>
      </c>
      <c r="R50" s="168">
        <f t="shared" si="14"/>
        <v>0</v>
      </c>
      <c r="S50" s="168" t="e">
        <f t="shared" si="25"/>
        <v>#VALUE!</v>
      </c>
      <c r="T50" s="168" t="str">
        <f>IF($W50="","",IF(NOT(ISERROR(MATCH($S50,ACTUALS!$H$48:$H$51,0))),"Y","N"))</f>
        <v/>
      </c>
      <c r="U50" s="168" t="str">
        <f t="shared" si="26"/>
        <v/>
      </c>
      <c r="V50" s="168" t="str">
        <f t="shared" si="27"/>
        <v/>
      </c>
      <c r="W50" s="63" t="str">
        <f t="shared" si="15"/>
        <v/>
      </c>
      <c r="X50" s="65" t="e">
        <f t="shared" si="16"/>
        <v>#VALUE!</v>
      </c>
      <c r="Y50" s="65" t="e">
        <f t="shared" si="17"/>
        <v>#VALUE!</v>
      </c>
      <c r="Z50" s="65" t="str">
        <f t="shared" si="18"/>
        <v/>
      </c>
      <c r="AA50" s="65" t="str">
        <f t="shared" si="19"/>
        <v/>
      </c>
      <c r="AB50" s="65" t="str">
        <f t="shared" si="20"/>
        <v/>
      </c>
      <c r="AC50" s="65" t="str">
        <f t="shared" si="21"/>
        <v/>
      </c>
      <c r="AD50" s="65"/>
      <c r="AE50" s="65"/>
      <c r="AF50" s="65"/>
      <c r="AG50" s="65"/>
      <c r="AH50" s="65">
        <f t="shared" si="28"/>
        <v>0</v>
      </c>
      <c r="AI50" s="65">
        <f t="shared" si="29"/>
        <v>0</v>
      </c>
      <c r="AJ50" s="65" t="str">
        <f t="shared" si="22"/>
        <v/>
      </c>
      <c r="AK50" s="65" t="str">
        <f t="shared" si="23"/>
        <v/>
      </c>
      <c r="AL50" s="65" t="e">
        <f t="shared" si="30"/>
        <v>#VALUE!</v>
      </c>
      <c r="AM50" s="65" t="e">
        <f t="shared" si="24"/>
        <v>#VALUE!</v>
      </c>
      <c r="AN50" s="161">
        <f t="shared" si="13"/>
        <v>45479</v>
      </c>
      <c r="AT50" s="79"/>
      <c r="AU50" s="181"/>
      <c r="AV50" s="181"/>
      <c r="AW50" s="80"/>
      <c r="AX50" s="81"/>
      <c r="AY50" s="80"/>
      <c r="AZ50" s="75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U50" s="58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R50" s="75"/>
      <c r="GS50" s="157"/>
      <c r="GT50" s="157"/>
      <c r="GU50" s="75"/>
      <c r="GV50" s="75"/>
      <c r="GW50" s="75"/>
      <c r="GX50" s="75"/>
      <c r="GY50" s="75"/>
      <c r="GZ50" s="75"/>
    </row>
    <row r="51" spans="1:208" s="11" customFormat="1" ht="30" customHeight="1" thickBot="1" x14ac:dyDescent="0.3">
      <c r="A51" s="20"/>
      <c r="B51" s="127">
        <v>48</v>
      </c>
      <c r="C51" s="127" t="s">
        <v>74</v>
      </c>
      <c r="D51" s="128">
        <v>45479</v>
      </c>
      <c r="E51" s="127" t="s">
        <v>85</v>
      </c>
      <c r="F51" s="129">
        <v>0.75</v>
      </c>
      <c r="G51" s="130">
        <f t="shared" si="11"/>
        <v>45479.5</v>
      </c>
      <c r="H51" s="127" t="str">
        <f>IF(I47="","Quarterfinal 4",Z43&amp;" - "&amp;Z41)</f>
        <v>Quarterfinal 4</v>
      </c>
      <c r="I51" s="51"/>
      <c r="J51" s="62"/>
      <c r="K51" s="66"/>
      <c r="L51" s="175">
        <f>IF(I51="",0,IFERROR(IF(SCORING.RULES!$C$8="No",1,((VLOOKUP($B51,ACTUALS!$B$4:$L$100,7,FALSE)=$H51)+(VLOOKUP($B51,ACTUALS!$B$4:$L$100,7,FALSE)=S51)))*(M51+N51+O51+P51+Q51),0))+$R51</f>
        <v>0</v>
      </c>
      <c r="M51" s="168">
        <f>IFERROR(IF($B51="","",IF(U51=INDEX(ACTUALS!$AA$4:$AA$100,MATCH($B51,ACTUALS!$B$4:$B$100,0),1),CorrectScore,0)),0)</f>
        <v>0</v>
      </c>
      <c r="N51" s="168" t="str">
        <f>IFERROR(IF(I51="","",IF(INDEX(ACTUALS!$AB$4:$AB$100,MATCH($B51,ACTUALS!$B$4:$B$100,0),1)=(AB51+AC51+AH51+AI51),CorrectNumberofGoals,0)),0)</f>
        <v/>
      </c>
      <c r="O51" s="168">
        <f>IFERROR(IF(V51="",0,IF($V51=INDEX(ACTUALS!$K$3:$K$100,MATCH($B51,ACTUALS!$B$3:$B$100,0),1),penaltiesscored,0)),0)</f>
        <v>0</v>
      </c>
      <c r="P51" s="168">
        <f>IFERROR(IF(B51="","",IF(INDEX(ACTUALS!$L$4:$L$100,MATCH($B51,ACTUALS!$B$4:$B$100,0),1)=W51,CorrectResult,0)),0)</f>
        <v>3</v>
      </c>
      <c r="Q51" s="168">
        <f>IFERROR(IF(ISNUMBER(AI51),IF(ISNUMBER(INDEX(ACTUALS!$Y$3:$Y$100,MATCH($B51,ACTUALS!$B$3:$B$100,0),1)),shootoutswon,0),0),0)</f>
        <v>0</v>
      </c>
      <c r="R51" s="168">
        <f t="shared" si="14"/>
        <v>0</v>
      </c>
      <c r="S51" s="168" t="e">
        <f t="shared" si="25"/>
        <v>#VALUE!</v>
      </c>
      <c r="T51" s="168" t="str">
        <f>IF($W51="","",IF(NOT(ISERROR(MATCH($S51,ACTUALS!$H$48:$H$51,0))),"Y","N"))</f>
        <v/>
      </c>
      <c r="U51" s="168" t="str">
        <f t="shared" si="26"/>
        <v/>
      </c>
      <c r="V51" s="168" t="str">
        <f t="shared" si="27"/>
        <v/>
      </c>
      <c r="W51" s="63" t="str">
        <f t="shared" si="15"/>
        <v/>
      </c>
      <c r="X51" s="65" t="e">
        <f t="shared" si="16"/>
        <v>#VALUE!</v>
      </c>
      <c r="Y51" s="65" t="e">
        <f t="shared" si="17"/>
        <v>#VALUE!</v>
      </c>
      <c r="Z51" s="65" t="str">
        <f t="shared" si="18"/>
        <v/>
      </c>
      <c r="AA51" s="65" t="str">
        <f t="shared" si="19"/>
        <v/>
      </c>
      <c r="AB51" s="65" t="str">
        <f t="shared" si="20"/>
        <v/>
      </c>
      <c r="AC51" s="65" t="str">
        <f t="shared" si="21"/>
        <v/>
      </c>
      <c r="AD51" s="65"/>
      <c r="AE51" s="65"/>
      <c r="AF51" s="65"/>
      <c r="AG51" s="65"/>
      <c r="AH51" s="65">
        <f t="shared" si="28"/>
        <v>0</v>
      </c>
      <c r="AI51" s="65">
        <f t="shared" si="29"/>
        <v>0</v>
      </c>
      <c r="AJ51" s="65" t="str">
        <f t="shared" si="22"/>
        <v/>
      </c>
      <c r="AK51" s="65" t="str">
        <f t="shared" si="23"/>
        <v/>
      </c>
      <c r="AL51" s="65" t="e">
        <f t="shared" si="30"/>
        <v>#VALUE!</v>
      </c>
      <c r="AM51" s="65" t="e">
        <f t="shared" si="24"/>
        <v>#VALUE!</v>
      </c>
      <c r="AN51" s="161">
        <f t="shared" si="13"/>
        <v>45479</v>
      </c>
      <c r="AT51" s="79"/>
      <c r="AU51" s="79"/>
      <c r="AV51" s="79"/>
      <c r="AW51" s="79"/>
      <c r="AX51" s="79"/>
      <c r="AY51" s="79"/>
      <c r="AZ51" s="75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U51" s="58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  <c r="DR51" s="59"/>
      <c r="DS51" s="59"/>
      <c r="DT51" s="59"/>
      <c r="DU51" s="59"/>
      <c r="DV51" s="59"/>
      <c r="DW51" s="59"/>
      <c r="DX51" s="59"/>
      <c r="DY51" s="59"/>
      <c r="DZ51" s="59"/>
      <c r="EA51" s="59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R51" s="75"/>
      <c r="GS51" s="157"/>
      <c r="GT51" s="157"/>
      <c r="GU51" s="75"/>
      <c r="GV51" s="75"/>
      <c r="GW51" s="75"/>
      <c r="GX51" s="75"/>
      <c r="GY51" s="75"/>
      <c r="GZ51" s="75"/>
    </row>
    <row r="52" spans="1:208" s="11" customFormat="1" ht="30" customHeight="1" x14ac:dyDescent="0.25">
      <c r="A52" s="20"/>
      <c r="B52" s="113">
        <v>49</v>
      </c>
      <c r="C52" s="113" t="s">
        <v>75</v>
      </c>
      <c r="D52" s="114">
        <v>45482</v>
      </c>
      <c r="E52" s="113" t="s">
        <v>78</v>
      </c>
      <c r="F52" s="115">
        <v>0.875</v>
      </c>
      <c r="G52" s="116">
        <f>D52+TIME(HOUR(F52)+$A$7,0,0)</f>
        <v>45482.625</v>
      </c>
      <c r="H52" s="113" t="str">
        <f>IF(I51="","Semifinal 1",Z48&amp;" - "&amp;Z49)</f>
        <v>Semifinal 1</v>
      </c>
      <c r="I52" s="50"/>
      <c r="J52" s="62"/>
      <c r="K52" s="66"/>
      <c r="L52" s="175">
        <f>IF(I52="",0,IFERROR(IF(SCORING.RULES!$C$8="No",1,((VLOOKUP($B52,ACTUALS!$B$4:$L$100,7,FALSE)=$H52)+(VLOOKUP($B52,ACTUALS!$B$4:$L$100,7,FALSE)=S52)))*(M52+N52+O52+P52+Q52),0))+$R52</f>
        <v>0</v>
      </c>
      <c r="M52" s="168">
        <f>IFERROR(IF($B52="","",IF(U52=INDEX(ACTUALS!$AA$4:$AA$100,MATCH($B52,ACTUALS!$B$4:$B$100,0),1),CorrectScore,0)),0)</f>
        <v>0</v>
      </c>
      <c r="N52" s="168" t="str">
        <f>IFERROR(IF(I52="","",IF(INDEX(ACTUALS!$AB$4:$AB$100,MATCH($B52,ACTUALS!$B$4:$B$100,0),1)=(AB52+AC52+AH52+AI52),CorrectNumberofGoals,0)),0)</f>
        <v/>
      </c>
      <c r="O52" s="168">
        <f>IFERROR(IF(V52="",0,IF($V52=INDEX(ACTUALS!$K$3:$K$100,MATCH($B52,ACTUALS!$B$3:$B$100,0),1),penaltiesscored,0)),0)</f>
        <v>0</v>
      </c>
      <c r="P52" s="168">
        <f>IFERROR(IF(B52="","",IF(INDEX(ACTUALS!$L$4:$L$100,MATCH($B52,ACTUALS!$B$4:$B$100,0),1)=W52,CorrectResult,0)),0)</f>
        <v>3</v>
      </c>
      <c r="Q52" s="168">
        <f>IFERROR(IF(ISNUMBER(AI52),IF(ISNUMBER(INDEX(ACTUALS!$Y$3:$Y$100,MATCH($B52,ACTUALS!$B$3:$B$100,0),1)),shootoutswon,0),0),0)</f>
        <v>0</v>
      </c>
      <c r="R52" s="168">
        <f t="shared" si="14"/>
        <v>0</v>
      </c>
      <c r="S52" s="168" t="e">
        <f t="shared" si="25"/>
        <v>#VALUE!</v>
      </c>
      <c r="T52" s="168" t="str">
        <f>IF($W52="","",IF(NOT(ISERROR(MATCH($S52,ACTUALS!$H$52:$H$53,0))),"Y","N"))</f>
        <v/>
      </c>
      <c r="U52" s="168" t="str">
        <f t="shared" si="26"/>
        <v/>
      </c>
      <c r="V52" s="168" t="str">
        <f t="shared" si="27"/>
        <v/>
      </c>
      <c r="W52" s="63" t="str">
        <f t="shared" si="15"/>
        <v/>
      </c>
      <c r="X52" s="65" t="e">
        <f t="shared" si="16"/>
        <v>#VALUE!</v>
      </c>
      <c r="Y52" s="65" t="e">
        <f t="shared" si="17"/>
        <v>#VALUE!</v>
      </c>
      <c r="Z52" s="65" t="str">
        <f>IF(W52="","",IF(W52=X52,X52,Y52))</f>
        <v/>
      </c>
      <c r="AA52" s="65" t="str">
        <f>IF(W52="","",IF(Z52=X52,Y52,X52))</f>
        <v/>
      </c>
      <c r="AB52" s="65" t="str">
        <f t="shared" si="20"/>
        <v/>
      </c>
      <c r="AC52" s="65" t="str">
        <f t="shared" si="21"/>
        <v/>
      </c>
      <c r="AD52" s="65"/>
      <c r="AE52" s="65"/>
      <c r="AF52" s="65"/>
      <c r="AG52" s="65"/>
      <c r="AH52" s="65">
        <f t="shared" si="28"/>
        <v>0</v>
      </c>
      <c r="AI52" s="65">
        <f t="shared" si="29"/>
        <v>0</v>
      </c>
      <c r="AJ52" s="65" t="str">
        <f t="shared" si="22"/>
        <v/>
      </c>
      <c r="AK52" s="65" t="str">
        <f t="shared" si="23"/>
        <v/>
      </c>
      <c r="AL52" s="65" t="e">
        <f t="shared" si="30"/>
        <v>#VALUE!</v>
      </c>
      <c r="AM52" s="65" t="e">
        <f t="shared" si="24"/>
        <v>#VALUE!</v>
      </c>
      <c r="AN52" s="161">
        <f t="shared" si="13"/>
        <v>45482</v>
      </c>
      <c r="AT52" s="75"/>
      <c r="AU52" s="79"/>
      <c r="AV52" s="79"/>
      <c r="AW52" s="79"/>
      <c r="AX52" s="79"/>
      <c r="AY52" s="79"/>
      <c r="AZ52" s="75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U52" s="58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R52" s="75"/>
      <c r="GS52" s="157"/>
      <c r="GT52" s="157"/>
      <c r="GU52" s="75"/>
      <c r="GV52" s="75"/>
      <c r="GW52" s="75"/>
      <c r="GX52" s="75"/>
      <c r="GY52" s="75"/>
      <c r="GZ52" s="75"/>
    </row>
    <row r="53" spans="1:208" s="11" customFormat="1" ht="30" customHeight="1" thickBot="1" x14ac:dyDescent="0.3">
      <c r="A53" s="20"/>
      <c r="B53" s="127">
        <v>50</v>
      </c>
      <c r="C53" s="127" t="s">
        <v>75</v>
      </c>
      <c r="D53" s="128">
        <v>45483</v>
      </c>
      <c r="E53" s="127" t="s">
        <v>81</v>
      </c>
      <c r="F53" s="129">
        <v>0.875</v>
      </c>
      <c r="G53" s="130">
        <f>D53+TIME(HOUR(F53)+$A$7,0,0)</f>
        <v>45483.625</v>
      </c>
      <c r="H53" s="127" t="str">
        <f>IF(I51="","Semifinal 2",Z50&amp;" - "&amp;Z51)</f>
        <v>Semifinal 2</v>
      </c>
      <c r="I53" s="51"/>
      <c r="J53" s="62"/>
      <c r="K53" s="66"/>
      <c r="L53" s="175">
        <f>IF(I53="",0,IFERROR(IF(SCORING.RULES!$C$8="No",1,((VLOOKUP($B53,ACTUALS!$B$4:$L$100,7,FALSE)=$H53)+(VLOOKUP($B53,ACTUALS!$B$4:$L$100,7,FALSE)=S53)))*(M53+N53+O53+P53+Q53),0))+$R53</f>
        <v>0</v>
      </c>
      <c r="M53" s="168">
        <f>IFERROR(IF($B53="","",IF(U53=INDEX(ACTUALS!$AA$4:$AA$100,MATCH($B53,ACTUALS!$B$4:$B$100,0),1),CorrectScore,0)),0)</f>
        <v>0</v>
      </c>
      <c r="N53" s="168" t="str">
        <f>IFERROR(IF(I53="","",IF(INDEX(ACTUALS!$AB$4:$AB$100,MATCH($B53,ACTUALS!$B$4:$B$100,0),1)=(AB53+AC53+AH53+AI53),CorrectNumberofGoals,0)),0)</f>
        <v/>
      </c>
      <c r="O53" s="168">
        <f>IFERROR(IF(V53="",0,IF($V53=INDEX(ACTUALS!$K$3:$K$100,MATCH($B53,ACTUALS!$B$3:$B$100,0),1),penaltiesscored,0)),0)</f>
        <v>0</v>
      </c>
      <c r="P53" s="168">
        <f>IFERROR(IF(B53="","",IF(INDEX(ACTUALS!$L$4:$L$100,MATCH($B53,ACTUALS!$B$4:$B$100,0),1)=W53,CorrectResult,0)),0)</f>
        <v>3</v>
      </c>
      <c r="Q53" s="168">
        <f>IFERROR(IF(ISNUMBER(AI53),IF(ISNUMBER(INDEX(ACTUALS!$Y$3:$Y$100,MATCH($B53,ACTUALS!$B$3:$B$100,0),1)),shootoutswon,0),0),0)</f>
        <v>0</v>
      </c>
      <c r="R53" s="168">
        <f t="shared" si="14"/>
        <v>0</v>
      </c>
      <c r="S53" s="168" t="e">
        <f t="shared" si="25"/>
        <v>#VALUE!</v>
      </c>
      <c r="T53" s="168" t="str">
        <f>IF($W53="","",IF(NOT(ISERROR(MATCH($S53,ACTUALS!$H$52:$H$53,0))),"Y","N"))</f>
        <v/>
      </c>
      <c r="U53" s="168" t="str">
        <f t="shared" si="26"/>
        <v/>
      </c>
      <c r="V53" s="168" t="str">
        <f t="shared" si="27"/>
        <v/>
      </c>
      <c r="W53" s="63" t="str">
        <f t="shared" si="15"/>
        <v/>
      </c>
      <c r="X53" s="65" t="e">
        <f t="shared" si="16"/>
        <v>#VALUE!</v>
      </c>
      <c r="Y53" s="65" t="e">
        <f t="shared" si="17"/>
        <v>#VALUE!</v>
      </c>
      <c r="Z53" s="65" t="str">
        <f>IF(W53="","",IF(W53=X53,X53,Y53))</f>
        <v/>
      </c>
      <c r="AA53" s="65" t="str">
        <f>IF(W53="","",IF(Z53=X53,Y53,X53))</f>
        <v/>
      </c>
      <c r="AB53" s="65" t="str">
        <f t="shared" si="20"/>
        <v/>
      </c>
      <c r="AC53" s="65" t="str">
        <f t="shared" si="21"/>
        <v/>
      </c>
      <c r="AD53" s="65"/>
      <c r="AE53" s="65"/>
      <c r="AF53" s="65"/>
      <c r="AG53" s="65"/>
      <c r="AH53" s="65">
        <f t="shared" si="28"/>
        <v>0</v>
      </c>
      <c r="AI53" s="65">
        <f t="shared" si="29"/>
        <v>0</v>
      </c>
      <c r="AJ53" s="65" t="str">
        <f t="shared" si="22"/>
        <v/>
      </c>
      <c r="AK53" s="65" t="str">
        <f t="shared" si="23"/>
        <v/>
      </c>
      <c r="AL53" s="65" t="e">
        <f t="shared" si="30"/>
        <v>#VALUE!</v>
      </c>
      <c r="AM53" s="65" t="e">
        <f t="shared" si="24"/>
        <v>#VALUE!</v>
      </c>
      <c r="AN53" s="161">
        <f t="shared" si="13"/>
        <v>45483</v>
      </c>
      <c r="AT53" s="75"/>
      <c r="AU53" s="79"/>
      <c r="AV53" s="79"/>
      <c r="AW53" s="79"/>
      <c r="AX53" s="79"/>
      <c r="AY53" s="79"/>
      <c r="AZ53" s="75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U53" s="58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R53" s="75"/>
      <c r="GS53" s="157"/>
      <c r="GT53" s="157"/>
      <c r="GU53" s="75"/>
      <c r="GV53" s="75"/>
      <c r="GW53" s="75"/>
      <c r="GX53" s="75"/>
      <c r="GY53" s="75"/>
      <c r="GZ53" s="75"/>
    </row>
    <row r="54" spans="1:208" s="11" customFormat="1" ht="30" customHeight="1" x14ac:dyDescent="0.25">
      <c r="A54" s="20"/>
      <c r="B54" s="113">
        <v>51</v>
      </c>
      <c r="C54" s="113" t="s">
        <v>45</v>
      </c>
      <c r="D54" s="114">
        <v>45487</v>
      </c>
      <c r="E54" s="113" t="s">
        <v>80</v>
      </c>
      <c r="F54" s="115">
        <v>0.875</v>
      </c>
      <c r="G54" s="116">
        <f>D54+TIME(HOUR(F54)+$A$7,0,0)</f>
        <v>45487.625</v>
      </c>
      <c r="H54" s="113" t="str">
        <f>IF(I53="","Final",Z52&amp;" - "&amp;Z53)</f>
        <v>Final</v>
      </c>
      <c r="I54" s="50"/>
      <c r="J54" s="62"/>
      <c r="K54" s="66"/>
      <c r="L54" s="175">
        <f>IF(I54="",0,IFERROR(IF(SCORING.RULES!$C$8="No",1,((VLOOKUP($B54,ACTUALS!$B$4:$L$100,7,FALSE)=$H54)+(VLOOKUP($B54,ACTUALS!$B$4:$L$100,7,FALSE)=S54)))*(M54+N54+O54+P54+Q54),0))+$R54</f>
        <v>0</v>
      </c>
      <c r="M54" s="168">
        <f>IFERROR(IF($B54="","",IF(U54=INDEX(ACTUALS!$AA$4:$AA$100,MATCH($B54,ACTUALS!$B$4:$B$100,0),1),CorrectScore,0)),0)</f>
        <v>0</v>
      </c>
      <c r="N54" s="168" t="str">
        <f>IFERROR(IF(I54="","",IF(INDEX(ACTUALS!$AB$4:$AB$100,MATCH($B54,ACTUALS!$B$4:$B$100,0),1)=(AB54+AC54+AH54+AI54),CorrectNumberofGoals,0)),0)</f>
        <v/>
      </c>
      <c r="O54" s="168">
        <f>IFERROR(IF(V54="",0,IF($V54=INDEX(ACTUALS!$K$3:$K$100,MATCH($B54,ACTUALS!$B$3:$B$100,0),1),penaltiesscored,0)),0)</f>
        <v>0</v>
      </c>
      <c r="P54" s="168">
        <f>IFERROR(IF(B54="","",IF(INDEX(ACTUALS!$L$4:$L$100,MATCH($B54,ACTUALS!$B$4:$B$100,0),1)=W54,CorrectResult,0)),0)</f>
        <v>3</v>
      </c>
      <c r="Q54" s="168">
        <f>IFERROR(IF(ISNUMBER(AI54),IF(ISNUMBER(INDEX(ACTUALS!$Y$3:$Y$100,MATCH($B54,ACTUALS!$B$3:$B$100,0),1)),shootoutswon,0),0),0)</f>
        <v>0</v>
      </c>
      <c r="R54" s="168">
        <f t="shared" si="14"/>
        <v>0</v>
      </c>
      <c r="S54" s="168" t="e">
        <f t="shared" si="25"/>
        <v>#VALUE!</v>
      </c>
      <c r="T54" s="168" t="e">
        <f>IF($X54="","",IF($S54=ACTUALS!H54,"Y","N"))</f>
        <v>#VALUE!</v>
      </c>
      <c r="U54" s="168" t="str">
        <f t="shared" si="26"/>
        <v/>
      </c>
      <c r="V54" s="168" t="str">
        <f t="shared" si="27"/>
        <v/>
      </c>
      <c r="W54" s="63" t="str">
        <f t="shared" si="15"/>
        <v/>
      </c>
      <c r="X54" s="65" t="e">
        <f t="shared" si="16"/>
        <v>#VALUE!</v>
      </c>
      <c r="Y54" s="65" t="e">
        <f t="shared" si="17"/>
        <v>#VALUE!</v>
      </c>
      <c r="Z54" s="65" t="str">
        <f>IF(W54="","",IF(W54=X54,X54,Y54))</f>
        <v/>
      </c>
      <c r="AA54" s="65" t="str">
        <f>IF(W54="","",IF(Z54=X54,Y54,X54))</f>
        <v/>
      </c>
      <c r="AB54" s="65" t="str">
        <f t="shared" si="20"/>
        <v/>
      </c>
      <c r="AC54" s="65" t="str">
        <f t="shared" si="21"/>
        <v/>
      </c>
      <c r="AD54" s="65"/>
      <c r="AE54" s="65"/>
      <c r="AF54" s="65"/>
      <c r="AG54" s="65"/>
      <c r="AH54" s="65">
        <f t="shared" si="28"/>
        <v>0</v>
      </c>
      <c r="AI54" s="65">
        <f t="shared" si="29"/>
        <v>0</v>
      </c>
      <c r="AJ54" s="65" t="str">
        <f t="shared" si="22"/>
        <v/>
      </c>
      <c r="AK54" s="65" t="str">
        <f t="shared" si="23"/>
        <v/>
      </c>
      <c r="AL54" s="65" t="e">
        <f t="shared" si="30"/>
        <v>#VALUE!</v>
      </c>
      <c r="AM54" s="65" t="e">
        <f t="shared" si="24"/>
        <v>#VALUE!</v>
      </c>
      <c r="AN54" s="161">
        <f t="shared" si="13"/>
        <v>45487</v>
      </c>
      <c r="AT54" s="75"/>
      <c r="AU54" s="79"/>
      <c r="AV54" s="79"/>
      <c r="AW54" s="79"/>
      <c r="AX54" s="79"/>
      <c r="AY54" s="79"/>
      <c r="AZ54" s="75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U54" s="58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R54" s="75"/>
      <c r="GS54" s="157"/>
      <c r="GT54" s="157"/>
      <c r="GU54" s="75"/>
      <c r="GV54" s="75"/>
      <c r="GW54" s="75"/>
      <c r="GX54" s="75"/>
      <c r="GY54" s="75"/>
      <c r="GZ54" s="75"/>
    </row>
    <row r="55" spans="1:208" x14ac:dyDescent="0.3">
      <c r="A55" s="21"/>
      <c r="D55" s="14"/>
      <c r="F55" s="15"/>
      <c r="G55" s="16"/>
      <c r="W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U55" s="11"/>
      <c r="AV55" s="11"/>
      <c r="AW55" s="11"/>
      <c r="AX55" s="11"/>
      <c r="AY55" s="11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CU55" s="60"/>
      <c r="GS55" s="156"/>
      <c r="GT55" s="159"/>
    </row>
    <row r="56" spans="1:208" x14ac:dyDescent="0.3">
      <c r="A56" s="21"/>
      <c r="B56" s="76"/>
      <c r="C56" s="76"/>
      <c r="D56" s="14"/>
      <c r="E56" s="89"/>
      <c r="F56" s="89"/>
      <c r="G56" s="90"/>
      <c r="H56" s="89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89"/>
      <c r="X56" s="89"/>
      <c r="Y56" s="92"/>
      <c r="Z56" s="92"/>
      <c r="AA56" s="92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92"/>
      <c r="AP56" s="92"/>
      <c r="AQ56" s="92"/>
      <c r="AR56" s="92"/>
      <c r="AS56" s="92"/>
      <c r="AT56" s="92"/>
      <c r="AU56" s="11"/>
      <c r="AV56" s="11"/>
      <c r="AW56" s="11"/>
      <c r="AX56" s="11"/>
      <c r="AY56" s="11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CU56" s="60"/>
      <c r="GS56" s="156"/>
      <c r="GT56" s="159"/>
    </row>
    <row r="57" spans="1:208" x14ac:dyDescent="0.3">
      <c r="A57" s="21"/>
      <c r="B57" s="170" t="s">
        <v>201</v>
      </c>
      <c r="C57" s="169"/>
      <c r="D57" s="172">
        <f>COUNTA(K4:K54)</f>
        <v>0</v>
      </c>
      <c r="E57" s="2"/>
      <c r="F57" s="47"/>
      <c r="W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U57" s="11"/>
      <c r="AV57" s="11"/>
      <c r="AW57" s="11"/>
      <c r="AX57" s="11"/>
      <c r="AY57" s="11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CU57" s="60"/>
      <c r="GS57" s="159"/>
      <c r="GT57" s="159"/>
    </row>
    <row r="58" spans="1:208" x14ac:dyDescent="0.3">
      <c r="A58" s="21"/>
      <c r="B58" s="171" t="s">
        <v>202</v>
      </c>
      <c r="C58" s="169"/>
      <c r="D58" s="172">
        <f>SUM(L4:L54)+(IF(D57=ACTUALS!F62,SCORING.RULES!C10,0))</f>
        <v>10</v>
      </c>
      <c r="E58" s="2"/>
      <c r="F58" s="47"/>
      <c r="W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CU58" s="60"/>
      <c r="GS58" s="159"/>
      <c r="GT58" s="159"/>
    </row>
    <row r="59" spans="1:208" x14ac:dyDescent="0.3">
      <c r="A59" s="21"/>
      <c r="B59" s="169"/>
      <c r="C59" s="169"/>
      <c r="D59" s="14"/>
      <c r="E59" s="2"/>
      <c r="F59" s="47"/>
      <c r="W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CU59" s="60"/>
      <c r="GS59" s="159"/>
      <c r="GT59" s="159"/>
    </row>
    <row r="60" spans="1:208" x14ac:dyDescent="0.3">
      <c r="A60" s="21"/>
      <c r="B60" s="169"/>
      <c r="C60" s="169"/>
      <c r="D60" s="14"/>
      <c r="E60" s="2"/>
      <c r="F60" s="47"/>
      <c r="W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CU60" s="60"/>
      <c r="GS60" s="159"/>
      <c r="GT60" s="159"/>
    </row>
    <row r="61" spans="1:208" x14ac:dyDescent="0.3">
      <c r="A61" s="21"/>
      <c r="B61" s="169"/>
      <c r="C61" s="169"/>
      <c r="D61" s="14"/>
      <c r="E61" s="89"/>
      <c r="F61" s="89"/>
      <c r="G61" s="90"/>
      <c r="H61" s="89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89"/>
      <c r="X61" s="89"/>
      <c r="Y61" s="92"/>
      <c r="Z61" s="92"/>
      <c r="AA61" s="92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92"/>
      <c r="AP61" s="92"/>
      <c r="AQ61" s="92"/>
      <c r="AR61" s="92"/>
      <c r="AS61" s="92"/>
      <c r="AT61" s="92"/>
      <c r="CU61" s="60"/>
      <c r="GS61" s="159"/>
      <c r="GT61" s="159"/>
    </row>
    <row r="62" spans="1:208" x14ac:dyDescent="0.3">
      <c r="B62" s="169"/>
      <c r="C62" s="169"/>
      <c r="D62" s="14"/>
      <c r="E62" s="89"/>
      <c r="F62" s="89"/>
      <c r="G62" s="90"/>
      <c r="H62" s="89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89"/>
      <c r="X62" s="89"/>
      <c r="Y62" s="92"/>
      <c r="Z62" s="92"/>
      <c r="AA62" s="92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92"/>
      <c r="AP62" s="92"/>
      <c r="AQ62" s="92"/>
      <c r="AR62" s="92"/>
      <c r="AS62" s="92"/>
      <c r="AT62" s="92"/>
      <c r="GS62" s="159"/>
      <c r="GT62" s="159"/>
    </row>
    <row r="63" spans="1:208" x14ac:dyDescent="0.3">
      <c r="B63" s="169"/>
      <c r="C63" s="169"/>
      <c r="E63" s="89"/>
      <c r="F63" s="89"/>
      <c r="G63" s="90"/>
      <c r="H63" s="89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89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GS63" s="159"/>
      <c r="GT63" s="159"/>
    </row>
    <row r="64" spans="1:208" x14ac:dyDescent="0.3">
      <c r="B64" s="169"/>
      <c r="C64" s="169"/>
      <c r="E64" s="89"/>
      <c r="F64" s="89"/>
      <c r="G64" s="90"/>
      <c r="H64" s="89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89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GS64" s="159"/>
      <c r="GT64" s="159"/>
    </row>
    <row r="65" spans="2:202" x14ac:dyDescent="0.3">
      <c r="B65" s="169"/>
      <c r="C65" s="169"/>
      <c r="E65" s="89"/>
      <c r="F65" s="89"/>
      <c r="G65" s="90"/>
      <c r="H65" s="89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89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GS65" s="159"/>
      <c r="GT65" s="159"/>
    </row>
    <row r="66" spans="2:202" x14ac:dyDescent="0.3">
      <c r="B66" s="169"/>
      <c r="C66" s="169"/>
      <c r="E66" s="89"/>
      <c r="F66" s="89"/>
      <c r="G66" s="90"/>
      <c r="H66" s="89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89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GS66" s="159"/>
      <c r="GT66" s="159"/>
    </row>
    <row r="67" spans="2:202" x14ac:dyDescent="0.3">
      <c r="B67" s="169"/>
      <c r="C67" s="169"/>
      <c r="E67" s="89"/>
      <c r="F67" s="89"/>
      <c r="G67" s="90"/>
      <c r="H67" s="89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89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GS67" s="159"/>
      <c r="GT67" s="159"/>
    </row>
    <row r="68" spans="2:202" x14ac:dyDescent="0.3">
      <c r="B68" s="169"/>
      <c r="C68" s="169"/>
      <c r="E68" s="2"/>
      <c r="F68" s="2"/>
      <c r="G68" s="47"/>
      <c r="H68" s="2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2"/>
      <c r="Y68" s="1"/>
      <c r="GS68" s="159"/>
      <c r="GT68" s="159"/>
    </row>
    <row r="69" spans="2:202" x14ac:dyDescent="0.3">
      <c r="B69" s="169"/>
      <c r="C69" s="169"/>
      <c r="E69" s="2"/>
      <c r="F69" s="2"/>
      <c r="G69" s="47"/>
      <c r="H69" s="2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2"/>
      <c r="Y69" s="1"/>
      <c r="GS69" s="159"/>
      <c r="GT69" s="159"/>
    </row>
    <row r="70" spans="2:202" x14ac:dyDescent="0.3">
      <c r="B70" s="169"/>
      <c r="C70" s="169"/>
      <c r="G70" s="47"/>
      <c r="H70" s="2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2"/>
      <c r="Y70" s="1"/>
      <c r="GS70" s="159"/>
      <c r="GT70" s="159"/>
    </row>
    <row r="71" spans="2:202" x14ac:dyDescent="0.3">
      <c r="B71" s="169"/>
      <c r="C71" s="169"/>
      <c r="GS71" s="159"/>
      <c r="GT71" s="159"/>
    </row>
    <row r="72" spans="2:202" x14ac:dyDescent="0.3">
      <c r="B72" s="169"/>
      <c r="C72" s="169"/>
      <c r="GS72" s="159"/>
    </row>
    <row r="73" spans="2:202" x14ac:dyDescent="0.3">
      <c r="B73" s="169"/>
      <c r="C73" s="169"/>
      <c r="GS73" s="159"/>
    </row>
    <row r="74" spans="2:202" x14ac:dyDescent="0.3">
      <c r="B74" s="169"/>
      <c r="C74" s="169"/>
    </row>
    <row r="75" spans="2:202" x14ac:dyDescent="0.3">
      <c r="B75" s="169"/>
      <c r="C75" s="169"/>
    </row>
    <row r="76" spans="2:202" x14ac:dyDescent="0.3">
      <c r="B76" s="169"/>
      <c r="C76" s="169"/>
    </row>
    <row r="77" spans="2:202" x14ac:dyDescent="0.3">
      <c r="B77" s="169"/>
      <c r="C77" s="169"/>
    </row>
    <row r="78" spans="2:202" x14ac:dyDescent="0.3">
      <c r="B78" s="169"/>
      <c r="C78" s="169"/>
    </row>
    <row r="79" spans="2:202" x14ac:dyDescent="0.3">
      <c r="B79" s="169"/>
      <c r="C79" s="169"/>
    </row>
    <row r="80" spans="2:202" x14ac:dyDescent="0.3">
      <c r="B80" s="169"/>
      <c r="C80" s="169"/>
    </row>
    <row r="81" spans="2:3" x14ac:dyDescent="0.3">
      <c r="B81" s="169"/>
      <c r="C81" s="169"/>
    </row>
    <row r="82" spans="2:3" x14ac:dyDescent="0.3">
      <c r="B82" s="169"/>
      <c r="C82" s="169"/>
    </row>
    <row r="83" spans="2:3" x14ac:dyDescent="0.3">
      <c r="B83" s="169"/>
      <c r="C83" s="169"/>
    </row>
    <row r="84" spans="2:3" x14ac:dyDescent="0.3">
      <c r="B84" s="169"/>
      <c r="C84" s="169"/>
    </row>
    <row r="85" spans="2:3" x14ac:dyDescent="0.3">
      <c r="B85" s="169"/>
      <c r="C85" s="169"/>
    </row>
    <row r="86" spans="2:3" x14ac:dyDescent="0.3">
      <c r="B86" s="169"/>
      <c r="C86" s="169"/>
    </row>
    <row r="87" spans="2:3" x14ac:dyDescent="0.3">
      <c r="B87" s="169"/>
      <c r="C87" s="169"/>
    </row>
  </sheetData>
  <sheetProtection algorithmName="SHA-512" hashValue="ictnF0aHka91md3HzBJjiR4R8A1kF7mP42wEejB2IpjHY7btUFB+tPJgt1wRv0jAG/KMN06OGXETGehCFG9yZA==" saltValue="RtwQYGy5+yDQ/WyANl4Zjg==" spinCount="100000" sheet="1" objects="1" scenarios="1"/>
  <mergeCells count="15">
    <mergeCell ref="HI3:HI19"/>
    <mergeCell ref="HC4:HH4"/>
    <mergeCell ref="AU5:AV5"/>
    <mergeCell ref="AU11:AV11"/>
    <mergeCell ref="AU17:AV17"/>
    <mergeCell ref="B1:W1"/>
    <mergeCell ref="AT1:AY1"/>
    <mergeCell ref="AT2:AY2"/>
    <mergeCell ref="AU3:AY3"/>
    <mergeCell ref="HC3:HH3"/>
    <mergeCell ref="AU23:AV23"/>
    <mergeCell ref="AU29:AV29"/>
    <mergeCell ref="AU35:AV35"/>
    <mergeCell ref="AU41:AY41"/>
    <mergeCell ref="AU50:AV50"/>
  </mergeCells>
  <phoneticPr fontId="24" type="noConversion"/>
  <conditionalFormatting sqref="A5 A8">
    <cfRule type="expression" dxfId="80" priority="13">
      <formula>AND(LEN($X2)&gt;0,(OR(IFERROR(FIND($X2,$HA$30,1)&gt;0,0),IFERROR(FIND($Y2,$HA$30,1)&gt;0,0))))</formula>
    </cfRule>
  </conditionalFormatting>
  <conditionalFormatting sqref="A6">
    <cfRule type="expression" dxfId="79" priority="14">
      <formula>AND(LEN($X2)&gt;0,(OR(IFERROR(FIND($X2,$HA$30,1)&gt;0,0),IFERROR(FIND($Y2,$HA$30,1)&gt;0,0))))</formula>
    </cfRule>
  </conditionalFormatting>
  <conditionalFormatting sqref="A7">
    <cfRule type="expression" dxfId="78" priority="15">
      <formula>AND(LEN($X2)&gt;0,(OR(IFERROR(FIND($X2,$HA$30,1)&gt;0,0),IFERROR(FIND($Y2,$HA$30,1)&gt;0,0))))</formula>
    </cfRule>
  </conditionalFormatting>
  <conditionalFormatting sqref="B4:I54">
    <cfRule type="expression" dxfId="77" priority="11">
      <formula>AND(LEN($X4)&gt;0,(OR(IFERROR(FIND($X4,$HA$30,1)&gt;0,0),IFERROR(FIND($Y4,$HA$30,1)&gt;0,0))))</formula>
    </cfRule>
  </conditionalFormatting>
  <conditionalFormatting sqref="M4:M39 J40:V54">
    <cfRule type="expression" dxfId="76" priority="1">
      <formula>LEFT(I4,FIND(":",I4,1)-1)=RIGHT(I4,LEN(I4)-FIND(":",I4,1))</formula>
    </cfRule>
  </conditionalFormatting>
  <conditionalFormatting sqref="AU8:AY8">
    <cfRule type="expression" dxfId="75" priority="7">
      <formula>$AZ8="X"</formula>
    </cfRule>
  </conditionalFormatting>
  <conditionalFormatting sqref="AU14:AY14">
    <cfRule type="expression" dxfId="74" priority="6">
      <formula>$AZ14="X"</formula>
    </cfRule>
  </conditionalFormatting>
  <conditionalFormatting sqref="AU20:AY20">
    <cfRule type="expression" dxfId="73" priority="5">
      <formula>$AZ20="X"</formula>
    </cfRule>
  </conditionalFormatting>
  <conditionalFormatting sqref="AU26:AY26">
    <cfRule type="expression" dxfId="72" priority="4">
      <formula>$AZ26="X"</formula>
    </cfRule>
  </conditionalFormatting>
  <conditionalFormatting sqref="AU32:AY32">
    <cfRule type="expression" dxfId="71" priority="3">
      <formula>$AZ32="X"</formula>
    </cfRule>
  </conditionalFormatting>
  <conditionalFormatting sqref="AU38:AY38">
    <cfRule type="expression" dxfId="70" priority="2">
      <formula>$AZ38="X"</formula>
    </cfRule>
  </conditionalFormatting>
  <conditionalFormatting sqref="BM1:BM1048576">
    <cfRule type="expression" dxfId="69" priority="8">
      <formula>ISNUMBER(BM1)</formula>
    </cfRule>
  </conditionalFormatting>
  <conditionalFormatting sqref="CV4:EA35">
    <cfRule type="expression" dxfId="68" priority="12">
      <formula>CV4=0</formula>
    </cfRule>
  </conditionalFormatting>
  <conditionalFormatting sqref="ED4:FI35">
    <cfRule type="expression" dxfId="67" priority="10">
      <formula>ED4=0</formula>
    </cfRule>
  </conditionalFormatting>
  <conditionalFormatting sqref="FL4:GQ35">
    <cfRule type="expression" dxfId="66" priority="9">
      <formula>FL4=0</formula>
    </cfRule>
  </conditionalFormatting>
  <hyperlinks>
    <hyperlink ref="AT2" r:id="rId1" xr:uid="{96B8F954-BA02-433E-B292-33754572E3BE}"/>
  </hyperlinks>
  <pageMargins left="0.7" right="0.7" top="0.75" bottom="0.75" header="0.3" footer="0.3"/>
  <pageSetup orientation="portrait" horizontalDpi="4294967293" verticalDpi="0" r:id="rId2"/>
  <ignoredErrors>
    <ignoredError sqref="L4:L54" unlockedFormula="1"/>
  </ignoredErrors>
  <drawing r:id="rId3"/>
  <tableParts count="4"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488B7-8DAA-4322-9368-FAF2161F842B}">
  <sheetPr>
    <tabColor theme="8" tint="0.39997558519241921"/>
  </sheetPr>
  <dimension ref="A1:HM87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3" sqref="K3"/>
    </sheetView>
  </sheetViews>
  <sheetFormatPr defaultRowHeight="16.5" x14ac:dyDescent="0.3"/>
  <cols>
    <col min="1" max="1" width="26.42578125" style="5" customWidth="1"/>
    <col min="2" max="2" width="13" style="6" customWidth="1"/>
    <col min="3" max="3" width="14.42578125" style="6" bestFit="1" customWidth="1"/>
    <col min="4" max="4" width="10.5703125" style="6" bestFit="1" customWidth="1"/>
    <col min="5" max="5" width="31.28515625" style="6" bestFit="1" customWidth="1"/>
    <col min="6" max="6" width="10.42578125" style="6" bestFit="1" customWidth="1"/>
    <col min="7" max="7" width="22.42578125" style="7" bestFit="1" customWidth="1"/>
    <col min="8" max="8" width="30.85546875" style="6" bestFit="1" customWidth="1"/>
    <col min="9" max="9" width="11.7109375" style="8" bestFit="1" customWidth="1"/>
    <col min="10" max="10" width="12.42578125" style="8" bestFit="1" customWidth="1"/>
    <col min="11" max="11" width="13" style="8" customWidth="1"/>
    <col min="12" max="12" width="17.28515625" style="8" bestFit="1" customWidth="1"/>
    <col min="13" max="13" width="18.85546875" style="8" hidden="1" customWidth="1"/>
    <col min="14" max="14" width="31.5703125" style="8" hidden="1" customWidth="1"/>
    <col min="15" max="15" width="31.7109375" style="8" hidden="1" customWidth="1"/>
    <col min="16" max="16" width="18.5703125" style="8" hidden="1" customWidth="1"/>
    <col min="17" max="17" width="26.85546875" style="8" hidden="1" customWidth="1"/>
    <col min="18" max="18" width="19.42578125" style="8" hidden="1" customWidth="1"/>
    <col min="19" max="19" width="19.140625" style="8" hidden="1" customWidth="1"/>
    <col min="20" max="20" width="18.7109375" style="8" hidden="1" customWidth="1"/>
    <col min="21" max="21" width="29.42578125" style="8" hidden="1" customWidth="1"/>
    <col min="22" max="22" width="27" style="8" hidden="1" customWidth="1"/>
    <col min="23" max="23" width="20.7109375" style="8" hidden="1" customWidth="1"/>
    <col min="24" max="24" width="14.28515625" style="6" hidden="1" customWidth="1"/>
    <col min="25" max="27" width="14.28515625" style="5" hidden="1" customWidth="1"/>
    <col min="28" max="37" width="17.28515625" style="5" hidden="1" customWidth="1"/>
    <col min="38" max="38" width="26.7109375" style="5" hidden="1" customWidth="1"/>
    <col min="39" max="40" width="17.28515625" style="5" hidden="1" customWidth="1"/>
    <col min="41" max="41" width="9.140625" style="5" hidden="1" customWidth="1"/>
    <col min="42" max="42" width="31.28515625" style="5" hidden="1" customWidth="1"/>
    <col min="43" max="44" width="9.140625" style="5" hidden="1" customWidth="1"/>
    <col min="45" max="45" width="1.42578125" style="5" hidden="1" customWidth="1"/>
    <col min="46" max="46" width="9.140625" style="5" customWidth="1"/>
    <col min="47" max="47" width="2.140625" style="6" bestFit="1" customWidth="1"/>
    <col min="48" max="48" width="17.28515625" style="5" bestFit="1" customWidth="1"/>
    <col min="49" max="49" width="9.140625" style="5" customWidth="1"/>
    <col min="50" max="50" width="4.42578125" style="6" bestFit="1" customWidth="1"/>
    <col min="51" max="51" width="9.140625" style="6" customWidth="1"/>
    <col min="52" max="52" width="10" style="67" customWidth="1"/>
    <col min="53" max="53" width="10" style="1" hidden="1" customWidth="1"/>
    <col min="54" max="54" width="9.140625" style="1" hidden="1" customWidth="1"/>
    <col min="55" max="55" width="9.140625" style="2" hidden="1" customWidth="1"/>
    <col min="56" max="56" width="17.28515625" style="2" hidden="1" customWidth="1"/>
    <col min="57" max="57" width="3" style="2" hidden="1" customWidth="1"/>
    <col min="58" max="58" width="2.5703125" style="2" hidden="1" customWidth="1"/>
    <col min="59" max="59" width="2.140625" style="2" hidden="1" customWidth="1"/>
    <col min="60" max="60" width="13.7109375" style="2" hidden="1" customWidth="1"/>
    <col min="61" max="61" width="15.42578125" style="1" hidden="1" customWidth="1"/>
    <col min="62" max="62" width="16.5703125" style="1" hidden="1" customWidth="1"/>
    <col min="63" max="63" width="18.140625" style="1" hidden="1" customWidth="1"/>
    <col min="64" max="64" width="9.140625" style="2" hidden="1" customWidth="1"/>
    <col min="65" max="65" width="11" style="2" hidden="1" customWidth="1"/>
    <col min="66" max="66" width="9.140625" style="2" hidden="1" customWidth="1"/>
    <col min="67" max="67" width="18.7109375" style="1" hidden="1" customWidth="1"/>
    <col min="68" max="68" width="18.7109375" style="2" hidden="1" customWidth="1"/>
    <col min="69" max="73" width="18.7109375" style="1" hidden="1" customWidth="1"/>
    <col min="74" max="75" width="22.7109375" style="1" hidden="1" customWidth="1"/>
    <col min="76" max="76" width="13.42578125" style="1" hidden="1" customWidth="1"/>
    <col min="77" max="79" width="9.140625" style="1" hidden="1" customWidth="1"/>
    <col min="80" max="80" width="18.5703125" style="1" hidden="1" customWidth="1"/>
    <col min="81" max="81" width="9.140625" style="1" hidden="1" customWidth="1"/>
    <col min="82" max="82" width="18.140625" style="1" hidden="1" customWidth="1"/>
    <col min="83" max="83" width="15.140625" style="1" hidden="1" customWidth="1"/>
    <col min="84" max="84" width="5.7109375" style="1" hidden="1" customWidth="1"/>
    <col min="85" max="85" width="13.7109375" style="1" hidden="1" customWidth="1"/>
    <col min="86" max="96" width="9.140625" style="1" hidden="1" customWidth="1"/>
    <col min="97" max="98" width="9.140625" style="5" hidden="1" customWidth="1"/>
    <col min="99" max="99" width="14.28515625" style="1" hidden="1" customWidth="1"/>
    <col min="100" max="131" width="4" style="54" hidden="1" customWidth="1"/>
    <col min="132" max="132" width="9.140625" style="1" hidden="1" customWidth="1"/>
    <col min="133" max="133" width="14.28515625" style="1" hidden="1" customWidth="1"/>
    <col min="134" max="165" width="4" style="1" hidden="1" customWidth="1"/>
    <col min="166" max="166" width="9.140625" style="1" hidden="1" customWidth="1"/>
    <col min="167" max="167" width="14.28515625" style="1" hidden="1" customWidth="1"/>
    <col min="168" max="193" width="4" style="1" hidden="1" customWidth="1"/>
    <col min="194" max="199" width="4" style="5" hidden="1" customWidth="1"/>
    <col min="200" max="200" width="9.140625" style="67" hidden="1" customWidth="1"/>
    <col min="201" max="201" width="23.7109375" style="160" bestFit="1" customWidth="1"/>
    <col min="202" max="202" width="12.42578125" style="160" customWidth="1"/>
    <col min="203" max="203" width="12" style="67" bestFit="1" customWidth="1"/>
    <col min="204" max="204" width="19.5703125" style="5" customWidth="1"/>
    <col min="205" max="208" width="12" style="67" customWidth="1"/>
    <col min="209" max="209" width="9.140625" style="5"/>
    <col min="210" max="221" width="9.140625" style="5" hidden="1" customWidth="1"/>
    <col min="222" max="16384" width="9.140625" style="5"/>
  </cols>
  <sheetData>
    <row r="1" spans="1:221" ht="120" customHeight="1" thickBot="1" x14ac:dyDescent="1.1000000000000001">
      <c r="A1" s="23"/>
      <c r="B1" s="182" t="s">
        <v>66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190" t="e" vm="1">
        <v>#VALUE!</v>
      </c>
      <c r="AU1" s="190"/>
      <c r="AV1" s="190"/>
      <c r="AW1" s="190"/>
      <c r="AX1" s="190"/>
      <c r="AY1" s="191"/>
      <c r="BT1" s="61"/>
      <c r="GS1" s="152"/>
      <c r="GT1" s="152"/>
      <c r="GU1" s="83"/>
      <c r="GV1" s="83"/>
      <c r="GW1" s="83"/>
      <c r="GX1" s="83"/>
      <c r="GY1" s="83"/>
      <c r="GZ1" s="83"/>
      <c r="HA1" s="67"/>
      <c r="HB1" s="67"/>
    </row>
    <row r="2" spans="1:221" s="67" customFormat="1" ht="17.25" thickBot="1" x14ac:dyDescent="0.35">
      <c r="B2" s="68"/>
      <c r="C2" s="68"/>
      <c r="D2" s="68"/>
      <c r="E2" s="68"/>
      <c r="F2" s="68"/>
      <c r="G2" s="69"/>
      <c r="H2" s="68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68"/>
      <c r="AT2" s="192" t="s">
        <v>191</v>
      </c>
      <c r="AU2" s="193"/>
      <c r="AV2" s="193"/>
      <c r="AW2" s="193"/>
      <c r="AX2" s="193"/>
      <c r="AY2" s="193"/>
      <c r="BA2" s="71"/>
      <c r="BB2" s="71"/>
      <c r="BC2" s="72"/>
      <c r="BD2" s="72"/>
      <c r="BE2" s="72"/>
      <c r="BF2" s="72"/>
      <c r="BG2" s="72"/>
      <c r="BH2" s="72"/>
      <c r="BI2" s="71"/>
      <c r="BJ2" s="71"/>
      <c r="BK2" s="71"/>
      <c r="BL2" s="72"/>
      <c r="BM2" s="72"/>
      <c r="BN2" s="72"/>
      <c r="BO2" s="71"/>
      <c r="BP2" s="72" t="s">
        <v>157</v>
      </c>
      <c r="BQ2" s="72" t="s">
        <v>158</v>
      </c>
      <c r="BR2" s="72" t="s">
        <v>159</v>
      </c>
      <c r="BS2" s="72" t="s">
        <v>160</v>
      </c>
      <c r="BT2" s="72" t="s">
        <v>164</v>
      </c>
      <c r="BU2" s="72" t="s">
        <v>165</v>
      </c>
      <c r="BV2" s="72" t="s">
        <v>166</v>
      </c>
      <c r="BW2" s="72" t="s">
        <v>168</v>
      </c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U2" s="71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S2" s="153"/>
      <c r="GT2" s="153"/>
      <c r="GV2" s="53" t="s">
        <v>155</v>
      </c>
    </row>
    <row r="3" spans="1:221" s="9" customFormat="1" ht="40.5" customHeight="1" thickBot="1" x14ac:dyDescent="0.75">
      <c r="B3" s="64" t="s">
        <v>58</v>
      </c>
      <c r="C3" s="25" t="s">
        <v>59</v>
      </c>
      <c r="D3" s="25" t="s">
        <v>60</v>
      </c>
      <c r="E3" s="25" t="s">
        <v>88</v>
      </c>
      <c r="F3" s="25" t="s">
        <v>61</v>
      </c>
      <c r="G3" s="25" t="s">
        <v>62</v>
      </c>
      <c r="H3" s="25" t="s">
        <v>63</v>
      </c>
      <c r="I3" s="86" t="s">
        <v>64</v>
      </c>
      <c r="J3" s="84" t="s">
        <v>170</v>
      </c>
      <c r="K3" s="85" t="s">
        <v>171</v>
      </c>
      <c r="L3" s="48" t="s">
        <v>207</v>
      </c>
      <c r="M3" s="167" t="s">
        <v>195</v>
      </c>
      <c r="N3" s="167" t="s">
        <v>196</v>
      </c>
      <c r="O3" s="167" t="s">
        <v>197</v>
      </c>
      <c r="P3" s="167" t="s">
        <v>198</v>
      </c>
      <c r="Q3" s="167" t="s">
        <v>199</v>
      </c>
      <c r="R3" s="167" t="s">
        <v>182</v>
      </c>
      <c r="S3" s="167" t="s">
        <v>185</v>
      </c>
      <c r="T3" s="167" t="s">
        <v>186</v>
      </c>
      <c r="U3" s="167" t="s">
        <v>181</v>
      </c>
      <c r="V3" s="167" t="s">
        <v>187</v>
      </c>
      <c r="W3" s="48" t="s">
        <v>65</v>
      </c>
      <c r="X3" s="26" t="s">
        <v>2</v>
      </c>
      <c r="Y3" s="27" t="s">
        <v>3</v>
      </c>
      <c r="Z3" s="27" t="s">
        <v>14</v>
      </c>
      <c r="AA3" s="27" t="s">
        <v>15</v>
      </c>
      <c r="AB3" s="27" t="s">
        <v>17</v>
      </c>
      <c r="AC3" s="27" t="s">
        <v>18</v>
      </c>
      <c r="AD3" s="27" t="s">
        <v>39</v>
      </c>
      <c r="AE3" s="27" t="s">
        <v>40</v>
      </c>
      <c r="AF3" s="27" t="s">
        <v>22</v>
      </c>
      <c r="AG3" s="27" t="s">
        <v>23</v>
      </c>
      <c r="AH3" s="27" t="s">
        <v>172</v>
      </c>
      <c r="AI3" s="27" t="s">
        <v>173</v>
      </c>
      <c r="AJ3" s="27" t="s">
        <v>174</v>
      </c>
      <c r="AK3" s="27" t="s">
        <v>175</v>
      </c>
      <c r="AL3" s="27" t="s">
        <v>200</v>
      </c>
      <c r="AM3" s="27" t="s">
        <v>179</v>
      </c>
      <c r="AN3" s="27" t="s">
        <v>192</v>
      </c>
      <c r="AT3" s="74"/>
      <c r="AU3" s="184" t="s">
        <v>50</v>
      </c>
      <c r="AV3" s="185"/>
      <c r="AW3" s="185"/>
      <c r="AX3" s="185"/>
      <c r="AY3" s="186"/>
      <c r="AZ3" s="82"/>
      <c r="BA3" s="40"/>
      <c r="BB3" s="40"/>
      <c r="BC3" s="3" t="s">
        <v>0</v>
      </c>
      <c r="BD3" s="3" t="s">
        <v>13</v>
      </c>
      <c r="BE3" s="3" t="s">
        <v>9</v>
      </c>
      <c r="BF3" s="3" t="s">
        <v>7</v>
      </c>
      <c r="BG3" s="3" t="s">
        <v>10</v>
      </c>
      <c r="BH3" s="3" t="s">
        <v>11</v>
      </c>
      <c r="BI3" s="3" t="s">
        <v>19</v>
      </c>
      <c r="BJ3" s="3" t="s">
        <v>20</v>
      </c>
      <c r="BK3" s="41" t="s">
        <v>16</v>
      </c>
      <c r="BL3" s="3" t="s">
        <v>21</v>
      </c>
      <c r="BM3" s="39" t="s">
        <v>44</v>
      </c>
      <c r="BN3" s="3" t="s">
        <v>43</v>
      </c>
      <c r="BO3" s="4" t="s">
        <v>21</v>
      </c>
      <c r="BP3" s="4" t="s">
        <v>36</v>
      </c>
      <c r="BQ3" s="4" t="s">
        <v>38</v>
      </c>
      <c r="BR3" s="4" t="s">
        <v>37</v>
      </c>
      <c r="BS3" s="4" t="s">
        <v>161</v>
      </c>
      <c r="BT3" s="4" t="s">
        <v>162</v>
      </c>
      <c r="BU3" s="4" t="s">
        <v>163</v>
      </c>
      <c r="BV3" s="4" t="s">
        <v>167</v>
      </c>
      <c r="BW3" s="4" t="s">
        <v>169</v>
      </c>
      <c r="BX3" s="40" t="s">
        <v>41</v>
      </c>
      <c r="BY3" s="40" t="s">
        <v>42</v>
      </c>
      <c r="BZ3" s="40"/>
      <c r="CA3" s="40" t="s">
        <v>0</v>
      </c>
      <c r="CB3" s="40" t="s">
        <v>136</v>
      </c>
      <c r="CC3" s="40" t="s">
        <v>11</v>
      </c>
      <c r="CD3" s="40" t="s">
        <v>16</v>
      </c>
      <c r="CE3" s="40" t="s">
        <v>19</v>
      </c>
      <c r="CF3" s="40" t="s">
        <v>137</v>
      </c>
      <c r="CG3" s="40" t="s">
        <v>139</v>
      </c>
      <c r="CH3" s="40" t="s">
        <v>21</v>
      </c>
      <c r="CI3" s="40"/>
      <c r="CJ3" s="40"/>
      <c r="CK3" s="40"/>
      <c r="CL3" s="40"/>
      <c r="CM3" s="40"/>
      <c r="CN3" s="40"/>
      <c r="CO3" s="40"/>
      <c r="CP3" s="40"/>
      <c r="CQ3" s="40"/>
      <c r="CR3" s="40"/>
      <c r="CU3" s="40" t="s">
        <v>35</v>
      </c>
      <c r="CV3" s="55" t="s">
        <v>27</v>
      </c>
      <c r="CW3" s="55" t="s">
        <v>124</v>
      </c>
      <c r="CX3" s="55" t="s">
        <v>125</v>
      </c>
      <c r="CY3" s="55" t="s">
        <v>31</v>
      </c>
      <c r="CZ3" s="55" t="s">
        <v>28</v>
      </c>
      <c r="DA3" s="55" t="s">
        <v>33</v>
      </c>
      <c r="DB3" s="55" t="s">
        <v>126</v>
      </c>
      <c r="DC3" s="55" t="s">
        <v>127</v>
      </c>
      <c r="DD3" s="55" t="s">
        <v>128</v>
      </c>
      <c r="DE3" s="55" t="s">
        <v>25</v>
      </c>
      <c r="DF3" s="55" t="s">
        <v>34</v>
      </c>
      <c r="DG3" s="55" t="s">
        <v>24</v>
      </c>
      <c r="DH3" s="55" t="s">
        <v>32</v>
      </c>
      <c r="DI3" s="55" t="s">
        <v>8</v>
      </c>
      <c r="DJ3" s="55" t="s">
        <v>129</v>
      </c>
      <c r="DK3" s="55" t="s">
        <v>26</v>
      </c>
      <c r="DL3" s="55" t="s">
        <v>29</v>
      </c>
      <c r="DM3" s="55" t="s">
        <v>130</v>
      </c>
      <c r="DN3" s="55" t="s">
        <v>131</v>
      </c>
      <c r="DO3" s="55" t="s">
        <v>132</v>
      </c>
      <c r="DP3" s="55" t="s">
        <v>133</v>
      </c>
      <c r="DQ3" s="55" t="s">
        <v>134</v>
      </c>
      <c r="DR3" s="55" t="s">
        <v>30</v>
      </c>
      <c r="DS3" s="55" t="s">
        <v>135</v>
      </c>
      <c r="DT3" s="55"/>
      <c r="DU3" s="55"/>
      <c r="DV3" s="55"/>
      <c r="DW3" s="55"/>
      <c r="DX3" s="55"/>
      <c r="DY3" s="55"/>
      <c r="DZ3" s="55"/>
      <c r="EA3" s="55"/>
      <c r="EB3" s="40"/>
      <c r="EC3" s="40" t="s">
        <v>35</v>
      </c>
      <c r="ED3" s="55" t="s">
        <v>27</v>
      </c>
      <c r="EE3" s="55" t="s">
        <v>124</v>
      </c>
      <c r="EF3" s="55" t="s">
        <v>125</v>
      </c>
      <c r="EG3" s="55" t="s">
        <v>31</v>
      </c>
      <c r="EH3" s="55" t="s">
        <v>28</v>
      </c>
      <c r="EI3" s="55" t="s">
        <v>33</v>
      </c>
      <c r="EJ3" s="55" t="s">
        <v>126</v>
      </c>
      <c r="EK3" s="55" t="s">
        <v>127</v>
      </c>
      <c r="EL3" s="55" t="s">
        <v>128</v>
      </c>
      <c r="EM3" s="55" t="s">
        <v>25</v>
      </c>
      <c r="EN3" s="55" t="s">
        <v>34</v>
      </c>
      <c r="EO3" s="55" t="s">
        <v>24</v>
      </c>
      <c r="EP3" s="55" t="s">
        <v>32</v>
      </c>
      <c r="EQ3" s="55" t="s">
        <v>8</v>
      </c>
      <c r="ER3" s="55" t="s">
        <v>129</v>
      </c>
      <c r="ES3" s="55" t="s">
        <v>26</v>
      </c>
      <c r="ET3" s="55" t="s">
        <v>29</v>
      </c>
      <c r="EU3" s="55" t="s">
        <v>130</v>
      </c>
      <c r="EV3" s="55" t="s">
        <v>131</v>
      </c>
      <c r="EW3" s="55" t="s">
        <v>132</v>
      </c>
      <c r="EX3" s="55" t="s">
        <v>133</v>
      </c>
      <c r="EY3" s="55" t="s">
        <v>134</v>
      </c>
      <c r="EZ3" s="55" t="s">
        <v>30</v>
      </c>
      <c r="FA3" s="55" t="s">
        <v>135</v>
      </c>
      <c r="FB3" s="55"/>
      <c r="FC3" s="55"/>
      <c r="FD3" s="55"/>
      <c r="FE3" s="55"/>
      <c r="FF3" s="55"/>
      <c r="FG3" s="55"/>
      <c r="FH3" s="55"/>
      <c r="FI3" s="55"/>
      <c r="FJ3" s="40"/>
      <c r="FK3" s="40" t="s">
        <v>35</v>
      </c>
      <c r="FL3" s="55" t="s">
        <v>27</v>
      </c>
      <c r="FM3" s="55" t="s">
        <v>124</v>
      </c>
      <c r="FN3" s="55" t="s">
        <v>125</v>
      </c>
      <c r="FO3" s="55" t="s">
        <v>31</v>
      </c>
      <c r="FP3" s="55" t="s">
        <v>28</v>
      </c>
      <c r="FQ3" s="55" t="s">
        <v>33</v>
      </c>
      <c r="FR3" s="55" t="s">
        <v>126</v>
      </c>
      <c r="FS3" s="55" t="s">
        <v>127</v>
      </c>
      <c r="FT3" s="55" t="s">
        <v>128</v>
      </c>
      <c r="FU3" s="55" t="s">
        <v>25</v>
      </c>
      <c r="FV3" s="55" t="s">
        <v>34</v>
      </c>
      <c r="FW3" s="55" t="s">
        <v>24</v>
      </c>
      <c r="FX3" s="55" t="s">
        <v>32</v>
      </c>
      <c r="FY3" s="55" t="s">
        <v>8</v>
      </c>
      <c r="FZ3" s="55" t="s">
        <v>129</v>
      </c>
      <c r="GA3" s="55" t="s">
        <v>26</v>
      </c>
      <c r="GB3" s="55" t="s">
        <v>29</v>
      </c>
      <c r="GC3" s="55" t="s">
        <v>130</v>
      </c>
      <c r="GD3" s="55" t="s">
        <v>131</v>
      </c>
      <c r="GE3" s="55" t="s">
        <v>132</v>
      </c>
      <c r="GF3" s="55" t="s">
        <v>133</v>
      </c>
      <c r="GG3" s="55" t="s">
        <v>134</v>
      </c>
      <c r="GH3" s="55" t="s">
        <v>30</v>
      </c>
      <c r="GI3" s="55" t="s">
        <v>135</v>
      </c>
      <c r="GJ3" s="55"/>
      <c r="GK3" s="55"/>
      <c r="GL3" s="12"/>
      <c r="GM3" s="12"/>
      <c r="GN3" s="12"/>
      <c r="GO3" s="12"/>
      <c r="GP3" s="12"/>
      <c r="GQ3" s="12"/>
      <c r="GR3" s="82"/>
      <c r="GS3" s="154" t="s">
        <v>13</v>
      </c>
      <c r="GT3" s="155" t="s">
        <v>47</v>
      </c>
      <c r="GU3" s="82"/>
      <c r="GV3" s="52" t="s">
        <v>156</v>
      </c>
      <c r="GW3" s="82"/>
      <c r="GX3" s="82"/>
      <c r="GY3" s="82"/>
      <c r="GZ3" s="82"/>
      <c r="HC3" s="178" t="s">
        <v>142</v>
      </c>
      <c r="HD3" s="178"/>
      <c r="HE3" s="178"/>
      <c r="HF3" s="178"/>
      <c r="HG3" s="178"/>
      <c r="HH3" s="178"/>
      <c r="HI3" s="178"/>
      <c r="HJ3" s="43" t="s">
        <v>144</v>
      </c>
      <c r="HK3" s="43" t="s">
        <v>146</v>
      </c>
      <c r="HL3" s="43" t="s">
        <v>147</v>
      </c>
      <c r="HM3" s="43" t="s">
        <v>148</v>
      </c>
    </row>
    <row r="4" spans="1:221" s="11" customFormat="1" ht="30" customHeight="1" thickBot="1" x14ac:dyDescent="0.25">
      <c r="B4" s="113">
        <v>1</v>
      </c>
      <c r="C4" s="113" t="s">
        <v>1</v>
      </c>
      <c r="D4" s="114">
        <v>45457</v>
      </c>
      <c r="E4" s="113" t="s">
        <v>78</v>
      </c>
      <c r="F4" s="115">
        <v>0.875</v>
      </c>
      <c r="G4" s="116">
        <f>(D4+F4)+IF($A$7&gt;=0,TIMEVALUE($A$7&amp;":00"),-TIMEVALUE(ABS($A$7)&amp;":00"))</f>
        <v>45457.625</v>
      </c>
      <c r="H4" s="113" t="s">
        <v>89</v>
      </c>
      <c r="I4" s="117"/>
      <c r="J4" s="118"/>
      <c r="K4" s="118"/>
      <c r="L4" s="174">
        <f>IF(I4="",0,IFERROR(IF(SCORING.RULES!$C$8="No",1,((VLOOKUP($B4,ACTUALS!$B$4:$L$100,7,FALSE)=$H4)+(VLOOKUP($B4,ACTUALS!$B$4:$L$100,7,FALSE)=S4)))*(M4+N4+O4+P4+Q4),0))+$R4</f>
        <v>0</v>
      </c>
      <c r="M4" s="168">
        <f>IFERROR(IF($B4="","",IF(U4=INDEX(ACTUALS!$AA$4:$AA$100,MATCH($B4,ACTUALS!$B$4:$B$100,0),1),CorrectScore,0)),0)</f>
        <v>0</v>
      </c>
      <c r="N4" s="157" t="str">
        <f>IFERROR(IF(I4="","",IF(INDEX(ACTUALS!$AB$4:$AB$100,MATCH($B4,ACTUALS!$B$4:$B$100,0),1)=(AB4+AC4+AH4+AI4),CorrectNumberofGoals,0)),0)</f>
        <v/>
      </c>
      <c r="O4" s="157"/>
      <c r="P4" s="157">
        <f>IFERROR(IF(B4="","",IF(INDEX(ACTUALS!$L$4:$L$100,MATCH($B4,ACTUALS!$B$4:$B$100,0),1)=W4,CorrectResult,0)),0)</f>
        <v>3</v>
      </c>
      <c r="Q4" s="157"/>
      <c r="R4" s="157"/>
      <c r="S4" s="157" t="str">
        <f t="shared" ref="S4:S39" si="0">IF(OR($H4="",$B4&lt;37),"",RIGHT($H4,LEN($H4)-FIND("-",$H4,1)-1)&amp;" - "&amp;LEFT($H4,FIND("-",$H4,1)-2))</f>
        <v/>
      </c>
      <c r="T4" s="157"/>
      <c r="U4" s="157" t="str">
        <f t="shared" ref="U4:U39" si="1">IF($I4="","",IF($T4="Y",AC4+AI4&amp;":"&amp;AB4+AH4,AB4+AH4&amp;":"&amp;AC4+AI4))</f>
        <v/>
      </c>
      <c r="V4" s="157" t="str">
        <f t="shared" ref="V4:V39" si="2">IF($K4="","",IF($T4="Y",$AK4&amp;":"&amp;$AJ4,$AJ4&amp;":"&amp;$AK4))</f>
        <v/>
      </c>
      <c r="W4" s="119" t="str">
        <f>IF(tblActuals35415[[#This Row],[SCORE]]="","",IF(AB4=AC4,"Draw",IF(AB4&gt;AC4,X4,Y4)))</f>
        <v/>
      </c>
      <c r="X4" s="120" t="str">
        <f>IF(tblActuals35415[[#This Row],[TEAMS]]="","",LEFT(H4,FIND(" -",H4,1)-1))</f>
        <v>Germany</v>
      </c>
      <c r="Y4" s="120" t="str">
        <f>IF(tblActuals35415[[#This Row],[TEAMS]]="","",MID(H4,FIND("-",H4,1)+2,LEN(H4)-FIND("-",H4,1)+2))</f>
        <v>Scotland</v>
      </c>
      <c r="Z4" s="120" t="str">
        <f>IF(tblActuals35415[[#This Row],[Team 1 Goals]]&gt;tblActuals35415[[#This Row],[Team 2 Goals]],tblActuals35415[[#This Row],[Team 1]],IF(tblActuals35415[[#This Row],[Team 2 Goals]]&gt;tblActuals35415[[#This Row],[Team 1 Goals]],tblActuals35415[[#This Row],[Team 2]],""))</f>
        <v/>
      </c>
      <c r="AA4" s="120" t="str">
        <f>IF(tblActuals35415[[#This Row],[Winner]]=tblActuals35415[[#This Row],[Team 1]],tblActuals35415[[#This Row],[Team 2]],IF(tblActuals35415[[#This Row],[Winner]]=tblActuals35415[[#This Row],[Team 2]],tblActuals35415[[#This Row],[Team 1]],""))</f>
        <v/>
      </c>
      <c r="AB4" s="120" t="str">
        <f>IF(tblActuals35415[[#This Row],[SCORE]]="","",LEFT(I4,FIND(":",I4,1)-1)*1)</f>
        <v/>
      </c>
      <c r="AC4" s="120" t="str">
        <f>IF(tblActuals35415[[#This Row],[SCORE]]="","",MID(I4,FIND(":",I4,1)+1,LEN(I4)-FIND(":",I4,1)+1)*1)</f>
        <v/>
      </c>
      <c r="AD4" s="120" t="str">
        <f>IF(OR(tblActuals35415[[#This Row],[Team 1 Goals]]="",tblActuals35415[[#This Row],[Team 2 Goals]]=""),"",tblActuals35415[[#This Row],[Team 1 Goals]]-tblActuals35415[[#This Row],[Team 2 Goals]])</f>
        <v/>
      </c>
      <c r="AE4" s="120" t="str">
        <f>IF(OR(tblActuals35415[[#This Row],[Team 1 Goals]]="",tblActuals35415[[#This Row],[Team 2 Goals]]=""),"",tblActuals35415[[#This Row],[Team 2 Goals]]-tblActuals35415[[#This Row],[Team 1 Goals]])</f>
        <v/>
      </c>
      <c r="AF4" s="120" t="str">
        <f>IF(tblActuals35415[[#This Row],[SCORE]]="","",IF(tblActuals35415[[#This Row],[WINNER / RESULT]]="Draw",1,IF(tblActuals35415[[#This Row],[WINNER / RESULT]]=tblActuals35415[[#This Row],[Team 1]],3,0)))</f>
        <v/>
      </c>
      <c r="AG4" s="120" t="str">
        <f>IF(tblActuals35415[[#This Row],[SCORE]]="","",IF(tblActuals35415[[#This Row],[WINNER / RESULT]]="Draw",1,IF(tblActuals35415[[#This Row],[WINNER / RESULT]]=tblActuals35415[[#This Row],[Team 2]],3,0)))</f>
        <v/>
      </c>
      <c r="AH4" s="121"/>
      <c r="AI4" s="121"/>
      <c r="AJ4" s="121"/>
      <c r="AK4" s="121"/>
      <c r="AL4" s="120" t="e">
        <f>tblActuals35415[[#This Row],[Team 1 Goals]]+tblActuals35415[[#This Row],[Team 1 ET Goals]]&amp;":"&amp;tblActuals35415[[#This Row],[Team 2 Goals]]+tblActuals35415[[#This Row],[Team 2 ET Goals]]</f>
        <v>#VALUE!</v>
      </c>
      <c r="AM4" s="120" t="e">
        <f>+tblActuals35415[[#This Row],[Team 1 Goals]]+tblActuals35415[[#This Row],[Team 2 Goals]]</f>
        <v>#VALUE!</v>
      </c>
      <c r="AN4" s="161">
        <f t="shared" ref="AN4:AN35" si="3">DATE(YEAR(G4),MONTH(G4),DAY(G4))</f>
        <v>45457</v>
      </c>
      <c r="AP4" s="3" t="s">
        <v>4</v>
      </c>
      <c r="AR4" s="10"/>
      <c r="AT4" s="75"/>
      <c r="AU4" s="75"/>
      <c r="AV4" s="75"/>
      <c r="AW4" s="75"/>
      <c r="AX4" s="75"/>
      <c r="AY4" s="75"/>
      <c r="AZ4" s="75"/>
      <c r="BA4" s="42"/>
      <c r="BB4" s="4"/>
      <c r="BC4" s="4" t="s">
        <v>1</v>
      </c>
      <c r="BD4" s="4" t="s">
        <v>27</v>
      </c>
      <c r="BE4" s="4">
        <f>COUNTIF(tblActuals35415[Winner],BD4)</f>
        <v>0</v>
      </c>
      <c r="BF4" s="4">
        <f>COUNTIFS(tblActuals35415[Team 2],BD4,tblActuals35415[WINNER / RESULT],"Draw")+COUNTIFS(tblActuals35415[Team 1],BD4,tblActuals35415[WINNER / RESULT],"Draw")</f>
        <v>0</v>
      </c>
      <c r="BG4" s="4">
        <f>COUNTIF(tblActuals35415[Loser],BD4)</f>
        <v>0</v>
      </c>
      <c r="BH4" s="4">
        <f>BF4+(3*BE4)</f>
        <v>0</v>
      </c>
      <c r="BI4" s="4">
        <f>SUMIFS(tblActuals35415[Team 1 Goals],tblActuals35415[Team 1],BD4)+SUMIFS(tblActuals35415[Team 2 Goals],tblActuals35415[Team 2],BD4)</f>
        <v>0</v>
      </c>
      <c r="BJ4" s="4">
        <f>SUMIFS(tblActuals35415[Team 2 Goals],tblActuals35415[Team 1],BD4)+SUMIFS(tblActuals35415[Team 1 Goals],tblActuals35415[Team 2],BD4)</f>
        <v>0</v>
      </c>
      <c r="BK4" s="4">
        <f>BI4-BJ4</f>
        <v>0</v>
      </c>
      <c r="BL4" s="4">
        <f ca="1">RANK(BY4,$BY$4:$BY$7,1)</f>
        <v>1</v>
      </c>
      <c r="BM4" s="4" t="str">
        <f t="shared" ref="BM4:BM32" si="4">IFERROR(VLOOKUP(BD4,GS:GT,2,FALSE),"")</f>
        <v/>
      </c>
      <c r="BN4" s="4" t="str">
        <f ca="1">IF(BM4="",BL4&amp;BC4,BM4&amp;BC4)</f>
        <v>1A</v>
      </c>
      <c r="BO4" s="4">
        <f>RANK(BH4,$BH$4:$BH$7,0)</f>
        <v>1</v>
      </c>
      <c r="BP4" s="4" cm="1">
        <f t="array" aca="1" ref="BP4" ca="1">SUMPRODUCT((OFFSET($CV$3:$EA$3,MATCH($BD4,$CU$4:$CU$35,0),0))*((IF($BO6=$BO4,$CV$3:$EA$3=$BD6,0))+(IF($BO7=$BO4,$CV$3:$EA$3=$BD7,0))+(IF($BO5=$BO4,$CV$3:$EA$3=$BD5,0))))</f>
        <v>0</v>
      </c>
      <c r="BQ4" s="4" cm="1">
        <f t="array" aca="1" ref="BQ4" ca="1">SUMPRODUCT((OFFSET($ED$3:$FI$3,MATCH($BD4,$EC$4:$EC$35,0),0))*((IF($BO6=$BO4,$ED$3:$FI$3=$BD6,0))+(IF($BO7=$BO4,$ED$3:$FI$3=$BD7,0))+(IF($BO5=$BO4,$ED$3:$FI$3=$BD5,0))))</f>
        <v>0</v>
      </c>
      <c r="BR4" s="4" cm="1">
        <f t="array" aca="1" ref="BR4" ca="1">SUMPRODUCT((OFFSET($FL$3:$GQ$3,MATCH($BD4,$FK$4:$FK$35,0),0))*((IF($BO6=$BO4,$FL$3:$GQ$3=$BD6,0))+(IF($BO7=$BO4,$FL$3:$GQ$3=$BD7,0))+(IF($BO5=$BO4,$FL$3:$GQ$3=$BD5,0))))</f>
        <v>0</v>
      </c>
      <c r="BS4" s="4" cm="1">
        <f t="array" aca="1" ref="BS4" ca="1">SUMPRODUCT((OFFSET($CV$3:$EA$3,MATCH($BD4,$CU$4:$CU$35,0),0))*((IF($BO6&lt;&gt;$BO4,$CV$3:$EA$3=$BD6,0))+(IF($BO7&lt;&gt;$BO4,$CV$3:$EA$3=$BD7,0))+(IF($BO5&lt;&gt;$BO4,$CV$3:$EA$3=$BD5,0))))</f>
        <v>0</v>
      </c>
      <c r="BT4" s="4" cm="1">
        <f t="array" aca="1" ref="BT4" ca="1">SUMPRODUCT((OFFSET($ED$3:$FI$3,MATCH($BD4,$EC$4:$EC$35,0),0))*((IF($BO6&lt;&gt;$BO4,$ED$3:$FI$3=$BD6,0))+(IF($BO7&lt;&gt;$BO4,$ED$3:$FI$3=$BD7,0))+(IF($BO5&lt;&gt;$BO4,$ED$3:$FI$3=$BD5,0))))</f>
        <v>0</v>
      </c>
      <c r="BU4" s="4" cm="1">
        <f t="array" aca="1" ref="BU4" ca="1">SUMPRODUCT((OFFSET($FL$3:$GQ$3,MATCH($BD4,$FK$4:$FK$35,0),0))*((IF($BO6&lt;&gt;$BO4,$FL$3:$GQ$3=$BD6,0))+(IF($BO7&lt;&gt;$BO4,$FL$3:$GQ$3=$BD7,0))+(IF($BO5&lt;&gt;$BO4,$FL$3:$GQ$3=$BD5,0))))</f>
        <v>0</v>
      </c>
      <c r="BV4" s="4">
        <f>BK4</f>
        <v>0</v>
      </c>
      <c r="BW4" s="4">
        <f>BI4</f>
        <v>0</v>
      </c>
      <c r="BX4" s="4">
        <f ca="1">(BP4/10)+(BQ4/100)+(BR4/1000)+(BT4/10000)+(BU4/100000)+(BV4/1000000)+(BW4/10000000)+(ROW(BS7)/100000000)</f>
        <v>7.0000000000000005E-8</v>
      </c>
      <c r="BY4" s="4">
        <f ca="1">+BO4-BX4</f>
        <v>0.99999992999999998</v>
      </c>
      <c r="BZ4" s="4"/>
      <c r="CA4" s="4" t="s">
        <v>1</v>
      </c>
      <c r="CB4" s="4" t="str">
        <f ca="1">AV8</f>
        <v>Scotland</v>
      </c>
      <c r="CC4" s="4">
        <f t="shared" ref="CC4:CC9" ca="1" si="5">SUMIF(BD:BD,CB4,BH:BH)</f>
        <v>0</v>
      </c>
      <c r="CD4" s="4">
        <f t="shared" ref="CD4:CD9" ca="1" si="6">SUMIF(BD:BD,CB4,BK:BK)</f>
        <v>0</v>
      </c>
      <c r="CE4" s="4">
        <f t="shared" ref="CE4:CE9" ca="1" si="7">SUMIF(BD:BD,CB4,BI:BI)</f>
        <v>0</v>
      </c>
      <c r="CF4" s="4">
        <f t="shared" ref="CF4:CF9" ca="1" si="8">SUMIF(BD:BD,CB4,BE:BE)</f>
        <v>0</v>
      </c>
      <c r="CG4" s="4">
        <f t="shared" ref="CG4:CG9" ca="1" si="9">(CC4/1000)+(CD4/10000)+(CE4/100000)+(ROW(CF4)/10000000)</f>
        <v>3.9999999999999998E-7</v>
      </c>
      <c r="CH4" s="4">
        <f t="shared" ref="CH4:CH9" ca="1" si="10">RANK(CG4,$CG$4:$CG$9)</f>
        <v>6</v>
      </c>
      <c r="CI4" s="4"/>
      <c r="CJ4" s="4"/>
      <c r="CK4" s="4"/>
      <c r="CL4" s="4"/>
      <c r="CM4" s="4"/>
      <c r="CN4" s="4"/>
      <c r="CO4" s="4"/>
      <c r="CP4" s="4"/>
      <c r="CQ4" s="4"/>
      <c r="CR4" s="4"/>
      <c r="CU4" s="4" t="s">
        <v>27</v>
      </c>
      <c r="CV4" s="56">
        <f>SUMIFS(tblActuals35415[Team 2 Points],tblActuals35415[Team 2],$CU4,tblActuals35415[Team 1],CV$3)+SUMIFS(tblActuals35415[Team 1 Points],tblActuals35415[Team 1],$CU4,tblActuals35415[Team 2],CV$3)</f>
        <v>0</v>
      </c>
      <c r="CW4" s="56">
        <f>SUMIFS(tblActuals35415[Team 2 Points],tblActuals35415[Team 2],$CU4,tblActuals35415[Team 1],CW$3)+SUMIFS(tblActuals35415[Team 1 Points],tblActuals35415[Team 1],$CU4,tblActuals35415[Team 2],CW$3)</f>
        <v>0</v>
      </c>
      <c r="CX4" s="56">
        <f>SUMIFS(tblActuals35415[Team 2 Points],tblActuals35415[Team 2],$CU4,tblActuals35415[Team 1],CX$3)+SUMIFS(tblActuals35415[Team 1 Points],tblActuals35415[Team 1],$CU4,tblActuals35415[Team 2],CX$3)</f>
        <v>0</v>
      </c>
      <c r="CY4" s="56">
        <f>SUMIFS(tblActuals35415[Team 2 Points],tblActuals35415[Team 2],$CU4,tblActuals35415[Team 1],CY$3)+SUMIFS(tblActuals35415[Team 1 Points],tblActuals35415[Team 1],$CU4,tblActuals35415[Team 2],CY$3)</f>
        <v>0</v>
      </c>
      <c r="CZ4" s="56">
        <f>SUMIFS(tblActuals35415[Team 2 Points],tblActuals35415[Team 2],$CU4,tblActuals35415[Team 1],CZ$3)+SUMIFS(tblActuals35415[Team 1 Points],tblActuals35415[Team 1],$CU4,tblActuals35415[Team 2],CZ$3)</f>
        <v>0</v>
      </c>
      <c r="DA4" s="56">
        <f>SUMIFS(tblActuals35415[Team 2 Points],tblActuals35415[Team 2],$CU4,tblActuals35415[Team 1],DA$3)+SUMIFS(tblActuals35415[Team 1 Points],tblActuals35415[Team 1],$CU4,tblActuals35415[Team 2],DA$3)</f>
        <v>0</v>
      </c>
      <c r="DB4" s="56">
        <f>SUMIFS(tblActuals35415[Team 2 Points],tblActuals35415[Team 2],$CU4,tblActuals35415[Team 1],DB$3)+SUMIFS(tblActuals35415[Team 1 Points],tblActuals35415[Team 1],$CU4,tblActuals35415[Team 2],DB$3)</f>
        <v>0</v>
      </c>
      <c r="DC4" s="56">
        <f>SUMIFS(tblActuals35415[Team 2 Points],tblActuals35415[Team 2],$CU4,tblActuals35415[Team 1],DC$3)+SUMIFS(tblActuals35415[Team 1 Points],tblActuals35415[Team 1],$CU4,tblActuals35415[Team 2],DC$3)</f>
        <v>0</v>
      </c>
      <c r="DD4" s="56">
        <f>SUMIFS(tblActuals35415[Team 2 Points],tblActuals35415[Team 2],$CU4,tblActuals35415[Team 1],DD$3)+SUMIFS(tblActuals35415[Team 1 Points],tblActuals35415[Team 1],$CU4,tblActuals35415[Team 2],DD$3)</f>
        <v>0</v>
      </c>
      <c r="DE4" s="56">
        <f>SUMIFS(tblActuals35415[Team 2 Points],tblActuals35415[Team 2],$CU4,tblActuals35415[Team 1],DE$3)+SUMIFS(tblActuals35415[Team 1 Points],tblActuals35415[Team 1],$CU4,tblActuals35415[Team 2],DE$3)</f>
        <v>0</v>
      </c>
      <c r="DF4" s="56">
        <f>SUMIFS(tblActuals35415[Team 2 Points],tblActuals35415[Team 2],$CU4,tblActuals35415[Team 1],DF$3)+SUMIFS(tblActuals35415[Team 1 Points],tblActuals35415[Team 1],$CU4,tblActuals35415[Team 2],DF$3)</f>
        <v>0</v>
      </c>
      <c r="DG4" s="56">
        <f>SUMIFS(tblActuals35415[Team 2 Points],tblActuals35415[Team 2],$CU4,tblActuals35415[Team 1],DG$3)+SUMIFS(tblActuals35415[Team 1 Points],tblActuals35415[Team 1],$CU4,tblActuals35415[Team 2],DG$3)</f>
        <v>0</v>
      </c>
      <c r="DH4" s="56">
        <f>SUMIFS(tblActuals35415[Team 2 Points],tblActuals35415[Team 2],$CU4,tblActuals35415[Team 1],DH$3)+SUMIFS(tblActuals35415[Team 1 Points],tblActuals35415[Team 1],$CU4,tblActuals35415[Team 2],DH$3)</f>
        <v>0</v>
      </c>
      <c r="DI4" s="56">
        <f>SUMIFS(tblActuals35415[Team 2 Points],tblActuals35415[Team 2],$CU4,tblActuals35415[Team 1],DI$3)+SUMIFS(tblActuals35415[Team 1 Points],tblActuals35415[Team 1],$CU4,tblActuals35415[Team 2],DI$3)</f>
        <v>0</v>
      </c>
      <c r="DJ4" s="56">
        <f>SUMIFS(tblActuals35415[Team 2 Points],tblActuals35415[Team 2],$CU4,tblActuals35415[Team 1],DJ$3)+SUMIFS(tblActuals35415[Team 1 Points],tblActuals35415[Team 1],$CU4,tblActuals35415[Team 2],DJ$3)</f>
        <v>0</v>
      </c>
      <c r="DK4" s="56">
        <f>SUMIFS(tblActuals35415[Team 2 Points],tblActuals35415[Team 2],$CU4,tblActuals35415[Team 1],DK$3)+SUMIFS(tblActuals35415[Team 1 Points],tblActuals35415[Team 1],$CU4,tblActuals35415[Team 2],DK$3)</f>
        <v>0</v>
      </c>
      <c r="DL4" s="56">
        <f>SUMIFS(tblActuals35415[Team 2 Points],tblActuals35415[Team 2],$CU4,tblActuals35415[Team 1],DL$3)+SUMIFS(tblActuals35415[Team 1 Points],tblActuals35415[Team 1],$CU4,tblActuals35415[Team 2],DL$3)</f>
        <v>0</v>
      </c>
      <c r="DM4" s="56">
        <f>SUMIFS(tblActuals35415[Team 2 Points],tblActuals35415[Team 2],$CU4,tblActuals35415[Team 1],DM$3)+SUMIFS(tblActuals35415[Team 1 Points],tblActuals35415[Team 1],$CU4,tblActuals35415[Team 2],DM$3)</f>
        <v>0</v>
      </c>
      <c r="DN4" s="56">
        <f>SUMIFS(tblActuals35415[Team 2 Points],tblActuals35415[Team 2],$CU4,tblActuals35415[Team 1],DN$3)+SUMIFS(tblActuals35415[Team 1 Points],tblActuals35415[Team 1],$CU4,tblActuals35415[Team 2],DN$3)</f>
        <v>0</v>
      </c>
      <c r="DO4" s="56">
        <f>SUMIFS(tblActuals35415[Team 2 Points],tblActuals35415[Team 2],$CU4,tblActuals35415[Team 1],DO$3)+SUMIFS(tblActuals35415[Team 1 Points],tblActuals35415[Team 1],$CU4,tblActuals35415[Team 2],DO$3)</f>
        <v>0</v>
      </c>
      <c r="DP4" s="56">
        <f>SUMIFS(tblActuals35415[Team 2 Points],tblActuals35415[Team 2],$CU4,tblActuals35415[Team 1],DP$3)+SUMIFS(tblActuals35415[Team 1 Points],tblActuals35415[Team 1],$CU4,tblActuals35415[Team 2],DP$3)</f>
        <v>0</v>
      </c>
      <c r="DQ4" s="56">
        <f>SUMIFS(tblActuals35415[Team 2 Points],tblActuals35415[Team 2],$CU4,tblActuals35415[Team 1],DQ$3)+SUMIFS(tblActuals35415[Team 1 Points],tblActuals35415[Team 1],$CU4,tblActuals35415[Team 2],DQ$3)</f>
        <v>0</v>
      </c>
      <c r="DR4" s="56">
        <f>SUMIFS(tblActuals35415[Team 2 Points],tblActuals35415[Team 2],$CU4,tblActuals35415[Team 1],DR$3)+SUMIFS(tblActuals35415[Team 1 Points],tblActuals35415[Team 1],$CU4,tblActuals35415[Team 2],DR$3)</f>
        <v>0</v>
      </c>
      <c r="DS4" s="56">
        <f>SUMIFS(tblActuals35415[Team 2 Points],tblActuals35415[Team 2],$CU4,tblActuals35415[Team 1],DS$3)+SUMIFS(tblActuals35415[Team 1 Points],tblActuals35415[Team 1],$CU4,tblActuals35415[Team 2],DS$3)</f>
        <v>0</v>
      </c>
      <c r="DT4" s="57"/>
      <c r="DU4" s="57"/>
      <c r="DV4" s="57"/>
      <c r="DW4" s="57"/>
      <c r="DX4" s="57"/>
      <c r="DY4" s="57"/>
      <c r="DZ4" s="57"/>
      <c r="EA4" s="57"/>
      <c r="EB4" s="4"/>
      <c r="EC4" s="4" t="s">
        <v>27</v>
      </c>
      <c r="ED4" s="56">
        <f>SUMIFS(tblActuals35415[Team 2 GD],tblActuals35415[Team 2],$CU4,tblActuals35415[Team 1],ED$3)+SUMIFS(tblActuals35415[Team 1 GD],tblActuals35415[Team 1],$CU4,tblActuals35415[Team 2],ED$3)</f>
        <v>0</v>
      </c>
      <c r="EE4" s="56">
        <f>SUMIFS(tblActuals35415[Team 2 GD],tblActuals35415[Team 2],$CU4,tblActuals35415[Team 1],EE$3)+SUMIFS(tblActuals35415[Team 1 GD],tblActuals35415[Team 1],$CU4,tblActuals35415[Team 2],EE$3)</f>
        <v>0</v>
      </c>
      <c r="EF4" s="56">
        <f>SUMIFS(tblActuals35415[Team 2 GD],tblActuals35415[Team 2],$CU4,tblActuals35415[Team 1],EF$3)+SUMIFS(tblActuals35415[Team 1 GD],tblActuals35415[Team 1],$CU4,tblActuals35415[Team 2],EF$3)</f>
        <v>0</v>
      </c>
      <c r="EG4" s="56">
        <f>SUMIFS(tblActuals35415[Team 2 GD],tblActuals35415[Team 2],$CU4,tblActuals35415[Team 1],EG$3)+SUMIFS(tblActuals35415[Team 1 GD],tblActuals35415[Team 1],$CU4,tblActuals35415[Team 2],EG$3)</f>
        <v>0</v>
      </c>
      <c r="EH4" s="56">
        <f>SUMIFS(tblActuals35415[Team 2 GD],tblActuals35415[Team 2],$CU4,tblActuals35415[Team 1],EH$3)+SUMIFS(tblActuals35415[Team 1 GD],tblActuals35415[Team 1],$CU4,tblActuals35415[Team 2],EH$3)</f>
        <v>0</v>
      </c>
      <c r="EI4" s="56">
        <f>SUMIFS(tblActuals35415[Team 2 GD],tblActuals35415[Team 2],$CU4,tblActuals35415[Team 1],EI$3)+SUMIFS(tblActuals35415[Team 1 GD],tblActuals35415[Team 1],$CU4,tblActuals35415[Team 2],EI$3)</f>
        <v>0</v>
      </c>
      <c r="EJ4" s="56">
        <f>SUMIFS(tblActuals35415[Team 2 GD],tblActuals35415[Team 2],$CU4,tblActuals35415[Team 1],EJ$3)+SUMIFS(tblActuals35415[Team 1 GD],tblActuals35415[Team 1],$CU4,tblActuals35415[Team 2],EJ$3)</f>
        <v>0</v>
      </c>
      <c r="EK4" s="56">
        <f>SUMIFS(tblActuals35415[Team 2 GD],tblActuals35415[Team 2],$CU4,tblActuals35415[Team 1],EK$3)+SUMIFS(tblActuals35415[Team 1 GD],tblActuals35415[Team 1],$CU4,tblActuals35415[Team 2],EK$3)</f>
        <v>0</v>
      </c>
      <c r="EL4" s="56">
        <f>SUMIFS(tblActuals35415[Team 2 GD],tblActuals35415[Team 2],$CU4,tblActuals35415[Team 1],EL$3)+SUMIFS(tblActuals35415[Team 1 GD],tblActuals35415[Team 1],$CU4,tblActuals35415[Team 2],EL$3)</f>
        <v>0</v>
      </c>
      <c r="EM4" s="56">
        <f>SUMIFS(tblActuals35415[Team 2 GD],tblActuals35415[Team 2],$CU4,tblActuals35415[Team 1],EM$3)+SUMIFS(tblActuals35415[Team 1 GD],tblActuals35415[Team 1],$CU4,tblActuals35415[Team 2],EM$3)</f>
        <v>0</v>
      </c>
      <c r="EN4" s="56">
        <f>SUMIFS(tblActuals35415[Team 2 GD],tblActuals35415[Team 2],$CU4,tblActuals35415[Team 1],EN$3)+SUMIFS(tblActuals35415[Team 1 GD],tblActuals35415[Team 1],$CU4,tblActuals35415[Team 2],EN$3)</f>
        <v>0</v>
      </c>
      <c r="EO4" s="56">
        <f>SUMIFS(tblActuals35415[Team 2 GD],tblActuals35415[Team 2],$CU4,tblActuals35415[Team 1],EO$3)+SUMIFS(tblActuals35415[Team 1 GD],tblActuals35415[Team 1],$CU4,tblActuals35415[Team 2],EO$3)</f>
        <v>0</v>
      </c>
      <c r="EP4" s="56">
        <f>SUMIFS(tblActuals35415[Team 2 GD],tblActuals35415[Team 2],$CU4,tblActuals35415[Team 1],EP$3)+SUMIFS(tblActuals35415[Team 1 GD],tblActuals35415[Team 1],$CU4,tblActuals35415[Team 2],EP$3)</f>
        <v>0</v>
      </c>
      <c r="EQ4" s="56">
        <f>SUMIFS(tblActuals35415[Team 2 GD],tblActuals35415[Team 2],$CU4,tblActuals35415[Team 1],EQ$3)+SUMIFS(tblActuals35415[Team 1 GD],tblActuals35415[Team 1],$CU4,tblActuals35415[Team 2],EQ$3)</f>
        <v>0</v>
      </c>
      <c r="ER4" s="56">
        <f>SUMIFS(tblActuals35415[Team 2 GD],tblActuals35415[Team 2],$CU4,tblActuals35415[Team 1],ER$3)+SUMIFS(tblActuals35415[Team 1 GD],tblActuals35415[Team 1],$CU4,tblActuals35415[Team 2],ER$3)</f>
        <v>0</v>
      </c>
      <c r="ES4" s="56">
        <f>SUMIFS(tblActuals35415[Team 2 GD],tblActuals35415[Team 2],$CU4,tblActuals35415[Team 1],ES$3)+SUMIFS(tblActuals35415[Team 1 GD],tblActuals35415[Team 1],$CU4,tblActuals35415[Team 2],ES$3)</f>
        <v>0</v>
      </c>
      <c r="ET4" s="56">
        <f>SUMIFS(tblActuals35415[Team 2 GD],tblActuals35415[Team 2],$CU4,tblActuals35415[Team 1],ET$3)+SUMIFS(tblActuals35415[Team 1 GD],tblActuals35415[Team 1],$CU4,tblActuals35415[Team 2],ET$3)</f>
        <v>0</v>
      </c>
      <c r="EU4" s="56">
        <f>SUMIFS(tblActuals35415[Team 2 GD],tblActuals35415[Team 2],$CU4,tblActuals35415[Team 1],EU$3)+SUMIFS(tblActuals35415[Team 1 GD],tblActuals35415[Team 1],$CU4,tblActuals35415[Team 2],EU$3)</f>
        <v>0</v>
      </c>
      <c r="EV4" s="56">
        <f>SUMIFS(tblActuals35415[Team 2 GD],tblActuals35415[Team 2],$CU4,tblActuals35415[Team 1],EV$3)+SUMIFS(tblActuals35415[Team 1 GD],tblActuals35415[Team 1],$CU4,tblActuals35415[Team 2],EV$3)</f>
        <v>0</v>
      </c>
      <c r="EW4" s="56">
        <f>SUMIFS(tblActuals35415[Team 2 GD],tblActuals35415[Team 2],$CU4,tblActuals35415[Team 1],EW$3)+SUMIFS(tblActuals35415[Team 1 GD],tblActuals35415[Team 1],$CU4,tblActuals35415[Team 2],EW$3)</f>
        <v>0</v>
      </c>
      <c r="EX4" s="56">
        <f>SUMIFS(tblActuals35415[Team 2 GD],tblActuals35415[Team 2],$CU4,tblActuals35415[Team 1],EX$3)+SUMIFS(tblActuals35415[Team 1 GD],tblActuals35415[Team 1],$CU4,tblActuals35415[Team 2],EX$3)</f>
        <v>0</v>
      </c>
      <c r="EY4" s="56">
        <f>SUMIFS(tblActuals35415[Team 2 GD],tblActuals35415[Team 2],$CU4,tblActuals35415[Team 1],EY$3)+SUMIFS(tblActuals35415[Team 1 GD],tblActuals35415[Team 1],$CU4,tblActuals35415[Team 2],EY$3)</f>
        <v>0</v>
      </c>
      <c r="EZ4" s="56">
        <f>SUMIFS(tblActuals35415[Team 2 GD],tblActuals35415[Team 2],$CU4,tblActuals35415[Team 1],EZ$3)+SUMIFS(tblActuals35415[Team 1 GD],tblActuals35415[Team 1],$CU4,tblActuals35415[Team 2],EZ$3)</f>
        <v>0</v>
      </c>
      <c r="FA4" s="56">
        <f>SUMIFS(tblActuals35415[Team 2 GD],tblActuals35415[Team 2],$CU4,tblActuals35415[Team 1],FA$3)+SUMIFS(tblActuals35415[Team 1 GD],tblActuals35415[Team 1],$CU4,tblActuals35415[Team 2],FA$3)</f>
        <v>0</v>
      </c>
      <c r="FB4" s="57"/>
      <c r="FC4" s="57"/>
      <c r="FD4" s="57"/>
      <c r="FE4" s="57"/>
      <c r="FF4" s="57"/>
      <c r="FG4" s="57"/>
      <c r="FH4" s="57"/>
      <c r="FI4" s="57"/>
      <c r="FJ4" s="4"/>
      <c r="FK4" s="4" t="s">
        <v>27</v>
      </c>
      <c r="FL4" s="56">
        <f>SUMIFS(tblActuals35415[Team 2 Goals],tblActuals35415[Team 2],$CU4,tblActuals35415[Team 1],FL$3)+SUMIFS(tblActuals35415[Team 1 Goals],tblActuals35415[Team 1],$CU4,tblActuals35415[Team 2],FL$3)</f>
        <v>0</v>
      </c>
      <c r="FM4" s="56">
        <f>SUMIFS(tblActuals35415[Team 2 Goals],tblActuals35415[Team 2],$CU4,tblActuals35415[Team 1],FM$3)+SUMIFS(tblActuals35415[Team 1 Goals],tblActuals35415[Team 1],$CU4,tblActuals35415[Team 2],FM$3)</f>
        <v>0</v>
      </c>
      <c r="FN4" s="56">
        <f>SUMIFS(tblActuals35415[Team 2 Goals],tblActuals35415[Team 2],$CU4,tblActuals35415[Team 1],FN$3)+SUMIFS(tblActuals35415[Team 1 Goals],tblActuals35415[Team 1],$CU4,tblActuals35415[Team 2],FN$3)</f>
        <v>0</v>
      </c>
      <c r="FO4" s="56">
        <f>SUMIFS(tblActuals35415[Team 2 Goals],tblActuals35415[Team 2],$CU4,tblActuals35415[Team 1],FO$3)+SUMIFS(tblActuals35415[Team 1 Goals],tblActuals35415[Team 1],$CU4,tblActuals35415[Team 2],FO$3)</f>
        <v>0</v>
      </c>
      <c r="FP4" s="56">
        <f>SUMIFS(tblActuals35415[Team 2 Goals],tblActuals35415[Team 2],$CU4,tblActuals35415[Team 1],FP$3)+SUMIFS(tblActuals35415[Team 1 Goals],tblActuals35415[Team 1],$CU4,tblActuals35415[Team 2],FP$3)</f>
        <v>0</v>
      </c>
      <c r="FQ4" s="56">
        <f>SUMIFS(tblActuals35415[Team 2 Goals],tblActuals35415[Team 2],$CU4,tblActuals35415[Team 1],FQ$3)+SUMIFS(tblActuals35415[Team 1 Goals],tblActuals35415[Team 1],$CU4,tblActuals35415[Team 2],FQ$3)</f>
        <v>0</v>
      </c>
      <c r="FR4" s="56">
        <f>SUMIFS(tblActuals35415[Team 2 Goals],tblActuals35415[Team 2],$CU4,tblActuals35415[Team 1],FR$3)+SUMIFS(tblActuals35415[Team 1 Goals],tblActuals35415[Team 1],$CU4,tblActuals35415[Team 2],FR$3)</f>
        <v>0</v>
      </c>
      <c r="FS4" s="56">
        <f>SUMIFS(tblActuals35415[Team 2 Goals],tblActuals35415[Team 2],$CU4,tblActuals35415[Team 1],FS$3)+SUMIFS(tblActuals35415[Team 1 Goals],tblActuals35415[Team 1],$CU4,tblActuals35415[Team 2],FS$3)</f>
        <v>0</v>
      </c>
      <c r="FT4" s="56">
        <f>SUMIFS(tblActuals35415[Team 2 Goals],tblActuals35415[Team 2],$CU4,tblActuals35415[Team 1],FT$3)+SUMIFS(tblActuals35415[Team 1 Goals],tblActuals35415[Team 1],$CU4,tblActuals35415[Team 2],FT$3)</f>
        <v>0</v>
      </c>
      <c r="FU4" s="56">
        <f>SUMIFS(tblActuals35415[Team 2 Goals],tblActuals35415[Team 2],$CU4,tblActuals35415[Team 1],FU$3)+SUMIFS(tblActuals35415[Team 1 Goals],tblActuals35415[Team 1],$CU4,tblActuals35415[Team 2],FU$3)</f>
        <v>0</v>
      </c>
      <c r="FV4" s="56">
        <f>SUMIFS(tblActuals35415[Team 2 Goals],tblActuals35415[Team 2],$CU4,tblActuals35415[Team 1],FV$3)+SUMIFS(tblActuals35415[Team 1 Goals],tblActuals35415[Team 1],$CU4,tblActuals35415[Team 2],FV$3)</f>
        <v>0</v>
      </c>
      <c r="FW4" s="56">
        <f>SUMIFS(tblActuals35415[Team 2 Goals],tblActuals35415[Team 2],$CU4,tblActuals35415[Team 1],FW$3)+SUMIFS(tblActuals35415[Team 1 Goals],tblActuals35415[Team 1],$CU4,tblActuals35415[Team 2],FW$3)</f>
        <v>0</v>
      </c>
      <c r="FX4" s="56">
        <f>SUMIFS(tblActuals35415[Team 2 Goals],tblActuals35415[Team 2],$CU4,tblActuals35415[Team 1],FX$3)+SUMIFS(tblActuals35415[Team 1 Goals],tblActuals35415[Team 1],$CU4,tblActuals35415[Team 2],FX$3)</f>
        <v>0</v>
      </c>
      <c r="FY4" s="56">
        <f>SUMIFS(tblActuals35415[Team 2 Goals],tblActuals35415[Team 2],$CU4,tblActuals35415[Team 1],FY$3)+SUMIFS(tblActuals35415[Team 1 Goals],tblActuals35415[Team 1],$CU4,tblActuals35415[Team 2],FY$3)</f>
        <v>0</v>
      </c>
      <c r="FZ4" s="56">
        <f>SUMIFS(tblActuals35415[Team 2 Goals],tblActuals35415[Team 2],$CU4,tblActuals35415[Team 1],FZ$3)+SUMIFS(tblActuals35415[Team 1 Goals],tblActuals35415[Team 1],$CU4,tblActuals35415[Team 2],FZ$3)</f>
        <v>0</v>
      </c>
      <c r="GA4" s="56">
        <f>SUMIFS(tblActuals35415[Team 2 Goals],tblActuals35415[Team 2],$CU4,tblActuals35415[Team 1],GA$3)+SUMIFS(tblActuals35415[Team 1 Goals],tblActuals35415[Team 1],$CU4,tblActuals35415[Team 2],GA$3)</f>
        <v>0</v>
      </c>
      <c r="GB4" s="56">
        <f>SUMIFS(tblActuals35415[Team 2 Goals],tblActuals35415[Team 2],$CU4,tblActuals35415[Team 1],GB$3)+SUMIFS(tblActuals35415[Team 1 Goals],tblActuals35415[Team 1],$CU4,tblActuals35415[Team 2],GB$3)</f>
        <v>0</v>
      </c>
      <c r="GC4" s="56">
        <f>SUMIFS(tblActuals35415[Team 2 Goals],tblActuals35415[Team 2],$CU4,tblActuals35415[Team 1],GC$3)+SUMIFS(tblActuals35415[Team 1 Goals],tblActuals35415[Team 1],$CU4,tblActuals35415[Team 2],GC$3)</f>
        <v>0</v>
      </c>
      <c r="GD4" s="56">
        <f>SUMIFS(tblActuals35415[Team 2 Goals],tblActuals35415[Team 2],$CU4,tblActuals35415[Team 1],GD$3)+SUMIFS(tblActuals35415[Team 1 Goals],tblActuals35415[Team 1],$CU4,tblActuals35415[Team 2],GD$3)</f>
        <v>0</v>
      </c>
      <c r="GE4" s="56">
        <f>SUMIFS(tblActuals35415[Team 2 Goals],tblActuals35415[Team 2],$CU4,tblActuals35415[Team 1],GE$3)+SUMIFS(tblActuals35415[Team 1 Goals],tblActuals35415[Team 1],$CU4,tblActuals35415[Team 2],GE$3)</f>
        <v>0</v>
      </c>
      <c r="GF4" s="56">
        <f>SUMIFS(tblActuals35415[Team 2 Goals],tblActuals35415[Team 2],$CU4,tblActuals35415[Team 1],GF$3)+SUMIFS(tblActuals35415[Team 1 Goals],tblActuals35415[Team 1],$CU4,tblActuals35415[Team 2],GF$3)</f>
        <v>0</v>
      </c>
      <c r="GG4" s="56">
        <f>SUMIFS(tblActuals35415[Team 2 Goals],tblActuals35415[Team 2],$CU4,tblActuals35415[Team 1],GG$3)+SUMIFS(tblActuals35415[Team 1 Goals],tblActuals35415[Team 1],$CU4,tblActuals35415[Team 2],GG$3)</f>
        <v>0</v>
      </c>
      <c r="GH4" s="56">
        <f>SUMIFS(tblActuals35415[Team 2 Goals],tblActuals35415[Team 2],$CU4,tblActuals35415[Team 1],GH$3)+SUMIFS(tblActuals35415[Team 1 Goals],tblActuals35415[Team 1],$CU4,tblActuals35415[Team 2],GH$3)</f>
        <v>0</v>
      </c>
      <c r="GI4" s="56">
        <f>SUMIFS(tblActuals35415[Team 2 Goals],tblActuals35415[Team 2],$CU4,tblActuals35415[Team 1],GI$3)+SUMIFS(tblActuals35415[Team 1 Goals],tblActuals35415[Team 1],$CU4,tblActuals35415[Team 2],GI$3)</f>
        <v>0</v>
      </c>
      <c r="GJ4" s="57"/>
      <c r="GK4" s="57"/>
      <c r="GL4" s="37"/>
      <c r="GM4" s="37"/>
      <c r="GN4" s="37"/>
      <c r="GO4" s="37"/>
      <c r="GP4" s="37"/>
      <c r="GQ4" s="37"/>
      <c r="GR4" s="75"/>
      <c r="GS4" s="156"/>
      <c r="GT4" s="156"/>
      <c r="GU4" s="75"/>
      <c r="GV4" s="22"/>
      <c r="GW4" s="75"/>
      <c r="GX4" s="75"/>
      <c r="GY4" s="75"/>
      <c r="GZ4" s="75"/>
      <c r="HB4" s="4" t="s">
        <v>0</v>
      </c>
      <c r="HC4" s="178" t="s">
        <v>143</v>
      </c>
      <c r="HD4" s="178"/>
      <c r="HE4" s="178"/>
      <c r="HF4" s="178"/>
      <c r="HG4" s="178"/>
      <c r="HH4" s="178"/>
      <c r="HI4" s="178"/>
      <c r="HJ4" s="43" t="s">
        <v>145</v>
      </c>
      <c r="HK4" s="43" t="s">
        <v>145</v>
      </c>
      <c r="HL4" s="43" t="s">
        <v>145</v>
      </c>
      <c r="HM4" s="43" t="s">
        <v>145</v>
      </c>
    </row>
    <row r="5" spans="1:221" s="11" customFormat="1" ht="30" customHeight="1" thickBot="1" x14ac:dyDescent="0.25">
      <c r="A5" s="28" t="s">
        <v>72</v>
      </c>
      <c r="B5" s="122">
        <v>2</v>
      </c>
      <c r="C5" s="122" t="s">
        <v>1</v>
      </c>
      <c r="D5" s="123">
        <v>45458</v>
      </c>
      <c r="E5" s="122" t="s">
        <v>79</v>
      </c>
      <c r="F5" s="124">
        <v>0.625</v>
      </c>
      <c r="G5" s="125">
        <f t="shared" ref="G5:G51" si="11">(D5+F5)+IF($A$7&gt;=0,TIMEVALUE($A$7&amp;":00"),-TIMEVALUE(ABS($A$7)&amp;":00"))</f>
        <v>45458.375</v>
      </c>
      <c r="H5" s="122" t="s">
        <v>90</v>
      </c>
      <c r="I5" s="126"/>
      <c r="J5" s="118"/>
      <c r="K5" s="118"/>
      <c r="L5" s="174">
        <f>IF(I5="",0,IFERROR(IF(SCORING.RULES!$C$8="No",1,((VLOOKUP($B5,ACTUALS!$B$4:$L$100,7,FALSE)=$H5)+(VLOOKUP($B5,ACTUALS!$B$4:$L$100,7,FALSE)=S5)))*(M5+N5+O5+P5+Q5),0))+$R5</f>
        <v>0</v>
      </c>
      <c r="M5" s="168">
        <f>IFERROR(IF($B5="","",IF(U5=INDEX(ACTUALS!$AA$4:$AA$100,MATCH($B5,ACTUALS!$B$4:$B$100,0),1),CorrectScore,0)),0)</f>
        <v>0</v>
      </c>
      <c r="N5" s="157" t="str">
        <f>IFERROR(IF(I5="","",IF(INDEX(ACTUALS!$AB$4:$AB$100,MATCH($B5,ACTUALS!$B$4:$B$100,0),1)=(AB5+AC5+AH5+AI5),CorrectNumberofGoals,0)),0)</f>
        <v/>
      </c>
      <c r="O5" s="157"/>
      <c r="P5" s="157">
        <f>IFERROR(IF(B5="","",IF(INDEX(ACTUALS!$L$4:$L$100,MATCH($B5,ACTUALS!$B$4:$B$100,0),1)=W5,CorrectResult,0)),0)</f>
        <v>3</v>
      </c>
      <c r="Q5" s="157"/>
      <c r="R5" s="157"/>
      <c r="S5" s="157" t="str">
        <f t="shared" si="0"/>
        <v/>
      </c>
      <c r="T5" s="157"/>
      <c r="U5" s="157" t="str">
        <f t="shared" si="1"/>
        <v/>
      </c>
      <c r="V5" s="157" t="str">
        <f t="shared" si="2"/>
        <v/>
      </c>
      <c r="W5" s="119" t="str">
        <f>IF(tblActuals35415[[#This Row],[SCORE]]="","",IF(AB5=AC5,"Draw",IF(AB5&gt;AC5,X5,Y5)))</f>
        <v/>
      </c>
      <c r="X5" s="120" t="str">
        <f>IF(tblActuals35415[[#This Row],[TEAMS]]="","",LEFT(H5,FIND(" -",H5,1)-1))</f>
        <v>Hungary</v>
      </c>
      <c r="Y5" s="120" t="str">
        <f>IF(tblActuals35415[[#This Row],[TEAMS]]="","",MID(H5,FIND("-",H5,1)+2,LEN(H5)-FIND("-",H5,1)+2))</f>
        <v>Switzerland</v>
      </c>
      <c r="Z5" s="120" t="str">
        <f>IF(tblActuals35415[[#This Row],[Team 1 Goals]]&gt;tblActuals35415[[#This Row],[Team 2 Goals]],tblActuals35415[[#This Row],[Team 1]],IF(tblActuals35415[[#This Row],[Team 2 Goals]]&gt;tblActuals35415[[#This Row],[Team 1 Goals]],tblActuals35415[[#This Row],[Team 2]],""))</f>
        <v/>
      </c>
      <c r="AA5" s="120" t="str">
        <f>IF(tblActuals35415[[#This Row],[Winner]]=tblActuals35415[[#This Row],[Team 1]],tblActuals35415[[#This Row],[Team 2]],IF(tblActuals35415[[#This Row],[Winner]]=tblActuals35415[[#This Row],[Team 2]],tblActuals35415[[#This Row],[Team 1]],""))</f>
        <v/>
      </c>
      <c r="AB5" s="120" t="str">
        <f>IF(tblActuals35415[[#This Row],[SCORE]]="","",LEFT(I5,FIND(":",I5,1)-1)*1)</f>
        <v/>
      </c>
      <c r="AC5" s="120" t="str">
        <f>IF(tblActuals35415[[#This Row],[SCORE]]="","",MID(I5,FIND(":",I5,1)+1,LEN(I5)-FIND(":",I5,1)+1)*1)</f>
        <v/>
      </c>
      <c r="AD5" s="120" t="str">
        <f>IF(OR(tblActuals35415[[#This Row],[Team 1 Goals]]="",tblActuals35415[[#This Row],[Team 2 Goals]]=""),"",tblActuals35415[[#This Row],[Team 1 Goals]]-tblActuals35415[[#This Row],[Team 2 Goals]])</f>
        <v/>
      </c>
      <c r="AE5" s="120" t="str">
        <f>IF(OR(tblActuals35415[[#This Row],[Team 1 Goals]]="",tblActuals35415[[#This Row],[Team 2 Goals]]=""),"",tblActuals35415[[#This Row],[Team 2 Goals]]-tblActuals35415[[#This Row],[Team 1 Goals]])</f>
        <v/>
      </c>
      <c r="AF5" s="120" t="str">
        <f>IF(tblActuals35415[[#This Row],[SCORE]]="","",IF(tblActuals35415[[#This Row],[WINNER / RESULT]]="Draw",1,IF(tblActuals35415[[#This Row],[WINNER / RESULT]]=tblActuals35415[[#This Row],[Team 1]],3,0)))</f>
        <v/>
      </c>
      <c r="AG5" s="120" t="str">
        <f>IF(tblActuals35415[[#This Row],[SCORE]]="","",IF(tblActuals35415[[#This Row],[WINNER / RESULT]]="Draw",1,IF(tblActuals35415[[#This Row],[WINNER / RESULT]]=tblActuals35415[[#This Row],[Team 2]],3,0)))</f>
        <v/>
      </c>
      <c r="AH5" s="121"/>
      <c r="AI5" s="121"/>
      <c r="AJ5" s="121"/>
      <c r="AK5" s="121"/>
      <c r="AL5" s="120" t="e">
        <f>tblActuals35415[[#This Row],[Team 1 Goals]]+tblActuals35415[[#This Row],[Team 1 ET Goals]]&amp;":"&amp;tblActuals35415[[#This Row],[Team 2 Goals]]+tblActuals35415[[#This Row],[Team 2 ET Goals]]</f>
        <v>#VALUE!</v>
      </c>
      <c r="AM5" s="120" t="e">
        <f>+tblActuals35415[[#This Row],[Team 1 Goals]]+tblActuals35415[[#This Row],[Team 2 Goals]]</f>
        <v>#VALUE!</v>
      </c>
      <c r="AN5" s="161">
        <f t="shared" si="3"/>
        <v>45458</v>
      </c>
      <c r="AP5" s="38" t="s">
        <v>80</v>
      </c>
      <c r="AT5" s="76"/>
      <c r="AU5" s="179" t="s">
        <v>51</v>
      </c>
      <c r="AV5" s="180"/>
      <c r="AW5" s="133" t="s">
        <v>46</v>
      </c>
      <c r="AX5" s="134" t="s">
        <v>57</v>
      </c>
      <c r="AY5" s="135" t="s">
        <v>11</v>
      </c>
      <c r="AZ5" s="75"/>
      <c r="BA5" s="42"/>
      <c r="BB5" s="4"/>
      <c r="BC5" s="4" t="s">
        <v>1</v>
      </c>
      <c r="BD5" s="4" t="s">
        <v>125</v>
      </c>
      <c r="BE5" s="4">
        <f>COUNTIF(tblActuals35415[Winner],BD5)</f>
        <v>0</v>
      </c>
      <c r="BF5" s="4">
        <f>COUNTIFS(tblActuals35415[Team 2],BD5,tblActuals35415[WINNER / RESULT],"Draw")+COUNTIFS(tblActuals35415[Team 1],BD5,tblActuals35415[WINNER / RESULT],"Draw")</f>
        <v>0</v>
      </c>
      <c r="BG5" s="4">
        <f>COUNTIF(tblActuals35415[Loser],BD5)</f>
        <v>0</v>
      </c>
      <c r="BH5" s="4">
        <f>BF5+(3*BE5)</f>
        <v>0</v>
      </c>
      <c r="BI5" s="4">
        <f>SUMIFS(tblActuals35415[Team 1 Goals],tblActuals35415[Team 1],BD5)+SUMIFS(tblActuals35415[Team 2 Goals],tblActuals35415[Team 2],BD5)</f>
        <v>0</v>
      </c>
      <c r="BJ5" s="4">
        <f>SUMIFS(tblActuals35415[Team 2 Goals],tblActuals35415[Team 1],BD5)+SUMIFS(tblActuals35415[Team 1 Goals],tblActuals35415[Team 2],BD5)</f>
        <v>0</v>
      </c>
      <c r="BK5" s="4">
        <f>BI5-BJ5</f>
        <v>0</v>
      </c>
      <c r="BL5" s="4">
        <f ca="1">RANK(BY5,$BY$4:$BY$7,1)</f>
        <v>2</v>
      </c>
      <c r="BM5" s="4" t="str">
        <f t="shared" si="4"/>
        <v/>
      </c>
      <c r="BN5" s="4" t="str">
        <f ca="1">IF(BM5="",BL5&amp;BC5,BM5&amp;BC5)</f>
        <v>2A</v>
      </c>
      <c r="BO5" s="4">
        <f>RANK(BH5,$BH$4:$BH$7,0)</f>
        <v>1</v>
      </c>
      <c r="BP5" s="4" cm="1">
        <f t="array" aca="1" ref="BP5" ca="1">SUMPRODUCT((OFFSET($CV$3:$EA$3,MATCH($BD5,$CU$4:$CU$35,0),0))*((IF($BO6=$BO5,$CV$3:$EA$3=$BD6,0))+(IF($BO7=$BO5,$CV$3:$EA$3=$BD7,0))+(IF($BO4=$BO5,$CV$3:$EA$3=$BD4,0))))</f>
        <v>0</v>
      </c>
      <c r="BQ5" s="4" cm="1">
        <f t="array" aca="1" ref="BQ5" ca="1">SUMPRODUCT((OFFSET($ED$3:$FI$3,MATCH($BD5,$EC$4:$EC$35,0),0))*((IF($BO6=$BO5,$ED$3:$FI$3=$BD6,0))+(IF($BO7=$BO5,$ED$3:$FI$3=$BD7,0))+(IF($BO4=$BO5,$ED$3:$FI$3=$BD4,0))))</f>
        <v>0</v>
      </c>
      <c r="BR5" s="4" cm="1">
        <f t="array" aca="1" ref="BR5" ca="1">SUMPRODUCT((OFFSET($FL$3:$GQ$3,MATCH($BD5,$FK$4:$FK$35,0),0))*((IF($BO6=$BO5,$FL$3:$GQ$3=$BD6,0))+(IF($BO7=$BO5,$FL$3:$GQ$3=$BD7,0))+(IF($BO4=$BO5,$FL$3:$GQ$3=$BD4,0))))</f>
        <v>0</v>
      </c>
      <c r="BS5" s="4" cm="1">
        <f t="array" aca="1" ref="BS5" ca="1">SUMPRODUCT((OFFSET($CV$3:$EA$3,MATCH($BD5,$CU$4:$CU$35,0),0))*((IF($BO6&lt;&gt;$BO5,$CV$3:$EA$3=$BD6,0))+(IF($BO7&lt;&gt;$BO5,$CV$3:$EA$3=$BD7,0))+(IF($BO4&lt;&gt;$BO5,$CV$3:$EA$3=$BD4,0))))</f>
        <v>0</v>
      </c>
      <c r="BT5" s="4" cm="1">
        <f t="array" aca="1" ref="BT5" ca="1">SUMPRODUCT((OFFSET($ED$3:$FI$3,MATCH($BD5,$EC$4:$EC$35,0),0))*((IF($BO6&lt;&gt;$BO5,$ED$3:$FI$3=$BD6,0))+(IF($BO7&lt;&gt;$BO5,$ED$3:$FI$3=$BD7,0))+(IF($BO4&lt;&gt;$BO5,$ED$3:$FI$3=$BD4,0))))</f>
        <v>0</v>
      </c>
      <c r="BU5" s="4" cm="1">
        <f t="array" aca="1" ref="BU5" ca="1">SUMPRODUCT((OFFSET($FL$3:$GQ$3,MATCH($BD5,$FK$4:$FK$35,0),0))*((IF($BO6&lt;&gt;$BO5,$FL$3:$GQ$3=$BD6,0))+(IF($BO7&lt;&gt;$BO5,$FL$3:$GQ$3=$BD7,0))+(IF($BO4&lt;&gt;$BO5,$FL$3:$GQ$3=$BD4,0))))</f>
        <v>0</v>
      </c>
      <c r="BV5" s="4">
        <f>BK5</f>
        <v>0</v>
      </c>
      <c r="BW5" s="4">
        <f>BI5</f>
        <v>0</v>
      </c>
      <c r="BX5" s="4">
        <f ca="1">(BP5/10)+(BQ5/100)+(BR5/1000)+(BT5/10000)+(BU5/100000)+(BV5/1000000)+(BW5/10000000)+(ROW(BS6)/100000000)</f>
        <v>5.9999999999999995E-8</v>
      </c>
      <c r="BY5" s="4">
        <f ca="1">+BO5-BX5</f>
        <v>0.99999994000000003</v>
      </c>
      <c r="BZ5" s="4"/>
      <c r="CA5" s="4" t="s">
        <v>5</v>
      </c>
      <c r="CB5" s="4" t="str">
        <f ca="1">AV14</f>
        <v>Italy</v>
      </c>
      <c r="CC5" s="4">
        <f t="shared" ca="1" si="5"/>
        <v>0</v>
      </c>
      <c r="CD5" s="4">
        <f t="shared" ca="1" si="6"/>
        <v>0</v>
      </c>
      <c r="CE5" s="4">
        <f t="shared" ca="1" si="7"/>
        <v>0</v>
      </c>
      <c r="CF5" s="4">
        <f t="shared" ca="1" si="8"/>
        <v>0</v>
      </c>
      <c r="CG5" s="4">
        <f t="shared" ca="1" si="9"/>
        <v>4.9999999999999998E-7</v>
      </c>
      <c r="CH5" s="4">
        <f t="shared" ca="1" si="10"/>
        <v>5</v>
      </c>
      <c r="CI5" s="4"/>
      <c r="CJ5" s="4"/>
      <c r="CK5" s="4"/>
      <c r="CL5" s="4"/>
      <c r="CM5" s="4"/>
      <c r="CN5" s="4"/>
      <c r="CO5" s="4"/>
      <c r="CP5" s="4"/>
      <c r="CQ5" s="4"/>
      <c r="CR5" s="4"/>
      <c r="CU5" s="4" t="s">
        <v>124</v>
      </c>
      <c r="CV5" s="56">
        <f>SUMIFS(tblActuals35415[Team 2 Points],tblActuals35415[Team 2],$CU5,tblActuals35415[Team 1],CV$3)+SUMIFS(tblActuals35415[Team 1 Points],tblActuals35415[Team 1],$CU5,tblActuals35415[Team 2],CV$3)</f>
        <v>0</v>
      </c>
      <c r="CW5" s="56">
        <f>SUMIFS(tblActuals35415[Team 2 Points],tblActuals35415[Team 2],$CU5,tblActuals35415[Team 1],CW$3)+SUMIFS(tblActuals35415[Team 1 Points],tblActuals35415[Team 1],$CU5,tblActuals35415[Team 2],CW$3)</f>
        <v>0</v>
      </c>
      <c r="CX5" s="56">
        <f>SUMIFS(tblActuals35415[Team 2 Points],tblActuals35415[Team 2],$CU5,tblActuals35415[Team 1],CX$3)+SUMIFS(tblActuals35415[Team 1 Points],tblActuals35415[Team 1],$CU5,tblActuals35415[Team 2],CX$3)</f>
        <v>0</v>
      </c>
      <c r="CY5" s="56">
        <f>SUMIFS(tblActuals35415[Team 2 Points],tblActuals35415[Team 2],$CU5,tblActuals35415[Team 1],CY$3)+SUMIFS(tblActuals35415[Team 1 Points],tblActuals35415[Team 1],$CU5,tblActuals35415[Team 2],CY$3)</f>
        <v>0</v>
      </c>
      <c r="CZ5" s="56">
        <f>SUMIFS(tblActuals35415[Team 2 Points],tblActuals35415[Team 2],$CU5,tblActuals35415[Team 1],CZ$3)+SUMIFS(tblActuals35415[Team 1 Points],tblActuals35415[Team 1],$CU5,tblActuals35415[Team 2],CZ$3)</f>
        <v>0</v>
      </c>
      <c r="DA5" s="56">
        <f>SUMIFS(tblActuals35415[Team 2 Points],tblActuals35415[Team 2],$CU5,tblActuals35415[Team 1],DA$3)+SUMIFS(tblActuals35415[Team 1 Points],tblActuals35415[Team 1],$CU5,tblActuals35415[Team 2],DA$3)</f>
        <v>0</v>
      </c>
      <c r="DB5" s="56">
        <f>SUMIFS(tblActuals35415[Team 2 Points],tblActuals35415[Team 2],$CU5,tblActuals35415[Team 1],DB$3)+SUMIFS(tblActuals35415[Team 1 Points],tblActuals35415[Team 1],$CU5,tblActuals35415[Team 2],DB$3)</f>
        <v>0</v>
      </c>
      <c r="DC5" s="56">
        <f>SUMIFS(tblActuals35415[Team 2 Points],tblActuals35415[Team 2],$CU5,tblActuals35415[Team 1],DC$3)+SUMIFS(tblActuals35415[Team 1 Points],tblActuals35415[Team 1],$CU5,tblActuals35415[Team 2],DC$3)</f>
        <v>0</v>
      </c>
      <c r="DD5" s="56">
        <f>SUMIFS(tblActuals35415[Team 2 Points],tblActuals35415[Team 2],$CU5,tblActuals35415[Team 1],DD$3)+SUMIFS(tblActuals35415[Team 1 Points],tblActuals35415[Team 1],$CU5,tblActuals35415[Team 2],DD$3)</f>
        <v>0</v>
      </c>
      <c r="DE5" s="56">
        <f>SUMIFS(tblActuals35415[Team 2 Points],tblActuals35415[Team 2],$CU5,tblActuals35415[Team 1],DE$3)+SUMIFS(tblActuals35415[Team 1 Points],tblActuals35415[Team 1],$CU5,tblActuals35415[Team 2],DE$3)</f>
        <v>0</v>
      </c>
      <c r="DF5" s="56">
        <f>SUMIFS(tblActuals35415[Team 2 Points],tblActuals35415[Team 2],$CU5,tblActuals35415[Team 1],DF$3)+SUMIFS(tblActuals35415[Team 1 Points],tblActuals35415[Team 1],$CU5,tblActuals35415[Team 2],DF$3)</f>
        <v>0</v>
      </c>
      <c r="DG5" s="56">
        <f>SUMIFS(tblActuals35415[Team 2 Points],tblActuals35415[Team 2],$CU5,tblActuals35415[Team 1],DG$3)+SUMIFS(tblActuals35415[Team 1 Points],tblActuals35415[Team 1],$CU5,tblActuals35415[Team 2],DG$3)</f>
        <v>0</v>
      </c>
      <c r="DH5" s="56">
        <f>SUMIFS(tblActuals35415[Team 2 Points],tblActuals35415[Team 2],$CU5,tblActuals35415[Team 1],DH$3)+SUMIFS(tblActuals35415[Team 1 Points],tblActuals35415[Team 1],$CU5,tblActuals35415[Team 2],DH$3)</f>
        <v>0</v>
      </c>
      <c r="DI5" s="56">
        <f>SUMIFS(tblActuals35415[Team 2 Points],tblActuals35415[Team 2],$CU5,tblActuals35415[Team 1],DI$3)+SUMIFS(tblActuals35415[Team 1 Points],tblActuals35415[Team 1],$CU5,tblActuals35415[Team 2],DI$3)</f>
        <v>0</v>
      </c>
      <c r="DJ5" s="56">
        <f>SUMIFS(tblActuals35415[Team 2 Points],tblActuals35415[Team 2],$CU5,tblActuals35415[Team 1],DJ$3)+SUMIFS(tblActuals35415[Team 1 Points],tblActuals35415[Team 1],$CU5,tblActuals35415[Team 2],DJ$3)</f>
        <v>0</v>
      </c>
      <c r="DK5" s="56">
        <f>SUMIFS(tblActuals35415[Team 2 Points],tblActuals35415[Team 2],$CU5,tblActuals35415[Team 1],DK$3)+SUMIFS(tblActuals35415[Team 1 Points],tblActuals35415[Team 1],$CU5,tblActuals35415[Team 2],DK$3)</f>
        <v>0</v>
      </c>
      <c r="DL5" s="56">
        <f>SUMIFS(tblActuals35415[Team 2 Points],tblActuals35415[Team 2],$CU5,tblActuals35415[Team 1],DL$3)+SUMIFS(tblActuals35415[Team 1 Points],tblActuals35415[Team 1],$CU5,tblActuals35415[Team 2],DL$3)</f>
        <v>0</v>
      </c>
      <c r="DM5" s="56">
        <f>SUMIFS(tblActuals35415[Team 2 Points],tblActuals35415[Team 2],$CU5,tblActuals35415[Team 1],DM$3)+SUMIFS(tblActuals35415[Team 1 Points],tblActuals35415[Team 1],$CU5,tblActuals35415[Team 2],DM$3)</f>
        <v>0</v>
      </c>
      <c r="DN5" s="56">
        <f>SUMIFS(tblActuals35415[Team 2 Points],tblActuals35415[Team 2],$CU5,tblActuals35415[Team 1],DN$3)+SUMIFS(tblActuals35415[Team 1 Points],tblActuals35415[Team 1],$CU5,tblActuals35415[Team 2],DN$3)</f>
        <v>0</v>
      </c>
      <c r="DO5" s="56">
        <f>SUMIFS(tblActuals35415[Team 2 Points],tblActuals35415[Team 2],$CU5,tblActuals35415[Team 1],DO$3)+SUMIFS(tblActuals35415[Team 1 Points],tblActuals35415[Team 1],$CU5,tblActuals35415[Team 2],DO$3)</f>
        <v>0</v>
      </c>
      <c r="DP5" s="56">
        <f>SUMIFS(tblActuals35415[Team 2 Points],tblActuals35415[Team 2],$CU5,tblActuals35415[Team 1],DP$3)+SUMIFS(tblActuals35415[Team 1 Points],tblActuals35415[Team 1],$CU5,tblActuals35415[Team 2],DP$3)</f>
        <v>0</v>
      </c>
      <c r="DQ5" s="56">
        <f>SUMIFS(tblActuals35415[Team 2 Points],tblActuals35415[Team 2],$CU5,tblActuals35415[Team 1],DQ$3)+SUMIFS(tblActuals35415[Team 1 Points],tblActuals35415[Team 1],$CU5,tblActuals35415[Team 2],DQ$3)</f>
        <v>0</v>
      </c>
      <c r="DR5" s="56">
        <f>SUMIFS(tblActuals35415[Team 2 Points],tblActuals35415[Team 2],$CU5,tblActuals35415[Team 1],DR$3)+SUMIFS(tblActuals35415[Team 1 Points],tblActuals35415[Team 1],$CU5,tblActuals35415[Team 2],DR$3)</f>
        <v>0</v>
      </c>
      <c r="DS5" s="56">
        <f>SUMIFS(tblActuals35415[Team 2 Points],tblActuals35415[Team 2],$CU5,tblActuals35415[Team 1],DS$3)+SUMIFS(tblActuals35415[Team 1 Points],tblActuals35415[Team 1],$CU5,tblActuals35415[Team 2],DS$3)</f>
        <v>0</v>
      </c>
      <c r="DT5" s="57"/>
      <c r="DU5" s="57"/>
      <c r="DV5" s="57"/>
      <c r="DW5" s="57"/>
      <c r="DX5" s="57"/>
      <c r="DY5" s="57"/>
      <c r="DZ5" s="57"/>
      <c r="EA5" s="57"/>
      <c r="EB5" s="4"/>
      <c r="EC5" s="4" t="s">
        <v>124</v>
      </c>
      <c r="ED5" s="56">
        <f>SUMIFS(tblActuals35415[Team 2 GD],tblActuals35415[Team 2],$CU5,tblActuals35415[Team 1],ED$3)+SUMIFS(tblActuals35415[Team 1 GD],tblActuals35415[Team 1],$CU5,tblActuals35415[Team 2],ED$3)</f>
        <v>0</v>
      </c>
      <c r="EE5" s="56">
        <f>SUMIFS(tblActuals35415[Team 2 GD],tblActuals35415[Team 2],$CU5,tblActuals35415[Team 1],EE$3)+SUMIFS(tblActuals35415[Team 1 GD],tblActuals35415[Team 1],$CU5,tblActuals35415[Team 2],EE$3)</f>
        <v>0</v>
      </c>
      <c r="EF5" s="56">
        <f>SUMIFS(tblActuals35415[Team 2 GD],tblActuals35415[Team 2],$CU5,tblActuals35415[Team 1],EF$3)+SUMIFS(tblActuals35415[Team 1 GD],tblActuals35415[Team 1],$CU5,tblActuals35415[Team 2],EF$3)</f>
        <v>0</v>
      </c>
      <c r="EG5" s="56">
        <f>SUMIFS(tblActuals35415[Team 2 GD],tblActuals35415[Team 2],$CU5,tblActuals35415[Team 1],EG$3)+SUMIFS(tblActuals35415[Team 1 GD],tblActuals35415[Team 1],$CU5,tblActuals35415[Team 2],EG$3)</f>
        <v>0</v>
      </c>
      <c r="EH5" s="56">
        <f>SUMIFS(tblActuals35415[Team 2 GD],tblActuals35415[Team 2],$CU5,tblActuals35415[Team 1],EH$3)+SUMIFS(tblActuals35415[Team 1 GD],tblActuals35415[Team 1],$CU5,tblActuals35415[Team 2],EH$3)</f>
        <v>0</v>
      </c>
      <c r="EI5" s="56">
        <f>SUMIFS(tblActuals35415[Team 2 GD],tblActuals35415[Team 2],$CU5,tblActuals35415[Team 1],EI$3)+SUMIFS(tblActuals35415[Team 1 GD],tblActuals35415[Team 1],$CU5,tblActuals35415[Team 2],EI$3)</f>
        <v>0</v>
      </c>
      <c r="EJ5" s="56">
        <f>SUMIFS(tblActuals35415[Team 2 GD],tblActuals35415[Team 2],$CU5,tblActuals35415[Team 1],EJ$3)+SUMIFS(tblActuals35415[Team 1 GD],tblActuals35415[Team 1],$CU5,tblActuals35415[Team 2],EJ$3)</f>
        <v>0</v>
      </c>
      <c r="EK5" s="56">
        <f>SUMIFS(tblActuals35415[Team 2 GD],tblActuals35415[Team 2],$CU5,tblActuals35415[Team 1],EK$3)+SUMIFS(tblActuals35415[Team 1 GD],tblActuals35415[Team 1],$CU5,tblActuals35415[Team 2],EK$3)</f>
        <v>0</v>
      </c>
      <c r="EL5" s="56">
        <f>SUMIFS(tblActuals35415[Team 2 GD],tblActuals35415[Team 2],$CU5,tblActuals35415[Team 1],EL$3)+SUMIFS(tblActuals35415[Team 1 GD],tblActuals35415[Team 1],$CU5,tblActuals35415[Team 2],EL$3)</f>
        <v>0</v>
      </c>
      <c r="EM5" s="56">
        <f>SUMIFS(tblActuals35415[Team 2 GD],tblActuals35415[Team 2],$CU5,tblActuals35415[Team 1],EM$3)+SUMIFS(tblActuals35415[Team 1 GD],tblActuals35415[Team 1],$CU5,tblActuals35415[Team 2],EM$3)</f>
        <v>0</v>
      </c>
      <c r="EN5" s="56">
        <f>SUMIFS(tblActuals35415[Team 2 GD],tblActuals35415[Team 2],$CU5,tblActuals35415[Team 1],EN$3)+SUMIFS(tblActuals35415[Team 1 GD],tblActuals35415[Team 1],$CU5,tblActuals35415[Team 2],EN$3)</f>
        <v>0</v>
      </c>
      <c r="EO5" s="56">
        <f>SUMIFS(tblActuals35415[Team 2 GD],tblActuals35415[Team 2],$CU5,tblActuals35415[Team 1],EO$3)+SUMIFS(tblActuals35415[Team 1 GD],tblActuals35415[Team 1],$CU5,tblActuals35415[Team 2],EO$3)</f>
        <v>0</v>
      </c>
      <c r="EP5" s="56">
        <f>SUMIFS(tblActuals35415[Team 2 GD],tblActuals35415[Team 2],$CU5,tblActuals35415[Team 1],EP$3)+SUMIFS(tblActuals35415[Team 1 GD],tblActuals35415[Team 1],$CU5,tblActuals35415[Team 2],EP$3)</f>
        <v>0</v>
      </c>
      <c r="EQ5" s="56">
        <f>SUMIFS(tblActuals35415[Team 2 GD],tblActuals35415[Team 2],$CU5,tblActuals35415[Team 1],EQ$3)+SUMIFS(tblActuals35415[Team 1 GD],tblActuals35415[Team 1],$CU5,tblActuals35415[Team 2],EQ$3)</f>
        <v>0</v>
      </c>
      <c r="ER5" s="56">
        <f>SUMIFS(tblActuals35415[Team 2 GD],tblActuals35415[Team 2],$CU5,tblActuals35415[Team 1],ER$3)+SUMIFS(tblActuals35415[Team 1 GD],tblActuals35415[Team 1],$CU5,tblActuals35415[Team 2],ER$3)</f>
        <v>0</v>
      </c>
      <c r="ES5" s="56">
        <f>SUMIFS(tblActuals35415[Team 2 GD],tblActuals35415[Team 2],$CU5,tblActuals35415[Team 1],ES$3)+SUMIFS(tblActuals35415[Team 1 GD],tblActuals35415[Team 1],$CU5,tblActuals35415[Team 2],ES$3)</f>
        <v>0</v>
      </c>
      <c r="ET5" s="56">
        <f>SUMIFS(tblActuals35415[Team 2 GD],tblActuals35415[Team 2],$CU5,tblActuals35415[Team 1],ET$3)+SUMIFS(tblActuals35415[Team 1 GD],tblActuals35415[Team 1],$CU5,tblActuals35415[Team 2],ET$3)</f>
        <v>0</v>
      </c>
      <c r="EU5" s="56">
        <f>SUMIFS(tblActuals35415[Team 2 GD],tblActuals35415[Team 2],$CU5,tblActuals35415[Team 1],EU$3)+SUMIFS(tblActuals35415[Team 1 GD],tblActuals35415[Team 1],$CU5,tblActuals35415[Team 2],EU$3)</f>
        <v>0</v>
      </c>
      <c r="EV5" s="56">
        <f>SUMIFS(tblActuals35415[Team 2 GD],tblActuals35415[Team 2],$CU5,tblActuals35415[Team 1],EV$3)+SUMIFS(tblActuals35415[Team 1 GD],tblActuals35415[Team 1],$CU5,tblActuals35415[Team 2],EV$3)</f>
        <v>0</v>
      </c>
      <c r="EW5" s="56">
        <f>SUMIFS(tblActuals35415[Team 2 GD],tblActuals35415[Team 2],$CU5,tblActuals35415[Team 1],EW$3)+SUMIFS(tblActuals35415[Team 1 GD],tblActuals35415[Team 1],$CU5,tblActuals35415[Team 2],EW$3)</f>
        <v>0</v>
      </c>
      <c r="EX5" s="56">
        <f>SUMIFS(tblActuals35415[Team 2 GD],tblActuals35415[Team 2],$CU5,tblActuals35415[Team 1],EX$3)+SUMIFS(tblActuals35415[Team 1 GD],tblActuals35415[Team 1],$CU5,tblActuals35415[Team 2],EX$3)</f>
        <v>0</v>
      </c>
      <c r="EY5" s="56">
        <f>SUMIFS(tblActuals35415[Team 2 GD],tblActuals35415[Team 2],$CU5,tblActuals35415[Team 1],EY$3)+SUMIFS(tblActuals35415[Team 1 GD],tblActuals35415[Team 1],$CU5,tblActuals35415[Team 2],EY$3)</f>
        <v>0</v>
      </c>
      <c r="EZ5" s="56">
        <f>SUMIFS(tblActuals35415[Team 2 GD],tblActuals35415[Team 2],$CU5,tblActuals35415[Team 1],EZ$3)+SUMIFS(tblActuals35415[Team 1 GD],tblActuals35415[Team 1],$CU5,tblActuals35415[Team 2],EZ$3)</f>
        <v>0</v>
      </c>
      <c r="FA5" s="56">
        <f>SUMIFS(tblActuals35415[Team 2 GD],tblActuals35415[Team 2],$CU5,tblActuals35415[Team 1],FA$3)+SUMIFS(tblActuals35415[Team 1 GD],tblActuals35415[Team 1],$CU5,tblActuals35415[Team 2],FA$3)</f>
        <v>0</v>
      </c>
      <c r="FB5" s="57"/>
      <c r="FC5" s="57"/>
      <c r="FD5" s="57"/>
      <c r="FE5" s="57"/>
      <c r="FF5" s="57"/>
      <c r="FG5" s="57"/>
      <c r="FH5" s="57"/>
      <c r="FI5" s="57"/>
      <c r="FJ5" s="4"/>
      <c r="FK5" s="4" t="s">
        <v>124</v>
      </c>
      <c r="FL5" s="56">
        <f>SUMIFS(tblActuals35415[Team 2 Goals],tblActuals35415[Team 2],$CU5,tblActuals35415[Team 1],FL$3)+SUMIFS(tblActuals35415[Team 1 Goals],tblActuals35415[Team 1],$CU5,tblActuals35415[Team 2],FL$3)</f>
        <v>0</v>
      </c>
      <c r="FM5" s="56">
        <f>SUMIFS(tblActuals35415[Team 2 Goals],tblActuals35415[Team 2],$CU5,tblActuals35415[Team 1],FM$3)+SUMIFS(tblActuals35415[Team 1 Goals],tblActuals35415[Team 1],$CU5,tblActuals35415[Team 2],FM$3)</f>
        <v>0</v>
      </c>
      <c r="FN5" s="56">
        <f>SUMIFS(tblActuals35415[Team 2 Goals],tblActuals35415[Team 2],$CU5,tblActuals35415[Team 1],FN$3)+SUMIFS(tblActuals35415[Team 1 Goals],tblActuals35415[Team 1],$CU5,tblActuals35415[Team 2],FN$3)</f>
        <v>0</v>
      </c>
      <c r="FO5" s="56">
        <f>SUMIFS(tblActuals35415[Team 2 Goals],tblActuals35415[Team 2],$CU5,tblActuals35415[Team 1],FO$3)+SUMIFS(tblActuals35415[Team 1 Goals],tblActuals35415[Team 1],$CU5,tblActuals35415[Team 2],FO$3)</f>
        <v>0</v>
      </c>
      <c r="FP5" s="56">
        <f>SUMIFS(tblActuals35415[Team 2 Goals],tblActuals35415[Team 2],$CU5,tblActuals35415[Team 1],FP$3)+SUMIFS(tblActuals35415[Team 1 Goals],tblActuals35415[Team 1],$CU5,tblActuals35415[Team 2],FP$3)</f>
        <v>0</v>
      </c>
      <c r="FQ5" s="56">
        <f>SUMIFS(tblActuals35415[Team 2 Goals],tblActuals35415[Team 2],$CU5,tblActuals35415[Team 1],FQ$3)+SUMIFS(tblActuals35415[Team 1 Goals],tblActuals35415[Team 1],$CU5,tblActuals35415[Team 2],FQ$3)</f>
        <v>0</v>
      </c>
      <c r="FR5" s="56">
        <f>SUMIFS(tblActuals35415[Team 2 Goals],tblActuals35415[Team 2],$CU5,tblActuals35415[Team 1],FR$3)+SUMIFS(tblActuals35415[Team 1 Goals],tblActuals35415[Team 1],$CU5,tblActuals35415[Team 2],FR$3)</f>
        <v>0</v>
      </c>
      <c r="FS5" s="56">
        <f>SUMIFS(tblActuals35415[Team 2 Goals],tblActuals35415[Team 2],$CU5,tblActuals35415[Team 1],FS$3)+SUMIFS(tblActuals35415[Team 1 Goals],tblActuals35415[Team 1],$CU5,tblActuals35415[Team 2],FS$3)</f>
        <v>0</v>
      </c>
      <c r="FT5" s="56">
        <f>SUMIFS(tblActuals35415[Team 2 Goals],tblActuals35415[Team 2],$CU5,tblActuals35415[Team 1],FT$3)+SUMIFS(tblActuals35415[Team 1 Goals],tblActuals35415[Team 1],$CU5,tblActuals35415[Team 2],FT$3)</f>
        <v>0</v>
      </c>
      <c r="FU5" s="56">
        <f>SUMIFS(tblActuals35415[Team 2 Goals],tblActuals35415[Team 2],$CU5,tblActuals35415[Team 1],FU$3)+SUMIFS(tblActuals35415[Team 1 Goals],tblActuals35415[Team 1],$CU5,tblActuals35415[Team 2],FU$3)</f>
        <v>0</v>
      </c>
      <c r="FV5" s="56">
        <f>SUMIFS(tblActuals35415[Team 2 Goals],tblActuals35415[Team 2],$CU5,tblActuals35415[Team 1],FV$3)+SUMIFS(tblActuals35415[Team 1 Goals],tblActuals35415[Team 1],$CU5,tblActuals35415[Team 2],FV$3)</f>
        <v>0</v>
      </c>
      <c r="FW5" s="56">
        <f>SUMIFS(tblActuals35415[Team 2 Goals],tblActuals35415[Team 2],$CU5,tblActuals35415[Team 1],FW$3)+SUMIFS(tblActuals35415[Team 1 Goals],tblActuals35415[Team 1],$CU5,tblActuals35415[Team 2],FW$3)</f>
        <v>0</v>
      </c>
      <c r="FX5" s="56">
        <f>SUMIFS(tblActuals35415[Team 2 Goals],tblActuals35415[Team 2],$CU5,tblActuals35415[Team 1],FX$3)+SUMIFS(tblActuals35415[Team 1 Goals],tblActuals35415[Team 1],$CU5,tblActuals35415[Team 2],FX$3)</f>
        <v>0</v>
      </c>
      <c r="FY5" s="56">
        <f>SUMIFS(tblActuals35415[Team 2 Goals],tblActuals35415[Team 2],$CU5,tblActuals35415[Team 1],FY$3)+SUMIFS(tblActuals35415[Team 1 Goals],tblActuals35415[Team 1],$CU5,tblActuals35415[Team 2],FY$3)</f>
        <v>0</v>
      </c>
      <c r="FZ5" s="56">
        <f>SUMIFS(tblActuals35415[Team 2 Goals],tblActuals35415[Team 2],$CU5,tblActuals35415[Team 1],FZ$3)+SUMIFS(tblActuals35415[Team 1 Goals],tblActuals35415[Team 1],$CU5,tblActuals35415[Team 2],FZ$3)</f>
        <v>0</v>
      </c>
      <c r="GA5" s="56">
        <f>SUMIFS(tblActuals35415[Team 2 Goals],tblActuals35415[Team 2],$CU5,tblActuals35415[Team 1],GA$3)+SUMIFS(tblActuals35415[Team 1 Goals],tblActuals35415[Team 1],$CU5,tblActuals35415[Team 2],GA$3)</f>
        <v>0</v>
      </c>
      <c r="GB5" s="56">
        <f>SUMIFS(tblActuals35415[Team 2 Goals],tblActuals35415[Team 2],$CU5,tblActuals35415[Team 1],GB$3)+SUMIFS(tblActuals35415[Team 1 Goals],tblActuals35415[Team 1],$CU5,tblActuals35415[Team 2],GB$3)</f>
        <v>0</v>
      </c>
      <c r="GC5" s="56">
        <f>SUMIFS(tblActuals35415[Team 2 Goals],tblActuals35415[Team 2],$CU5,tblActuals35415[Team 1],GC$3)+SUMIFS(tblActuals35415[Team 1 Goals],tblActuals35415[Team 1],$CU5,tblActuals35415[Team 2],GC$3)</f>
        <v>0</v>
      </c>
      <c r="GD5" s="56">
        <f>SUMIFS(tblActuals35415[Team 2 Goals],tblActuals35415[Team 2],$CU5,tblActuals35415[Team 1],GD$3)+SUMIFS(tblActuals35415[Team 1 Goals],tblActuals35415[Team 1],$CU5,tblActuals35415[Team 2],GD$3)</f>
        <v>0</v>
      </c>
      <c r="GE5" s="56">
        <f>SUMIFS(tblActuals35415[Team 2 Goals],tblActuals35415[Team 2],$CU5,tblActuals35415[Team 1],GE$3)+SUMIFS(tblActuals35415[Team 1 Goals],tblActuals35415[Team 1],$CU5,tblActuals35415[Team 2],GE$3)</f>
        <v>0</v>
      </c>
      <c r="GF5" s="56">
        <f>SUMIFS(tblActuals35415[Team 2 Goals],tblActuals35415[Team 2],$CU5,tblActuals35415[Team 1],GF$3)+SUMIFS(tblActuals35415[Team 1 Goals],tblActuals35415[Team 1],$CU5,tblActuals35415[Team 2],GF$3)</f>
        <v>0</v>
      </c>
      <c r="GG5" s="56">
        <f>SUMIFS(tblActuals35415[Team 2 Goals],tblActuals35415[Team 2],$CU5,tblActuals35415[Team 1],GG$3)+SUMIFS(tblActuals35415[Team 1 Goals],tblActuals35415[Team 1],$CU5,tblActuals35415[Team 2],GG$3)</f>
        <v>0</v>
      </c>
      <c r="GH5" s="56">
        <f>SUMIFS(tblActuals35415[Team 2 Goals],tblActuals35415[Team 2],$CU5,tblActuals35415[Team 1],GH$3)+SUMIFS(tblActuals35415[Team 1 Goals],tblActuals35415[Team 1],$CU5,tblActuals35415[Team 2],GH$3)</f>
        <v>0</v>
      </c>
      <c r="GI5" s="56">
        <f>SUMIFS(tblActuals35415[Team 2 Goals],tblActuals35415[Team 2],$CU5,tblActuals35415[Team 1],GI$3)+SUMIFS(tblActuals35415[Team 1 Goals],tblActuals35415[Team 1],$CU5,tblActuals35415[Team 2],GI$3)</f>
        <v>0</v>
      </c>
      <c r="GJ5" s="57"/>
      <c r="GK5" s="57"/>
      <c r="GL5" s="37"/>
      <c r="GM5" s="37"/>
      <c r="GN5" s="37"/>
      <c r="GO5" s="37"/>
      <c r="GP5" s="37"/>
      <c r="GQ5" s="37"/>
      <c r="GR5" s="75"/>
      <c r="GS5" s="156"/>
      <c r="GT5" s="156"/>
      <c r="GU5" s="75"/>
      <c r="GV5" s="22"/>
      <c r="GW5" s="75"/>
      <c r="GX5" s="75"/>
      <c r="GY5" s="75"/>
      <c r="GZ5" s="75"/>
      <c r="HB5" s="4" t="str">
        <f>_xlfn.CONCAT(HC5:HH5)</f>
        <v>ABCD</v>
      </c>
      <c r="HC5" s="44" t="s">
        <v>1</v>
      </c>
      <c r="HD5" s="44" t="s">
        <v>5</v>
      </c>
      <c r="HE5" s="44" t="s">
        <v>6</v>
      </c>
      <c r="HF5" s="44" t="s">
        <v>7</v>
      </c>
      <c r="HG5" s="45"/>
      <c r="HH5" s="45"/>
      <c r="HI5" s="178"/>
      <c r="HJ5" s="45" t="s">
        <v>149</v>
      </c>
      <c r="HK5" s="45" t="s">
        <v>150</v>
      </c>
      <c r="HL5" s="45" t="s">
        <v>151</v>
      </c>
      <c r="HM5" s="45" t="s">
        <v>152</v>
      </c>
    </row>
    <row r="6" spans="1:221" s="11" customFormat="1" ht="30" customHeight="1" x14ac:dyDescent="0.2">
      <c r="A6" s="29">
        <v>-4</v>
      </c>
      <c r="B6" s="122">
        <v>3</v>
      </c>
      <c r="C6" s="122" t="s">
        <v>5</v>
      </c>
      <c r="D6" s="123">
        <v>45458</v>
      </c>
      <c r="E6" s="122" t="s">
        <v>80</v>
      </c>
      <c r="F6" s="124">
        <v>0.75</v>
      </c>
      <c r="G6" s="125">
        <f t="shared" si="11"/>
        <v>45458.5</v>
      </c>
      <c r="H6" s="122" t="s">
        <v>91</v>
      </c>
      <c r="I6" s="126"/>
      <c r="J6" s="118"/>
      <c r="K6" s="118"/>
      <c r="L6" s="174">
        <f>IF(I6="",0,IFERROR(IF(SCORING.RULES!$C$8="No",1,((VLOOKUP($B6,ACTUALS!$B$4:$L$100,7,FALSE)=$H6)+(VLOOKUP($B6,ACTUALS!$B$4:$L$100,7,FALSE)=S6)))*(M6+N6+O6+P6+Q6),0))+$R6</f>
        <v>0</v>
      </c>
      <c r="M6" s="168">
        <f>IFERROR(IF($B6="","",IF(U6=INDEX(ACTUALS!$AA$4:$AA$100,MATCH($B6,ACTUALS!$B$4:$B$100,0),1),CorrectScore,0)),0)</f>
        <v>0</v>
      </c>
      <c r="N6" s="157" t="str">
        <f>IFERROR(IF(I6="","",IF(INDEX(ACTUALS!$AB$4:$AB$100,MATCH($B6,ACTUALS!$B$4:$B$100,0),1)=(AB6+AC6+AH6+AI6),CorrectNumberofGoals,0)),0)</f>
        <v/>
      </c>
      <c r="O6" s="157"/>
      <c r="P6" s="157">
        <f>IFERROR(IF(B6="","",IF(INDEX(ACTUALS!$L$4:$L$100,MATCH($B6,ACTUALS!$B$4:$B$100,0),1)=W6,CorrectResult,0)),0)</f>
        <v>3</v>
      </c>
      <c r="Q6" s="157"/>
      <c r="R6" s="157"/>
      <c r="S6" s="157" t="str">
        <f t="shared" si="0"/>
        <v/>
      </c>
      <c r="T6" s="157"/>
      <c r="U6" s="157" t="str">
        <f t="shared" si="1"/>
        <v/>
      </c>
      <c r="V6" s="157" t="str">
        <f t="shared" si="2"/>
        <v/>
      </c>
      <c r="W6" s="119" t="str">
        <f>IF(tblActuals35415[[#This Row],[SCORE]]="","",IF(AB6=AC6,"Draw",IF(AB6&gt;AC6,X6,Y6)))</f>
        <v/>
      </c>
      <c r="X6" s="120" t="str">
        <f>IF(tblActuals35415[[#This Row],[TEAMS]]="","",LEFT(H6,FIND(" -",H6,1)-1))</f>
        <v>Spain</v>
      </c>
      <c r="Y6" s="120" t="str">
        <f>IF(tblActuals35415[[#This Row],[TEAMS]]="","",MID(H6,FIND("-",H6,1)+2,LEN(H6)-FIND("-",H6,1)+2))</f>
        <v>Croatia</v>
      </c>
      <c r="Z6" s="120" t="str">
        <f>IF(tblActuals35415[[#This Row],[Team 1 Goals]]&gt;tblActuals35415[[#This Row],[Team 2 Goals]],tblActuals35415[[#This Row],[Team 1]],IF(tblActuals35415[[#This Row],[Team 2 Goals]]&gt;tblActuals35415[[#This Row],[Team 1 Goals]],tblActuals35415[[#This Row],[Team 2]],""))</f>
        <v/>
      </c>
      <c r="AA6" s="120" t="str">
        <f>IF(tblActuals35415[[#This Row],[Winner]]=tblActuals35415[[#This Row],[Team 1]],tblActuals35415[[#This Row],[Team 2]],IF(tblActuals35415[[#This Row],[Winner]]=tblActuals35415[[#This Row],[Team 2]],tblActuals35415[[#This Row],[Team 1]],""))</f>
        <v/>
      </c>
      <c r="AB6" s="120" t="str">
        <f>IF(tblActuals35415[[#This Row],[SCORE]]="","",LEFT(I6,FIND(":",I6,1)-1)*1)</f>
        <v/>
      </c>
      <c r="AC6" s="120" t="str">
        <f>IF(tblActuals35415[[#This Row],[SCORE]]="","",MID(I6,FIND(":",I6,1)+1,LEN(I6)-FIND(":",I6,1)+1)*1)</f>
        <v/>
      </c>
      <c r="AD6" s="120" t="str">
        <f>IF(OR(tblActuals35415[[#This Row],[Team 1 Goals]]="",tblActuals35415[[#This Row],[Team 2 Goals]]=""),"",tblActuals35415[[#This Row],[Team 1 Goals]]-tblActuals35415[[#This Row],[Team 2 Goals]])</f>
        <v/>
      </c>
      <c r="AE6" s="120" t="str">
        <f>IF(OR(tblActuals35415[[#This Row],[Team 1 Goals]]="",tblActuals35415[[#This Row],[Team 2 Goals]]=""),"",tblActuals35415[[#This Row],[Team 2 Goals]]-tblActuals35415[[#This Row],[Team 1 Goals]])</f>
        <v/>
      </c>
      <c r="AF6" s="120" t="str">
        <f>IF(tblActuals35415[[#This Row],[SCORE]]="","",IF(tblActuals35415[[#This Row],[WINNER / RESULT]]="Draw",1,IF(tblActuals35415[[#This Row],[WINNER / RESULT]]=tblActuals35415[[#This Row],[Team 1]],3,0)))</f>
        <v/>
      </c>
      <c r="AG6" s="120" t="str">
        <f>IF(tblActuals35415[[#This Row],[SCORE]]="","",IF(tblActuals35415[[#This Row],[WINNER / RESULT]]="Draw",1,IF(tblActuals35415[[#This Row],[WINNER / RESULT]]=tblActuals35415[[#This Row],[Team 2]],3,0)))</f>
        <v/>
      </c>
      <c r="AH6" s="121"/>
      <c r="AI6" s="121"/>
      <c r="AJ6" s="121"/>
      <c r="AK6" s="121"/>
      <c r="AL6" s="120" t="e">
        <f>tblActuals35415[[#This Row],[Team 1 Goals]]+tblActuals35415[[#This Row],[Team 1 ET Goals]]&amp;":"&amp;tblActuals35415[[#This Row],[Team 2 Goals]]+tblActuals35415[[#This Row],[Team 2 ET Goals]]</f>
        <v>#VALUE!</v>
      </c>
      <c r="AM6" s="120" t="e">
        <f>+tblActuals35415[[#This Row],[Team 1 Goals]]+tblActuals35415[[#This Row],[Team 2 Goals]]</f>
        <v>#VALUE!</v>
      </c>
      <c r="AN6" s="161">
        <f t="shared" si="3"/>
        <v>45458</v>
      </c>
      <c r="AP6" s="38" t="s">
        <v>79</v>
      </c>
      <c r="AT6" s="77" t="s">
        <v>1</v>
      </c>
      <c r="AU6" s="136">
        <v>1</v>
      </c>
      <c r="AV6" s="137" t="str">
        <f ca="1">IFERROR(INDEX(BD:BD,MATCH("1"&amp;AT6,BN:BN,0),1),"")</f>
        <v>Germany</v>
      </c>
      <c r="AW6" s="137" t="str">
        <f ca="1">IF(AV6="","",VLOOKUP(AV6,BD:BI,2,FALSE)&amp;"-"&amp;VLOOKUP(AV6,BD:BI,3,FALSE)&amp;"-"&amp;VLOOKUP(AV6,BD:BI,4,FALSE))</f>
        <v>0-0-0</v>
      </c>
      <c r="AX6" s="137">
        <f ca="1">IF(AV6="","",VLOOKUP(AV6,BD:BK,8,FALSE))</f>
        <v>0</v>
      </c>
      <c r="AY6" s="138">
        <f ca="1">IF(AV6="","",VLOOKUP(AV6,BD:BN,5,FALSE))</f>
        <v>0</v>
      </c>
      <c r="AZ6" s="75"/>
      <c r="BA6" s="42"/>
      <c r="BB6" s="4"/>
      <c r="BC6" s="4" t="s">
        <v>1</v>
      </c>
      <c r="BD6" s="4" t="s">
        <v>124</v>
      </c>
      <c r="BE6" s="4">
        <f>COUNTIF(tblActuals35415[Winner],BD6)</f>
        <v>0</v>
      </c>
      <c r="BF6" s="4">
        <f>COUNTIFS(tblActuals35415[Team 2],BD6,tblActuals35415[WINNER / RESULT],"Draw")+COUNTIFS(tblActuals35415[Team 1],BD6,tblActuals35415[WINNER / RESULT],"Draw")</f>
        <v>0</v>
      </c>
      <c r="BG6" s="4">
        <f>COUNTIF(tblActuals35415[Loser],BD6)</f>
        <v>0</v>
      </c>
      <c r="BH6" s="4">
        <f>BF6+(3*BE6)</f>
        <v>0</v>
      </c>
      <c r="BI6" s="4">
        <f>SUMIFS(tblActuals35415[Team 1 Goals],tblActuals35415[Team 1],BD6)+SUMIFS(tblActuals35415[Team 2 Goals],tblActuals35415[Team 2],BD6)</f>
        <v>0</v>
      </c>
      <c r="BJ6" s="4">
        <f>SUMIFS(tblActuals35415[Team 2 Goals],tblActuals35415[Team 1],BD6)+SUMIFS(tblActuals35415[Team 1 Goals],tblActuals35415[Team 2],BD6)</f>
        <v>0</v>
      </c>
      <c r="BK6" s="4">
        <f>BI6-BJ6</f>
        <v>0</v>
      </c>
      <c r="BL6" s="4">
        <f ca="1">RANK(BY6,$BY$4:$BY$7,1)</f>
        <v>3</v>
      </c>
      <c r="BM6" s="4" t="str">
        <f t="shared" si="4"/>
        <v/>
      </c>
      <c r="BN6" s="4" t="str">
        <f ca="1">IF(BM6="",BL6&amp;BC6,BM6&amp;BC6)</f>
        <v>3A</v>
      </c>
      <c r="BO6" s="4">
        <f>RANK(BH6,$BH$4:$BH$7,0)</f>
        <v>1</v>
      </c>
      <c r="BP6" s="4" cm="1">
        <f t="array" aca="1" ref="BP6" ca="1">SUMPRODUCT((OFFSET($CV$3:$EA$3,MATCH($BD6,$CU$4:$CU$35,0),0))*((IF($BO4=$BO6,$CV$3:$EA$3=$BD4,0))+(IF($BO7=$BO6,$CV$3:$EA$3=$BD7,0))+(IF($BO5=$BO6,$CV$3:$EA$3=$BD5,0))))</f>
        <v>0</v>
      </c>
      <c r="BQ6" s="4" cm="1">
        <f t="array" aca="1" ref="BQ6" ca="1">SUMPRODUCT((OFFSET($ED$3:$FI$3,MATCH($BD6,$EC$4:$EC$35,0),0))*((IF($BO4=$BO6,$ED$3:$FI$3=$BD4,0))+(IF($BO7=$BO6,$ED$3:$FI$3=$BD7,0))+(IF($BO5=$BO6,$ED$3:$FI$3=$BD5,0))))</f>
        <v>0</v>
      </c>
      <c r="BR6" s="4" cm="1">
        <f t="array" aca="1" ref="BR6" ca="1">SUMPRODUCT((OFFSET($FL$3:$GQ$3,MATCH($BD6,$FK$4:$FK$35,0),0))*((IF($BO4=$BO6,$FL$3:$GQ$3=$BD4,0))+(IF($BO7=$BO6,$FL$3:$GQ$3=$BD7,0))+(IF($BO5=$BO6,$FL$3:$GQ$3=$BD5,0))))</f>
        <v>0</v>
      </c>
      <c r="BS6" s="4" cm="1">
        <f t="array" aca="1" ref="BS6" ca="1">SUMPRODUCT((OFFSET($CV$3:$EA$3,MATCH($BD6,$CU$4:$CU$35,0),0))*((IF($BO4&lt;&gt;$BO6,$CV$3:$EA$3=$BD4,0))+(IF($BO7&lt;&gt;$BO6,$CV$3:$EA$3=$BD7,0))+(IF($BO5&lt;&gt;$BO6,$CV$3:$EA$3=$BD5,0))))</f>
        <v>0</v>
      </c>
      <c r="BT6" s="4" cm="1">
        <f t="array" aca="1" ref="BT6" ca="1">SUMPRODUCT((OFFSET($ED$3:$FI$3,MATCH($BD6,$EC$4:$EC$35,0),0))*((IF($BO4&lt;&gt;$BO6,$ED$3:$FI$3=$BD4,0))+(IF($BO7&lt;&gt;$BO6,$ED$3:$FI$3=$BD7,0))+(IF($BO5&lt;&gt;$BO6,$ED$3:$FI$3=$BD5,0))))</f>
        <v>0</v>
      </c>
      <c r="BU6" s="4" cm="1">
        <f t="array" aca="1" ref="BU6" ca="1">SUMPRODUCT((OFFSET($FL$3:$GQ$3,MATCH($BD6,$FK$4:$FK$35,0),0))*((IF($BO4&lt;&gt;$BO6,$FL$3:$GQ$3=$BD4,0))+(IF($BO7&lt;&gt;$BO6,$FL$3:$GQ$3=$BD7,0))+(IF($BO5&lt;&gt;$BO6,$FL$3:$GQ$3=$BD5,0))))</f>
        <v>0</v>
      </c>
      <c r="BV6" s="4">
        <f>BK6</f>
        <v>0</v>
      </c>
      <c r="BW6" s="4">
        <f>BI6</f>
        <v>0</v>
      </c>
      <c r="BX6" s="4">
        <f ca="1">(BP6/10)+(BQ6/100)+(BR6/1000)+(BT6/10000)+(BU6/100000)+(BV6/1000000)+(BW6/10000000)+(ROW(BS5)/100000000)</f>
        <v>4.9999999999999998E-8</v>
      </c>
      <c r="BY6" s="4">
        <f ca="1">+BO6-BX6</f>
        <v>0.99999994999999997</v>
      </c>
      <c r="BZ6" s="4"/>
      <c r="CA6" s="4" t="s">
        <v>6</v>
      </c>
      <c r="CB6" s="4" t="str">
        <f ca="1">AV20</f>
        <v>Serbia</v>
      </c>
      <c r="CC6" s="4">
        <f t="shared" ca="1" si="5"/>
        <v>0</v>
      </c>
      <c r="CD6" s="4">
        <f t="shared" ca="1" si="6"/>
        <v>0</v>
      </c>
      <c r="CE6" s="4">
        <f t="shared" ca="1" si="7"/>
        <v>0</v>
      </c>
      <c r="CF6" s="4">
        <f t="shared" ca="1" si="8"/>
        <v>0</v>
      </c>
      <c r="CG6" s="4">
        <f t="shared" ca="1" si="9"/>
        <v>5.9999999999999997E-7</v>
      </c>
      <c r="CH6" s="4">
        <f t="shared" ca="1" si="10"/>
        <v>4</v>
      </c>
      <c r="CI6" s="4"/>
      <c r="CJ6" s="4"/>
      <c r="CK6" s="4"/>
      <c r="CL6" s="4"/>
      <c r="CM6" s="4"/>
      <c r="CN6" s="4"/>
      <c r="CO6" s="4"/>
      <c r="CP6" s="4"/>
      <c r="CQ6" s="4"/>
      <c r="CR6" s="4"/>
      <c r="CU6" s="4" t="s">
        <v>125</v>
      </c>
      <c r="CV6" s="56">
        <f>SUMIFS(tblActuals35415[Team 2 Points],tblActuals35415[Team 2],$CU6,tblActuals35415[Team 1],CV$3)+SUMIFS(tblActuals35415[Team 1 Points],tblActuals35415[Team 1],$CU6,tblActuals35415[Team 2],CV$3)</f>
        <v>0</v>
      </c>
      <c r="CW6" s="56">
        <f>SUMIFS(tblActuals35415[Team 2 Points],tblActuals35415[Team 2],$CU6,tblActuals35415[Team 1],CW$3)+SUMIFS(tblActuals35415[Team 1 Points],tblActuals35415[Team 1],$CU6,tblActuals35415[Team 2],CW$3)</f>
        <v>0</v>
      </c>
      <c r="CX6" s="56">
        <f>SUMIFS(tblActuals35415[Team 2 Points],tblActuals35415[Team 2],$CU6,tblActuals35415[Team 1],CX$3)+SUMIFS(tblActuals35415[Team 1 Points],tblActuals35415[Team 1],$CU6,tblActuals35415[Team 2],CX$3)</f>
        <v>0</v>
      </c>
      <c r="CY6" s="56">
        <f>SUMIFS(tblActuals35415[Team 2 Points],tblActuals35415[Team 2],$CU6,tblActuals35415[Team 1],CY$3)+SUMIFS(tblActuals35415[Team 1 Points],tblActuals35415[Team 1],$CU6,tblActuals35415[Team 2],CY$3)</f>
        <v>0</v>
      </c>
      <c r="CZ6" s="56">
        <f>SUMIFS(tblActuals35415[Team 2 Points],tblActuals35415[Team 2],$CU6,tblActuals35415[Team 1],CZ$3)+SUMIFS(tblActuals35415[Team 1 Points],tblActuals35415[Team 1],$CU6,tblActuals35415[Team 2],CZ$3)</f>
        <v>0</v>
      </c>
      <c r="DA6" s="56">
        <f>SUMIFS(tblActuals35415[Team 2 Points],tblActuals35415[Team 2],$CU6,tblActuals35415[Team 1],DA$3)+SUMIFS(tblActuals35415[Team 1 Points],tblActuals35415[Team 1],$CU6,tblActuals35415[Team 2],DA$3)</f>
        <v>0</v>
      </c>
      <c r="DB6" s="56">
        <f>SUMIFS(tblActuals35415[Team 2 Points],tblActuals35415[Team 2],$CU6,tblActuals35415[Team 1],DB$3)+SUMIFS(tblActuals35415[Team 1 Points],tblActuals35415[Team 1],$CU6,tblActuals35415[Team 2],DB$3)</f>
        <v>0</v>
      </c>
      <c r="DC6" s="56">
        <f>SUMIFS(tblActuals35415[Team 2 Points],tblActuals35415[Team 2],$CU6,tblActuals35415[Team 1],DC$3)+SUMIFS(tblActuals35415[Team 1 Points],tblActuals35415[Team 1],$CU6,tblActuals35415[Team 2],DC$3)</f>
        <v>0</v>
      </c>
      <c r="DD6" s="56">
        <f>SUMIFS(tblActuals35415[Team 2 Points],tblActuals35415[Team 2],$CU6,tblActuals35415[Team 1],DD$3)+SUMIFS(tblActuals35415[Team 1 Points],tblActuals35415[Team 1],$CU6,tblActuals35415[Team 2],DD$3)</f>
        <v>0</v>
      </c>
      <c r="DE6" s="56">
        <f>SUMIFS(tblActuals35415[Team 2 Points],tblActuals35415[Team 2],$CU6,tblActuals35415[Team 1],DE$3)+SUMIFS(tblActuals35415[Team 1 Points],tblActuals35415[Team 1],$CU6,tblActuals35415[Team 2],DE$3)</f>
        <v>0</v>
      </c>
      <c r="DF6" s="56">
        <f>SUMIFS(tblActuals35415[Team 2 Points],tblActuals35415[Team 2],$CU6,tblActuals35415[Team 1],DF$3)+SUMIFS(tblActuals35415[Team 1 Points],tblActuals35415[Team 1],$CU6,tblActuals35415[Team 2],DF$3)</f>
        <v>0</v>
      </c>
      <c r="DG6" s="56">
        <f>SUMIFS(tblActuals35415[Team 2 Points],tblActuals35415[Team 2],$CU6,tblActuals35415[Team 1],DG$3)+SUMIFS(tblActuals35415[Team 1 Points],tblActuals35415[Team 1],$CU6,tblActuals35415[Team 2],DG$3)</f>
        <v>0</v>
      </c>
      <c r="DH6" s="56">
        <f>SUMIFS(tblActuals35415[Team 2 Points],tblActuals35415[Team 2],$CU6,tblActuals35415[Team 1],DH$3)+SUMIFS(tblActuals35415[Team 1 Points],tblActuals35415[Team 1],$CU6,tblActuals35415[Team 2],DH$3)</f>
        <v>0</v>
      </c>
      <c r="DI6" s="56">
        <f>SUMIFS(tblActuals35415[Team 2 Points],tblActuals35415[Team 2],$CU6,tblActuals35415[Team 1],DI$3)+SUMIFS(tblActuals35415[Team 1 Points],tblActuals35415[Team 1],$CU6,tblActuals35415[Team 2],DI$3)</f>
        <v>0</v>
      </c>
      <c r="DJ6" s="56">
        <f>SUMIFS(tblActuals35415[Team 2 Points],tblActuals35415[Team 2],$CU6,tblActuals35415[Team 1],DJ$3)+SUMIFS(tblActuals35415[Team 1 Points],tblActuals35415[Team 1],$CU6,tblActuals35415[Team 2],DJ$3)</f>
        <v>0</v>
      </c>
      <c r="DK6" s="56">
        <f>SUMIFS(tblActuals35415[Team 2 Points],tblActuals35415[Team 2],$CU6,tblActuals35415[Team 1],DK$3)+SUMIFS(tblActuals35415[Team 1 Points],tblActuals35415[Team 1],$CU6,tblActuals35415[Team 2],DK$3)</f>
        <v>0</v>
      </c>
      <c r="DL6" s="56">
        <f>SUMIFS(tblActuals35415[Team 2 Points],tblActuals35415[Team 2],$CU6,tblActuals35415[Team 1],DL$3)+SUMIFS(tblActuals35415[Team 1 Points],tblActuals35415[Team 1],$CU6,tblActuals35415[Team 2],DL$3)</f>
        <v>0</v>
      </c>
      <c r="DM6" s="56">
        <f>SUMIFS(tblActuals35415[Team 2 Points],tblActuals35415[Team 2],$CU6,tblActuals35415[Team 1],DM$3)+SUMIFS(tblActuals35415[Team 1 Points],tblActuals35415[Team 1],$CU6,tblActuals35415[Team 2],DM$3)</f>
        <v>0</v>
      </c>
      <c r="DN6" s="56">
        <f>SUMIFS(tblActuals35415[Team 2 Points],tblActuals35415[Team 2],$CU6,tblActuals35415[Team 1],DN$3)+SUMIFS(tblActuals35415[Team 1 Points],tblActuals35415[Team 1],$CU6,tblActuals35415[Team 2],DN$3)</f>
        <v>0</v>
      </c>
      <c r="DO6" s="56">
        <f>SUMIFS(tblActuals35415[Team 2 Points],tblActuals35415[Team 2],$CU6,tblActuals35415[Team 1],DO$3)+SUMIFS(tblActuals35415[Team 1 Points],tblActuals35415[Team 1],$CU6,tblActuals35415[Team 2],DO$3)</f>
        <v>0</v>
      </c>
      <c r="DP6" s="56">
        <f>SUMIFS(tblActuals35415[Team 2 Points],tblActuals35415[Team 2],$CU6,tblActuals35415[Team 1],DP$3)+SUMIFS(tblActuals35415[Team 1 Points],tblActuals35415[Team 1],$CU6,tblActuals35415[Team 2],DP$3)</f>
        <v>0</v>
      </c>
      <c r="DQ6" s="56">
        <f>SUMIFS(tblActuals35415[Team 2 Points],tblActuals35415[Team 2],$CU6,tblActuals35415[Team 1],DQ$3)+SUMIFS(tblActuals35415[Team 1 Points],tblActuals35415[Team 1],$CU6,tblActuals35415[Team 2],DQ$3)</f>
        <v>0</v>
      </c>
      <c r="DR6" s="56">
        <f>SUMIFS(tblActuals35415[Team 2 Points],tblActuals35415[Team 2],$CU6,tblActuals35415[Team 1],DR$3)+SUMIFS(tblActuals35415[Team 1 Points],tblActuals35415[Team 1],$CU6,tblActuals35415[Team 2],DR$3)</f>
        <v>0</v>
      </c>
      <c r="DS6" s="56">
        <f>SUMIFS(tblActuals35415[Team 2 Points],tblActuals35415[Team 2],$CU6,tblActuals35415[Team 1],DS$3)+SUMIFS(tblActuals35415[Team 1 Points],tblActuals35415[Team 1],$CU6,tblActuals35415[Team 2],DS$3)</f>
        <v>0</v>
      </c>
      <c r="DT6" s="57"/>
      <c r="DU6" s="57"/>
      <c r="DV6" s="57"/>
      <c r="DW6" s="57"/>
      <c r="DX6" s="57"/>
      <c r="DY6" s="57"/>
      <c r="DZ6" s="57"/>
      <c r="EA6" s="57"/>
      <c r="EB6" s="4"/>
      <c r="EC6" s="4" t="s">
        <v>125</v>
      </c>
      <c r="ED6" s="56">
        <f>SUMIFS(tblActuals35415[Team 2 GD],tblActuals35415[Team 2],$CU6,tblActuals35415[Team 1],ED$3)+SUMIFS(tblActuals35415[Team 1 GD],tblActuals35415[Team 1],$CU6,tblActuals35415[Team 2],ED$3)</f>
        <v>0</v>
      </c>
      <c r="EE6" s="56">
        <f>SUMIFS(tblActuals35415[Team 2 GD],tblActuals35415[Team 2],$CU6,tblActuals35415[Team 1],EE$3)+SUMIFS(tblActuals35415[Team 1 GD],tblActuals35415[Team 1],$CU6,tblActuals35415[Team 2],EE$3)</f>
        <v>0</v>
      </c>
      <c r="EF6" s="56">
        <f>SUMIFS(tblActuals35415[Team 2 GD],tblActuals35415[Team 2],$CU6,tblActuals35415[Team 1],EF$3)+SUMIFS(tblActuals35415[Team 1 GD],tblActuals35415[Team 1],$CU6,tblActuals35415[Team 2],EF$3)</f>
        <v>0</v>
      </c>
      <c r="EG6" s="56">
        <f>SUMIFS(tblActuals35415[Team 2 GD],tblActuals35415[Team 2],$CU6,tblActuals35415[Team 1],EG$3)+SUMIFS(tblActuals35415[Team 1 GD],tblActuals35415[Team 1],$CU6,tblActuals35415[Team 2],EG$3)</f>
        <v>0</v>
      </c>
      <c r="EH6" s="56">
        <f>SUMIFS(tblActuals35415[Team 2 GD],tblActuals35415[Team 2],$CU6,tblActuals35415[Team 1],EH$3)+SUMIFS(tblActuals35415[Team 1 GD],tblActuals35415[Team 1],$CU6,tblActuals35415[Team 2],EH$3)</f>
        <v>0</v>
      </c>
      <c r="EI6" s="56">
        <f>SUMIFS(tblActuals35415[Team 2 GD],tblActuals35415[Team 2],$CU6,tblActuals35415[Team 1],EI$3)+SUMIFS(tblActuals35415[Team 1 GD],tblActuals35415[Team 1],$CU6,tblActuals35415[Team 2],EI$3)</f>
        <v>0</v>
      </c>
      <c r="EJ6" s="56">
        <f>SUMIFS(tblActuals35415[Team 2 GD],tblActuals35415[Team 2],$CU6,tblActuals35415[Team 1],EJ$3)+SUMIFS(tblActuals35415[Team 1 GD],tblActuals35415[Team 1],$CU6,tblActuals35415[Team 2],EJ$3)</f>
        <v>0</v>
      </c>
      <c r="EK6" s="56">
        <f>SUMIFS(tblActuals35415[Team 2 GD],tblActuals35415[Team 2],$CU6,tblActuals35415[Team 1],EK$3)+SUMIFS(tblActuals35415[Team 1 GD],tblActuals35415[Team 1],$CU6,tblActuals35415[Team 2],EK$3)</f>
        <v>0</v>
      </c>
      <c r="EL6" s="56">
        <f>SUMIFS(tblActuals35415[Team 2 GD],tblActuals35415[Team 2],$CU6,tblActuals35415[Team 1],EL$3)+SUMIFS(tblActuals35415[Team 1 GD],tblActuals35415[Team 1],$CU6,tblActuals35415[Team 2],EL$3)</f>
        <v>0</v>
      </c>
      <c r="EM6" s="56">
        <f>SUMIFS(tblActuals35415[Team 2 GD],tblActuals35415[Team 2],$CU6,tblActuals35415[Team 1],EM$3)+SUMIFS(tblActuals35415[Team 1 GD],tblActuals35415[Team 1],$CU6,tblActuals35415[Team 2],EM$3)</f>
        <v>0</v>
      </c>
      <c r="EN6" s="56">
        <f>SUMIFS(tblActuals35415[Team 2 GD],tblActuals35415[Team 2],$CU6,tblActuals35415[Team 1],EN$3)+SUMIFS(tblActuals35415[Team 1 GD],tblActuals35415[Team 1],$CU6,tblActuals35415[Team 2],EN$3)</f>
        <v>0</v>
      </c>
      <c r="EO6" s="56">
        <f>SUMIFS(tblActuals35415[Team 2 GD],tblActuals35415[Team 2],$CU6,tblActuals35415[Team 1],EO$3)+SUMIFS(tblActuals35415[Team 1 GD],tblActuals35415[Team 1],$CU6,tblActuals35415[Team 2],EO$3)</f>
        <v>0</v>
      </c>
      <c r="EP6" s="56">
        <f>SUMIFS(tblActuals35415[Team 2 GD],tblActuals35415[Team 2],$CU6,tblActuals35415[Team 1],EP$3)+SUMIFS(tblActuals35415[Team 1 GD],tblActuals35415[Team 1],$CU6,tblActuals35415[Team 2],EP$3)</f>
        <v>0</v>
      </c>
      <c r="EQ6" s="56">
        <f>SUMIFS(tblActuals35415[Team 2 GD],tblActuals35415[Team 2],$CU6,tblActuals35415[Team 1],EQ$3)+SUMIFS(tblActuals35415[Team 1 GD],tblActuals35415[Team 1],$CU6,tblActuals35415[Team 2],EQ$3)</f>
        <v>0</v>
      </c>
      <c r="ER6" s="56">
        <f>SUMIFS(tblActuals35415[Team 2 GD],tblActuals35415[Team 2],$CU6,tblActuals35415[Team 1],ER$3)+SUMIFS(tblActuals35415[Team 1 GD],tblActuals35415[Team 1],$CU6,tblActuals35415[Team 2],ER$3)</f>
        <v>0</v>
      </c>
      <c r="ES6" s="56">
        <f>SUMIFS(tblActuals35415[Team 2 GD],tblActuals35415[Team 2],$CU6,tblActuals35415[Team 1],ES$3)+SUMIFS(tblActuals35415[Team 1 GD],tblActuals35415[Team 1],$CU6,tblActuals35415[Team 2],ES$3)</f>
        <v>0</v>
      </c>
      <c r="ET6" s="56">
        <f>SUMIFS(tblActuals35415[Team 2 GD],tblActuals35415[Team 2],$CU6,tblActuals35415[Team 1],ET$3)+SUMIFS(tblActuals35415[Team 1 GD],tblActuals35415[Team 1],$CU6,tblActuals35415[Team 2],ET$3)</f>
        <v>0</v>
      </c>
      <c r="EU6" s="56">
        <f>SUMIFS(tblActuals35415[Team 2 GD],tblActuals35415[Team 2],$CU6,tblActuals35415[Team 1],EU$3)+SUMIFS(tblActuals35415[Team 1 GD],tblActuals35415[Team 1],$CU6,tblActuals35415[Team 2],EU$3)</f>
        <v>0</v>
      </c>
      <c r="EV6" s="56">
        <f>SUMIFS(tblActuals35415[Team 2 GD],tblActuals35415[Team 2],$CU6,tblActuals35415[Team 1],EV$3)+SUMIFS(tblActuals35415[Team 1 GD],tblActuals35415[Team 1],$CU6,tblActuals35415[Team 2],EV$3)</f>
        <v>0</v>
      </c>
      <c r="EW6" s="56">
        <f>SUMIFS(tblActuals35415[Team 2 GD],tblActuals35415[Team 2],$CU6,tblActuals35415[Team 1],EW$3)+SUMIFS(tblActuals35415[Team 1 GD],tblActuals35415[Team 1],$CU6,tblActuals35415[Team 2],EW$3)</f>
        <v>0</v>
      </c>
      <c r="EX6" s="56">
        <f>SUMIFS(tblActuals35415[Team 2 GD],tblActuals35415[Team 2],$CU6,tblActuals35415[Team 1],EX$3)+SUMIFS(tblActuals35415[Team 1 GD],tblActuals35415[Team 1],$CU6,tblActuals35415[Team 2],EX$3)</f>
        <v>0</v>
      </c>
      <c r="EY6" s="56">
        <f>SUMIFS(tblActuals35415[Team 2 GD],tblActuals35415[Team 2],$CU6,tblActuals35415[Team 1],EY$3)+SUMIFS(tblActuals35415[Team 1 GD],tblActuals35415[Team 1],$CU6,tblActuals35415[Team 2],EY$3)</f>
        <v>0</v>
      </c>
      <c r="EZ6" s="56">
        <f>SUMIFS(tblActuals35415[Team 2 GD],tblActuals35415[Team 2],$CU6,tblActuals35415[Team 1],EZ$3)+SUMIFS(tblActuals35415[Team 1 GD],tblActuals35415[Team 1],$CU6,tblActuals35415[Team 2],EZ$3)</f>
        <v>0</v>
      </c>
      <c r="FA6" s="56">
        <f>SUMIFS(tblActuals35415[Team 2 GD],tblActuals35415[Team 2],$CU6,tblActuals35415[Team 1],FA$3)+SUMIFS(tblActuals35415[Team 1 GD],tblActuals35415[Team 1],$CU6,tblActuals35415[Team 2],FA$3)</f>
        <v>0</v>
      </c>
      <c r="FB6" s="57"/>
      <c r="FC6" s="57"/>
      <c r="FD6" s="57"/>
      <c r="FE6" s="57"/>
      <c r="FF6" s="57"/>
      <c r="FG6" s="57"/>
      <c r="FH6" s="57"/>
      <c r="FI6" s="57"/>
      <c r="FJ6" s="4"/>
      <c r="FK6" s="4" t="s">
        <v>125</v>
      </c>
      <c r="FL6" s="56">
        <f>SUMIFS(tblActuals35415[Team 2 Goals],tblActuals35415[Team 2],$CU6,tblActuals35415[Team 1],FL$3)+SUMIFS(tblActuals35415[Team 1 Goals],tblActuals35415[Team 1],$CU6,tblActuals35415[Team 2],FL$3)</f>
        <v>0</v>
      </c>
      <c r="FM6" s="56">
        <f>SUMIFS(tblActuals35415[Team 2 Goals],tblActuals35415[Team 2],$CU6,tblActuals35415[Team 1],FM$3)+SUMIFS(tblActuals35415[Team 1 Goals],tblActuals35415[Team 1],$CU6,tblActuals35415[Team 2],FM$3)</f>
        <v>0</v>
      </c>
      <c r="FN6" s="56">
        <f>SUMIFS(tblActuals35415[Team 2 Goals],tblActuals35415[Team 2],$CU6,tblActuals35415[Team 1],FN$3)+SUMIFS(tblActuals35415[Team 1 Goals],tblActuals35415[Team 1],$CU6,tblActuals35415[Team 2],FN$3)</f>
        <v>0</v>
      </c>
      <c r="FO6" s="56">
        <f>SUMIFS(tblActuals35415[Team 2 Goals],tblActuals35415[Team 2],$CU6,tblActuals35415[Team 1],FO$3)+SUMIFS(tblActuals35415[Team 1 Goals],tblActuals35415[Team 1],$CU6,tblActuals35415[Team 2],FO$3)</f>
        <v>0</v>
      </c>
      <c r="FP6" s="56">
        <f>SUMIFS(tblActuals35415[Team 2 Goals],tblActuals35415[Team 2],$CU6,tblActuals35415[Team 1],FP$3)+SUMIFS(tblActuals35415[Team 1 Goals],tblActuals35415[Team 1],$CU6,tblActuals35415[Team 2],FP$3)</f>
        <v>0</v>
      </c>
      <c r="FQ6" s="56">
        <f>SUMIFS(tblActuals35415[Team 2 Goals],tblActuals35415[Team 2],$CU6,tblActuals35415[Team 1],FQ$3)+SUMIFS(tblActuals35415[Team 1 Goals],tblActuals35415[Team 1],$CU6,tblActuals35415[Team 2],FQ$3)</f>
        <v>0</v>
      </c>
      <c r="FR6" s="56">
        <f>SUMIFS(tblActuals35415[Team 2 Goals],tblActuals35415[Team 2],$CU6,tblActuals35415[Team 1],FR$3)+SUMIFS(tblActuals35415[Team 1 Goals],tblActuals35415[Team 1],$CU6,tblActuals35415[Team 2],FR$3)</f>
        <v>0</v>
      </c>
      <c r="FS6" s="56">
        <f>SUMIFS(tblActuals35415[Team 2 Goals],tblActuals35415[Team 2],$CU6,tblActuals35415[Team 1],FS$3)+SUMIFS(tblActuals35415[Team 1 Goals],tblActuals35415[Team 1],$CU6,tblActuals35415[Team 2],FS$3)</f>
        <v>0</v>
      </c>
      <c r="FT6" s="56">
        <f>SUMIFS(tblActuals35415[Team 2 Goals],tblActuals35415[Team 2],$CU6,tblActuals35415[Team 1],FT$3)+SUMIFS(tblActuals35415[Team 1 Goals],tblActuals35415[Team 1],$CU6,tblActuals35415[Team 2],FT$3)</f>
        <v>0</v>
      </c>
      <c r="FU6" s="56">
        <f>SUMIFS(tblActuals35415[Team 2 Goals],tblActuals35415[Team 2],$CU6,tblActuals35415[Team 1],FU$3)+SUMIFS(tblActuals35415[Team 1 Goals],tblActuals35415[Team 1],$CU6,tblActuals35415[Team 2],FU$3)</f>
        <v>0</v>
      </c>
      <c r="FV6" s="56">
        <f>SUMIFS(tblActuals35415[Team 2 Goals],tblActuals35415[Team 2],$CU6,tblActuals35415[Team 1],FV$3)+SUMIFS(tblActuals35415[Team 1 Goals],tblActuals35415[Team 1],$CU6,tblActuals35415[Team 2],FV$3)</f>
        <v>0</v>
      </c>
      <c r="FW6" s="56">
        <f>SUMIFS(tblActuals35415[Team 2 Goals],tblActuals35415[Team 2],$CU6,tblActuals35415[Team 1],FW$3)+SUMIFS(tblActuals35415[Team 1 Goals],tblActuals35415[Team 1],$CU6,tblActuals35415[Team 2],FW$3)</f>
        <v>0</v>
      </c>
      <c r="FX6" s="56">
        <f>SUMIFS(tblActuals35415[Team 2 Goals],tblActuals35415[Team 2],$CU6,tblActuals35415[Team 1],FX$3)+SUMIFS(tblActuals35415[Team 1 Goals],tblActuals35415[Team 1],$CU6,tblActuals35415[Team 2],FX$3)</f>
        <v>0</v>
      </c>
      <c r="FY6" s="56">
        <f>SUMIFS(tblActuals35415[Team 2 Goals],tblActuals35415[Team 2],$CU6,tblActuals35415[Team 1],FY$3)+SUMIFS(tblActuals35415[Team 1 Goals],tblActuals35415[Team 1],$CU6,tblActuals35415[Team 2],FY$3)</f>
        <v>0</v>
      </c>
      <c r="FZ6" s="56">
        <f>SUMIFS(tblActuals35415[Team 2 Goals],tblActuals35415[Team 2],$CU6,tblActuals35415[Team 1],FZ$3)+SUMIFS(tblActuals35415[Team 1 Goals],tblActuals35415[Team 1],$CU6,tblActuals35415[Team 2],FZ$3)</f>
        <v>0</v>
      </c>
      <c r="GA6" s="56">
        <f>SUMIFS(tblActuals35415[Team 2 Goals],tblActuals35415[Team 2],$CU6,tblActuals35415[Team 1],GA$3)+SUMIFS(tblActuals35415[Team 1 Goals],tblActuals35415[Team 1],$CU6,tblActuals35415[Team 2],GA$3)</f>
        <v>0</v>
      </c>
      <c r="GB6" s="56">
        <f>SUMIFS(tblActuals35415[Team 2 Goals],tblActuals35415[Team 2],$CU6,tblActuals35415[Team 1],GB$3)+SUMIFS(tblActuals35415[Team 1 Goals],tblActuals35415[Team 1],$CU6,tblActuals35415[Team 2],GB$3)</f>
        <v>0</v>
      </c>
      <c r="GC6" s="56">
        <f>SUMIFS(tblActuals35415[Team 2 Goals],tblActuals35415[Team 2],$CU6,tblActuals35415[Team 1],GC$3)+SUMIFS(tblActuals35415[Team 1 Goals],tblActuals35415[Team 1],$CU6,tblActuals35415[Team 2],GC$3)</f>
        <v>0</v>
      </c>
      <c r="GD6" s="56">
        <f>SUMIFS(tblActuals35415[Team 2 Goals],tblActuals35415[Team 2],$CU6,tblActuals35415[Team 1],GD$3)+SUMIFS(tblActuals35415[Team 1 Goals],tblActuals35415[Team 1],$CU6,tblActuals35415[Team 2],GD$3)</f>
        <v>0</v>
      </c>
      <c r="GE6" s="56">
        <f>SUMIFS(tblActuals35415[Team 2 Goals],tblActuals35415[Team 2],$CU6,tblActuals35415[Team 1],GE$3)+SUMIFS(tblActuals35415[Team 1 Goals],tblActuals35415[Team 1],$CU6,tblActuals35415[Team 2],GE$3)</f>
        <v>0</v>
      </c>
      <c r="GF6" s="56">
        <f>SUMIFS(tblActuals35415[Team 2 Goals],tblActuals35415[Team 2],$CU6,tblActuals35415[Team 1],GF$3)+SUMIFS(tblActuals35415[Team 1 Goals],tblActuals35415[Team 1],$CU6,tblActuals35415[Team 2],GF$3)</f>
        <v>0</v>
      </c>
      <c r="GG6" s="56">
        <f>SUMIFS(tblActuals35415[Team 2 Goals],tblActuals35415[Team 2],$CU6,tblActuals35415[Team 1],GG$3)+SUMIFS(tblActuals35415[Team 1 Goals],tblActuals35415[Team 1],$CU6,tblActuals35415[Team 2],GG$3)</f>
        <v>0</v>
      </c>
      <c r="GH6" s="56">
        <f>SUMIFS(tblActuals35415[Team 2 Goals],tblActuals35415[Team 2],$CU6,tblActuals35415[Team 1],GH$3)+SUMIFS(tblActuals35415[Team 1 Goals],tblActuals35415[Team 1],$CU6,tblActuals35415[Team 2],GH$3)</f>
        <v>0</v>
      </c>
      <c r="GI6" s="56">
        <f>SUMIFS(tblActuals35415[Team 2 Goals],tblActuals35415[Team 2],$CU6,tblActuals35415[Team 1],GI$3)+SUMIFS(tblActuals35415[Team 1 Goals],tblActuals35415[Team 1],$CU6,tblActuals35415[Team 2],GI$3)</f>
        <v>0</v>
      </c>
      <c r="GJ6" s="57"/>
      <c r="GK6" s="57"/>
      <c r="GL6" s="37"/>
      <c r="GM6" s="37"/>
      <c r="GN6" s="37"/>
      <c r="GO6" s="37"/>
      <c r="GP6" s="37"/>
      <c r="GQ6" s="37"/>
      <c r="GR6" s="75"/>
      <c r="GS6" s="156"/>
      <c r="GT6" s="156"/>
      <c r="GU6" s="75"/>
      <c r="GV6" s="22"/>
      <c r="GW6" s="75"/>
      <c r="GX6" s="75"/>
      <c r="GY6" s="75"/>
      <c r="GZ6" s="75"/>
      <c r="HB6" s="4" t="str">
        <f t="shared" ref="HB6:HB19" si="12">_xlfn.CONCAT(HC6:HH6)</f>
        <v>ABCE</v>
      </c>
      <c r="HC6" s="44" t="s">
        <v>1</v>
      </c>
      <c r="HD6" s="44" t="s">
        <v>5</v>
      </c>
      <c r="HE6" s="44" t="s">
        <v>6</v>
      </c>
      <c r="HF6" s="45"/>
      <c r="HG6" s="44" t="s">
        <v>12</v>
      </c>
      <c r="HH6" s="45"/>
      <c r="HI6" s="178"/>
      <c r="HJ6" s="45" t="s">
        <v>149</v>
      </c>
      <c r="HK6" s="45" t="s">
        <v>153</v>
      </c>
      <c r="HL6" s="45" t="s">
        <v>151</v>
      </c>
      <c r="HM6" s="45" t="s">
        <v>152</v>
      </c>
    </row>
    <row r="7" spans="1:221" s="11" customFormat="1" ht="30" customHeight="1" x14ac:dyDescent="0.3">
      <c r="A7" s="6">
        <f>A6-2</f>
        <v>-6</v>
      </c>
      <c r="B7" s="122">
        <v>4</v>
      </c>
      <c r="C7" s="122" t="s">
        <v>5</v>
      </c>
      <c r="D7" s="123">
        <v>45458</v>
      </c>
      <c r="E7" s="122" t="s">
        <v>81</v>
      </c>
      <c r="F7" s="124">
        <v>0.875</v>
      </c>
      <c r="G7" s="125">
        <f t="shared" si="11"/>
        <v>45458.625</v>
      </c>
      <c r="H7" s="122" t="s">
        <v>92</v>
      </c>
      <c r="I7" s="126"/>
      <c r="J7" s="118"/>
      <c r="K7" s="118"/>
      <c r="L7" s="174">
        <f>IF(I7="",0,IFERROR(IF(SCORING.RULES!$C$8="No",1,((VLOOKUP($B7,ACTUALS!$B$4:$L$100,7,FALSE)=$H7)+(VLOOKUP($B7,ACTUALS!$B$4:$L$100,7,FALSE)=S7)))*(M7+N7+O7+P7+Q7),0))+$R7</f>
        <v>0</v>
      </c>
      <c r="M7" s="168">
        <f>IFERROR(IF($B7="","",IF(U7=INDEX(ACTUALS!$AA$4:$AA$100,MATCH($B7,ACTUALS!$B$4:$B$100,0),1),CorrectScore,0)),0)</f>
        <v>0</v>
      </c>
      <c r="N7" s="157" t="str">
        <f>IFERROR(IF(I7="","",IF(INDEX(ACTUALS!$AB$4:$AB$100,MATCH($B7,ACTUALS!$B$4:$B$100,0),1)=(AB7+AC7+AH7+AI7),CorrectNumberofGoals,0)),0)</f>
        <v/>
      </c>
      <c r="O7" s="157"/>
      <c r="P7" s="157">
        <f>IFERROR(IF(B7="","",IF(INDEX(ACTUALS!$L$4:$L$100,MATCH($B7,ACTUALS!$B$4:$B$100,0),1)=W7,CorrectResult,0)),0)</f>
        <v>3</v>
      </c>
      <c r="Q7" s="157"/>
      <c r="R7" s="157"/>
      <c r="S7" s="157" t="str">
        <f t="shared" si="0"/>
        <v/>
      </c>
      <c r="T7" s="157"/>
      <c r="U7" s="157" t="str">
        <f t="shared" si="1"/>
        <v/>
      </c>
      <c r="V7" s="157" t="str">
        <f t="shared" si="2"/>
        <v/>
      </c>
      <c r="W7" s="119" t="str">
        <f>IF(tblActuals35415[[#This Row],[SCORE]]="","",IF(AB7=AC7,"Draw",IF(AB7&gt;AC7,X7,Y7)))</f>
        <v/>
      </c>
      <c r="X7" s="120" t="str">
        <f>IF(tblActuals35415[[#This Row],[TEAMS]]="","",LEFT(H7,FIND(" -",H7,1)-1))</f>
        <v>Italy</v>
      </c>
      <c r="Y7" s="120" t="str">
        <f>IF(tblActuals35415[[#This Row],[TEAMS]]="","",MID(H7,FIND("-",H7,1)+2,LEN(H7)-FIND("-",H7,1)+2))</f>
        <v>Albania</v>
      </c>
      <c r="Z7" s="120" t="str">
        <f>IF(tblActuals35415[[#This Row],[Team 1 Goals]]&gt;tblActuals35415[[#This Row],[Team 2 Goals]],tblActuals35415[[#This Row],[Team 1]],IF(tblActuals35415[[#This Row],[Team 2 Goals]]&gt;tblActuals35415[[#This Row],[Team 1 Goals]],tblActuals35415[[#This Row],[Team 2]],""))</f>
        <v/>
      </c>
      <c r="AA7" s="120" t="str">
        <f>IF(tblActuals35415[[#This Row],[Winner]]=tblActuals35415[[#This Row],[Team 1]],tblActuals35415[[#This Row],[Team 2]],IF(tblActuals35415[[#This Row],[Winner]]=tblActuals35415[[#This Row],[Team 2]],tblActuals35415[[#This Row],[Team 1]],""))</f>
        <v/>
      </c>
      <c r="AB7" s="120" t="str">
        <f>IF(tblActuals35415[[#This Row],[SCORE]]="","",LEFT(I7,FIND(":",I7,1)-1)*1)</f>
        <v/>
      </c>
      <c r="AC7" s="120" t="str">
        <f>IF(tblActuals35415[[#This Row],[SCORE]]="","",MID(I7,FIND(":",I7,1)+1,LEN(I7)-FIND(":",I7,1)+1)*1)</f>
        <v/>
      </c>
      <c r="AD7" s="120" t="str">
        <f>IF(OR(tblActuals35415[[#This Row],[Team 1 Goals]]="",tblActuals35415[[#This Row],[Team 2 Goals]]=""),"",tblActuals35415[[#This Row],[Team 1 Goals]]-tblActuals35415[[#This Row],[Team 2 Goals]])</f>
        <v/>
      </c>
      <c r="AE7" s="120" t="str">
        <f>IF(OR(tblActuals35415[[#This Row],[Team 1 Goals]]="",tblActuals35415[[#This Row],[Team 2 Goals]]=""),"",tblActuals35415[[#This Row],[Team 2 Goals]]-tblActuals35415[[#This Row],[Team 1 Goals]])</f>
        <v/>
      </c>
      <c r="AF7" s="120" t="str">
        <f>IF(tblActuals35415[[#This Row],[SCORE]]="","",IF(tblActuals35415[[#This Row],[WINNER / RESULT]]="Draw",1,IF(tblActuals35415[[#This Row],[WINNER / RESULT]]=tblActuals35415[[#This Row],[Team 1]],3,0)))</f>
        <v/>
      </c>
      <c r="AG7" s="120" t="str">
        <f>IF(tblActuals35415[[#This Row],[SCORE]]="","",IF(tblActuals35415[[#This Row],[WINNER / RESULT]]="Draw",1,IF(tblActuals35415[[#This Row],[WINNER / RESULT]]=tblActuals35415[[#This Row],[Team 2]],3,0)))</f>
        <v/>
      </c>
      <c r="AH7" s="121"/>
      <c r="AI7" s="121"/>
      <c r="AJ7" s="121"/>
      <c r="AK7" s="121"/>
      <c r="AL7" s="120" t="e">
        <f>tblActuals35415[[#This Row],[Team 1 Goals]]+tblActuals35415[[#This Row],[Team 1 ET Goals]]&amp;":"&amp;tblActuals35415[[#This Row],[Team 2 Goals]]+tblActuals35415[[#This Row],[Team 2 ET Goals]]</f>
        <v>#VALUE!</v>
      </c>
      <c r="AM7" s="120" t="e">
        <f>+tblActuals35415[[#This Row],[Team 1 Goals]]+tblActuals35415[[#This Row],[Team 2 Goals]]</f>
        <v>#VALUE!</v>
      </c>
      <c r="AN7" s="161">
        <f t="shared" si="3"/>
        <v>45458</v>
      </c>
      <c r="AP7" s="38" t="s">
        <v>81</v>
      </c>
      <c r="AT7" s="77" t="s">
        <v>1</v>
      </c>
      <c r="AU7" s="139">
        <v>2</v>
      </c>
      <c r="AV7" s="140" t="str">
        <f ca="1">IFERROR(INDEX(BD:BD,MATCH("2"&amp;AT7,BN:BN,0),1),"")</f>
        <v>Hungary</v>
      </c>
      <c r="AW7" s="140" t="str">
        <f ca="1">IF(AV7="","",VLOOKUP(AV7,BD:BI,2,FALSE)&amp;"-"&amp;VLOOKUP(AV7,BD:BI,3,FALSE)&amp;"-"&amp;VLOOKUP(AV7,BD:BI,4,FALSE))</f>
        <v>0-0-0</v>
      </c>
      <c r="AX7" s="140">
        <f ca="1">IF(AV7="","",VLOOKUP(AV7,BD:BK,8,FALSE))</f>
        <v>0</v>
      </c>
      <c r="AY7" s="141">
        <f ca="1">IF(AV7="","",VLOOKUP(AV7,BD:BN,5,FALSE))</f>
        <v>0</v>
      </c>
      <c r="AZ7" s="75"/>
      <c r="BA7" s="42"/>
      <c r="BB7" s="4"/>
      <c r="BC7" s="4" t="s">
        <v>1</v>
      </c>
      <c r="BD7" s="4" t="s">
        <v>31</v>
      </c>
      <c r="BE7" s="4">
        <f>COUNTIF(tblActuals35415[Winner],BD7)</f>
        <v>0</v>
      </c>
      <c r="BF7" s="4">
        <f>COUNTIFS(tblActuals35415[Team 2],BD7,tblActuals35415[WINNER / RESULT],"Draw")+COUNTIFS(tblActuals35415[Team 1],BD7,tblActuals35415[WINNER / RESULT],"Draw")</f>
        <v>0</v>
      </c>
      <c r="BG7" s="4">
        <f>COUNTIF(tblActuals35415[Loser],BD7)</f>
        <v>0</v>
      </c>
      <c r="BH7" s="4">
        <f>BF7+(3*BE7)</f>
        <v>0</v>
      </c>
      <c r="BI7" s="4">
        <f>SUMIFS(tblActuals35415[Team 1 Goals],tblActuals35415[Team 1],BD7)+SUMIFS(tblActuals35415[Team 2 Goals],tblActuals35415[Team 2],BD7)</f>
        <v>0</v>
      </c>
      <c r="BJ7" s="4">
        <f>SUMIFS(tblActuals35415[Team 2 Goals],tblActuals35415[Team 1],BD7)+SUMIFS(tblActuals35415[Team 1 Goals],tblActuals35415[Team 2],BD7)</f>
        <v>0</v>
      </c>
      <c r="BK7" s="4">
        <f>BI7-BJ7</f>
        <v>0</v>
      </c>
      <c r="BL7" s="4">
        <f ca="1">RANK(BY7,$BY$4:$BY$7,1)</f>
        <v>4</v>
      </c>
      <c r="BM7" s="4" t="str">
        <f t="shared" si="4"/>
        <v/>
      </c>
      <c r="BN7" s="4" t="str">
        <f ca="1">IF(BM7="",BL7&amp;BC7,BM7&amp;BC7)</f>
        <v>4A</v>
      </c>
      <c r="BO7" s="4">
        <f>RANK(BH7,$BH$4:$BH$7,0)</f>
        <v>1</v>
      </c>
      <c r="BP7" s="4" cm="1">
        <f t="array" aca="1" ref="BP7" ca="1">SUMPRODUCT((OFFSET($CV$3:$EA$3,MATCH($BD7,$CU$4:$CU$35,0),0))*((IF($BO5=$BO7,$CV$3:$EA$3=$BD5,0))+(IF($BO4=$BO7,$CV$3:$EA$3=$BD4,0))+(IF($BO6=$BO7,$CV$3:$EA$3=$BD6,0))))</f>
        <v>0</v>
      </c>
      <c r="BQ7" s="4" cm="1">
        <f t="array" aca="1" ref="BQ7" ca="1">SUMPRODUCT((OFFSET($ED$3:$FI$3,MATCH($BD7,$EC$4:$EC$35,0),0))*((IF($BO5=$BO7,$ED$3:$FI$3=$BD5,0))+(IF($BO4=$BO7,$ED$3:$FI$3=$BD4,0))+(IF($BO6=$BO7,$ED$3:$FI$3=$BD6,0))))</f>
        <v>0</v>
      </c>
      <c r="BR7" s="4" cm="1">
        <f t="array" aca="1" ref="BR7" ca="1">SUMPRODUCT((OFFSET($FL$3:$GQ$3,MATCH($BD7,$FK$4:$FK$35,0),0))*((IF($BO5=$BO7,$FL$3:$GQ$3=$BD5,0))+(IF($BO4=$BO7,$FL$3:$GQ$3=$BD4,0))+(IF($BO6=$BO7,$FL$3:$GQ$3=$BD6,0))))</f>
        <v>0</v>
      </c>
      <c r="BS7" s="4" cm="1">
        <f t="array" aca="1" ref="BS7" ca="1">SUMPRODUCT((OFFSET($CV$3:$EA$3,MATCH($BD7,$CU$4:$CU$35,0),0))*((IF($BO5&lt;&gt;$BO7,$CV$3:$EA$3=$BD5,0))+(IF($BO4&lt;&gt;$BO7,$CV$3:$EA$3=$BD4,0))+(IF($BO6&lt;&gt;$BO7,$CV$3:$EA$3=$BD6,0))))</f>
        <v>0</v>
      </c>
      <c r="BT7" s="4" cm="1">
        <f t="array" aca="1" ref="BT7" ca="1">SUMPRODUCT((OFFSET($ED$3:$FI$3,MATCH($BD7,$EC$4:$EC$35,0),0))*((IF($BO5&lt;&gt;$BO7,$ED$3:$FI$3=$BD5,0))+(IF($BO4&lt;&gt;$BO7,$ED$3:$FI$3=$BD4,0))+(IF($BO6&lt;&gt;$BO7,$ED$3:$FI$3=$BD6,0))))</f>
        <v>0</v>
      </c>
      <c r="BU7" s="4" cm="1">
        <f t="array" aca="1" ref="BU7" ca="1">SUMPRODUCT((OFFSET($FL$3:$GQ$3,MATCH($BD7,$FK$4:$FK$35,0),0))*((IF($BO5&lt;&gt;$BO7,$FL$3:$GQ$3=$BD5,0))+(IF($BO4&lt;&gt;$BO7,$FL$3:$GQ$3=$BD4,0))+(IF($BO6&lt;&gt;$BO7,$FL$3:$GQ$3=$BD6,0))))</f>
        <v>0</v>
      </c>
      <c r="BV7" s="4">
        <f>BK7</f>
        <v>0</v>
      </c>
      <c r="BW7" s="4">
        <f>BI7</f>
        <v>0</v>
      </c>
      <c r="BX7" s="4">
        <f ca="1">(BP7/10)+(BQ7/100)+(BR7/1000)+(BT7/10000)+(BU7/100000)+(BV7/1000000)+(BW7/10000000)+(ROW(BS4)/100000000)</f>
        <v>4.0000000000000001E-8</v>
      </c>
      <c r="BY7" s="4">
        <f ca="1">+BO7-BX7</f>
        <v>0.99999996000000002</v>
      </c>
      <c r="BZ7" s="4"/>
      <c r="CA7" s="4" t="s">
        <v>7</v>
      </c>
      <c r="CB7" s="4" t="str">
        <f ca="1">AV26</f>
        <v>Netherlands</v>
      </c>
      <c r="CC7" s="4">
        <f t="shared" ca="1" si="5"/>
        <v>0</v>
      </c>
      <c r="CD7" s="4">
        <f t="shared" ca="1" si="6"/>
        <v>0</v>
      </c>
      <c r="CE7" s="4">
        <f t="shared" ca="1" si="7"/>
        <v>0</v>
      </c>
      <c r="CF7" s="4">
        <f t="shared" ca="1" si="8"/>
        <v>0</v>
      </c>
      <c r="CG7" s="4">
        <f t="shared" ca="1" si="9"/>
        <v>6.9999999999999997E-7</v>
      </c>
      <c r="CH7" s="4">
        <f t="shared" ca="1" si="10"/>
        <v>3</v>
      </c>
      <c r="CI7" s="4"/>
      <c r="CJ7" s="4"/>
      <c r="CK7" s="4"/>
      <c r="CL7" s="4"/>
      <c r="CM7" s="4"/>
      <c r="CN7" s="4"/>
      <c r="CO7" s="4"/>
      <c r="CP7" s="4"/>
      <c r="CQ7" s="4"/>
      <c r="CR7" s="4"/>
      <c r="CU7" s="4" t="s">
        <v>31</v>
      </c>
      <c r="CV7" s="56">
        <f>SUMIFS(tblActuals35415[Team 2 Points],tblActuals35415[Team 2],$CU7,tblActuals35415[Team 1],CV$3)+SUMIFS(tblActuals35415[Team 1 Points],tblActuals35415[Team 1],$CU7,tblActuals35415[Team 2],CV$3)</f>
        <v>0</v>
      </c>
      <c r="CW7" s="56">
        <f>SUMIFS(tblActuals35415[Team 2 Points],tblActuals35415[Team 2],$CU7,tblActuals35415[Team 1],CW$3)+SUMIFS(tblActuals35415[Team 1 Points],tblActuals35415[Team 1],$CU7,tblActuals35415[Team 2],CW$3)</f>
        <v>0</v>
      </c>
      <c r="CX7" s="56">
        <f>SUMIFS(tblActuals35415[Team 2 Points],tblActuals35415[Team 2],$CU7,tblActuals35415[Team 1],CX$3)+SUMIFS(tblActuals35415[Team 1 Points],tblActuals35415[Team 1],$CU7,tblActuals35415[Team 2],CX$3)</f>
        <v>0</v>
      </c>
      <c r="CY7" s="56">
        <f>SUMIFS(tblActuals35415[Team 2 Points],tblActuals35415[Team 2],$CU7,tblActuals35415[Team 1],CY$3)+SUMIFS(tblActuals35415[Team 1 Points],tblActuals35415[Team 1],$CU7,tblActuals35415[Team 2],CY$3)</f>
        <v>0</v>
      </c>
      <c r="CZ7" s="56">
        <f>SUMIFS(tblActuals35415[Team 2 Points],tblActuals35415[Team 2],$CU7,tblActuals35415[Team 1],CZ$3)+SUMIFS(tblActuals35415[Team 1 Points],tblActuals35415[Team 1],$CU7,tblActuals35415[Team 2],CZ$3)</f>
        <v>0</v>
      </c>
      <c r="DA7" s="56">
        <f>SUMIFS(tblActuals35415[Team 2 Points],tblActuals35415[Team 2],$CU7,tblActuals35415[Team 1],DA$3)+SUMIFS(tblActuals35415[Team 1 Points],tblActuals35415[Team 1],$CU7,tblActuals35415[Team 2],DA$3)</f>
        <v>0</v>
      </c>
      <c r="DB7" s="56">
        <f>SUMIFS(tblActuals35415[Team 2 Points],tblActuals35415[Team 2],$CU7,tblActuals35415[Team 1],DB$3)+SUMIFS(tblActuals35415[Team 1 Points],tblActuals35415[Team 1],$CU7,tblActuals35415[Team 2],DB$3)</f>
        <v>0</v>
      </c>
      <c r="DC7" s="56">
        <f>SUMIFS(tblActuals35415[Team 2 Points],tblActuals35415[Team 2],$CU7,tblActuals35415[Team 1],DC$3)+SUMIFS(tblActuals35415[Team 1 Points],tblActuals35415[Team 1],$CU7,tblActuals35415[Team 2],DC$3)</f>
        <v>0</v>
      </c>
      <c r="DD7" s="56">
        <f>SUMIFS(tblActuals35415[Team 2 Points],tblActuals35415[Team 2],$CU7,tblActuals35415[Team 1],DD$3)+SUMIFS(tblActuals35415[Team 1 Points],tblActuals35415[Team 1],$CU7,tblActuals35415[Team 2],DD$3)</f>
        <v>0</v>
      </c>
      <c r="DE7" s="56">
        <f>SUMIFS(tblActuals35415[Team 2 Points],tblActuals35415[Team 2],$CU7,tblActuals35415[Team 1],DE$3)+SUMIFS(tblActuals35415[Team 1 Points],tblActuals35415[Team 1],$CU7,tblActuals35415[Team 2],DE$3)</f>
        <v>0</v>
      </c>
      <c r="DF7" s="56">
        <f>SUMIFS(tblActuals35415[Team 2 Points],tblActuals35415[Team 2],$CU7,tblActuals35415[Team 1],DF$3)+SUMIFS(tblActuals35415[Team 1 Points],tblActuals35415[Team 1],$CU7,tblActuals35415[Team 2],DF$3)</f>
        <v>0</v>
      </c>
      <c r="DG7" s="56">
        <f>SUMIFS(tblActuals35415[Team 2 Points],tblActuals35415[Team 2],$CU7,tblActuals35415[Team 1],DG$3)+SUMIFS(tblActuals35415[Team 1 Points],tblActuals35415[Team 1],$CU7,tblActuals35415[Team 2],DG$3)</f>
        <v>0</v>
      </c>
      <c r="DH7" s="56">
        <f>SUMIFS(tblActuals35415[Team 2 Points],tblActuals35415[Team 2],$CU7,tblActuals35415[Team 1],DH$3)+SUMIFS(tblActuals35415[Team 1 Points],tblActuals35415[Team 1],$CU7,tblActuals35415[Team 2],DH$3)</f>
        <v>0</v>
      </c>
      <c r="DI7" s="56">
        <f>SUMIFS(tblActuals35415[Team 2 Points],tblActuals35415[Team 2],$CU7,tblActuals35415[Team 1],DI$3)+SUMIFS(tblActuals35415[Team 1 Points],tblActuals35415[Team 1],$CU7,tblActuals35415[Team 2],DI$3)</f>
        <v>0</v>
      </c>
      <c r="DJ7" s="56">
        <f>SUMIFS(tblActuals35415[Team 2 Points],tblActuals35415[Team 2],$CU7,tblActuals35415[Team 1],DJ$3)+SUMIFS(tblActuals35415[Team 1 Points],tblActuals35415[Team 1],$CU7,tblActuals35415[Team 2],DJ$3)</f>
        <v>0</v>
      </c>
      <c r="DK7" s="56">
        <f>SUMIFS(tblActuals35415[Team 2 Points],tblActuals35415[Team 2],$CU7,tblActuals35415[Team 1],DK$3)+SUMIFS(tblActuals35415[Team 1 Points],tblActuals35415[Team 1],$CU7,tblActuals35415[Team 2],DK$3)</f>
        <v>0</v>
      </c>
      <c r="DL7" s="56">
        <f>SUMIFS(tblActuals35415[Team 2 Points],tblActuals35415[Team 2],$CU7,tblActuals35415[Team 1],DL$3)+SUMIFS(tblActuals35415[Team 1 Points],tblActuals35415[Team 1],$CU7,tblActuals35415[Team 2],DL$3)</f>
        <v>0</v>
      </c>
      <c r="DM7" s="56">
        <f>SUMIFS(tblActuals35415[Team 2 Points],tblActuals35415[Team 2],$CU7,tblActuals35415[Team 1],DM$3)+SUMIFS(tblActuals35415[Team 1 Points],tblActuals35415[Team 1],$CU7,tblActuals35415[Team 2],DM$3)</f>
        <v>0</v>
      </c>
      <c r="DN7" s="56">
        <f>SUMIFS(tblActuals35415[Team 2 Points],tblActuals35415[Team 2],$CU7,tblActuals35415[Team 1],DN$3)+SUMIFS(tblActuals35415[Team 1 Points],tblActuals35415[Team 1],$CU7,tblActuals35415[Team 2],DN$3)</f>
        <v>0</v>
      </c>
      <c r="DO7" s="56">
        <f>SUMIFS(tblActuals35415[Team 2 Points],tblActuals35415[Team 2],$CU7,tblActuals35415[Team 1],DO$3)+SUMIFS(tblActuals35415[Team 1 Points],tblActuals35415[Team 1],$CU7,tblActuals35415[Team 2],DO$3)</f>
        <v>0</v>
      </c>
      <c r="DP7" s="56">
        <f>SUMIFS(tblActuals35415[Team 2 Points],tblActuals35415[Team 2],$CU7,tblActuals35415[Team 1],DP$3)+SUMIFS(tblActuals35415[Team 1 Points],tblActuals35415[Team 1],$CU7,tblActuals35415[Team 2],DP$3)</f>
        <v>0</v>
      </c>
      <c r="DQ7" s="56">
        <f>SUMIFS(tblActuals35415[Team 2 Points],tblActuals35415[Team 2],$CU7,tblActuals35415[Team 1],DQ$3)+SUMIFS(tblActuals35415[Team 1 Points],tblActuals35415[Team 1],$CU7,tblActuals35415[Team 2],DQ$3)</f>
        <v>0</v>
      </c>
      <c r="DR7" s="56">
        <f>SUMIFS(tblActuals35415[Team 2 Points],tblActuals35415[Team 2],$CU7,tblActuals35415[Team 1],DR$3)+SUMIFS(tblActuals35415[Team 1 Points],tblActuals35415[Team 1],$CU7,tblActuals35415[Team 2],DR$3)</f>
        <v>0</v>
      </c>
      <c r="DS7" s="56">
        <f>SUMIFS(tblActuals35415[Team 2 Points],tblActuals35415[Team 2],$CU7,tblActuals35415[Team 1],DS$3)+SUMIFS(tblActuals35415[Team 1 Points],tblActuals35415[Team 1],$CU7,tblActuals35415[Team 2],DS$3)</f>
        <v>0</v>
      </c>
      <c r="DT7" s="57"/>
      <c r="DU7" s="57"/>
      <c r="DV7" s="57"/>
      <c r="DW7" s="57"/>
      <c r="DX7" s="57"/>
      <c r="DY7" s="57"/>
      <c r="DZ7" s="57"/>
      <c r="EA7" s="57"/>
      <c r="EB7" s="4"/>
      <c r="EC7" s="4" t="s">
        <v>31</v>
      </c>
      <c r="ED7" s="56">
        <f>SUMIFS(tblActuals35415[Team 2 GD],tblActuals35415[Team 2],$CU7,tblActuals35415[Team 1],ED$3)+SUMIFS(tblActuals35415[Team 1 GD],tblActuals35415[Team 1],$CU7,tblActuals35415[Team 2],ED$3)</f>
        <v>0</v>
      </c>
      <c r="EE7" s="56">
        <f>SUMIFS(tblActuals35415[Team 2 GD],tblActuals35415[Team 2],$CU7,tblActuals35415[Team 1],EE$3)+SUMIFS(tblActuals35415[Team 1 GD],tblActuals35415[Team 1],$CU7,tblActuals35415[Team 2],EE$3)</f>
        <v>0</v>
      </c>
      <c r="EF7" s="56">
        <f>SUMIFS(tblActuals35415[Team 2 GD],tblActuals35415[Team 2],$CU7,tblActuals35415[Team 1],EF$3)+SUMIFS(tblActuals35415[Team 1 GD],tblActuals35415[Team 1],$CU7,tblActuals35415[Team 2],EF$3)</f>
        <v>0</v>
      </c>
      <c r="EG7" s="56">
        <f>SUMIFS(tblActuals35415[Team 2 GD],tblActuals35415[Team 2],$CU7,tblActuals35415[Team 1],EG$3)+SUMIFS(tblActuals35415[Team 1 GD],tblActuals35415[Team 1],$CU7,tblActuals35415[Team 2],EG$3)</f>
        <v>0</v>
      </c>
      <c r="EH7" s="56">
        <f>SUMIFS(tblActuals35415[Team 2 GD],tblActuals35415[Team 2],$CU7,tblActuals35415[Team 1],EH$3)+SUMIFS(tblActuals35415[Team 1 GD],tblActuals35415[Team 1],$CU7,tblActuals35415[Team 2],EH$3)</f>
        <v>0</v>
      </c>
      <c r="EI7" s="56">
        <f>SUMIFS(tblActuals35415[Team 2 GD],tblActuals35415[Team 2],$CU7,tblActuals35415[Team 1],EI$3)+SUMIFS(tblActuals35415[Team 1 GD],tblActuals35415[Team 1],$CU7,tblActuals35415[Team 2],EI$3)</f>
        <v>0</v>
      </c>
      <c r="EJ7" s="56">
        <f>SUMIFS(tblActuals35415[Team 2 GD],tblActuals35415[Team 2],$CU7,tblActuals35415[Team 1],EJ$3)+SUMIFS(tblActuals35415[Team 1 GD],tblActuals35415[Team 1],$CU7,tblActuals35415[Team 2],EJ$3)</f>
        <v>0</v>
      </c>
      <c r="EK7" s="56">
        <f>SUMIFS(tblActuals35415[Team 2 GD],tblActuals35415[Team 2],$CU7,tblActuals35415[Team 1],EK$3)+SUMIFS(tblActuals35415[Team 1 GD],tblActuals35415[Team 1],$CU7,tblActuals35415[Team 2],EK$3)</f>
        <v>0</v>
      </c>
      <c r="EL7" s="56">
        <f>SUMIFS(tblActuals35415[Team 2 GD],tblActuals35415[Team 2],$CU7,tblActuals35415[Team 1],EL$3)+SUMIFS(tblActuals35415[Team 1 GD],tblActuals35415[Team 1],$CU7,tblActuals35415[Team 2],EL$3)</f>
        <v>0</v>
      </c>
      <c r="EM7" s="56">
        <f>SUMIFS(tblActuals35415[Team 2 GD],tblActuals35415[Team 2],$CU7,tblActuals35415[Team 1],EM$3)+SUMIFS(tblActuals35415[Team 1 GD],tblActuals35415[Team 1],$CU7,tblActuals35415[Team 2],EM$3)</f>
        <v>0</v>
      </c>
      <c r="EN7" s="56">
        <f>SUMIFS(tblActuals35415[Team 2 GD],tblActuals35415[Team 2],$CU7,tblActuals35415[Team 1],EN$3)+SUMIFS(tblActuals35415[Team 1 GD],tblActuals35415[Team 1],$CU7,tblActuals35415[Team 2],EN$3)</f>
        <v>0</v>
      </c>
      <c r="EO7" s="56">
        <f>SUMIFS(tblActuals35415[Team 2 GD],tblActuals35415[Team 2],$CU7,tblActuals35415[Team 1],EO$3)+SUMIFS(tblActuals35415[Team 1 GD],tblActuals35415[Team 1],$CU7,tblActuals35415[Team 2],EO$3)</f>
        <v>0</v>
      </c>
      <c r="EP7" s="56">
        <f>SUMIFS(tblActuals35415[Team 2 GD],tblActuals35415[Team 2],$CU7,tblActuals35415[Team 1],EP$3)+SUMIFS(tblActuals35415[Team 1 GD],tblActuals35415[Team 1],$CU7,tblActuals35415[Team 2],EP$3)</f>
        <v>0</v>
      </c>
      <c r="EQ7" s="56">
        <f>SUMIFS(tblActuals35415[Team 2 GD],tblActuals35415[Team 2],$CU7,tblActuals35415[Team 1],EQ$3)+SUMIFS(tblActuals35415[Team 1 GD],tblActuals35415[Team 1],$CU7,tblActuals35415[Team 2],EQ$3)</f>
        <v>0</v>
      </c>
      <c r="ER7" s="56">
        <f>SUMIFS(tblActuals35415[Team 2 GD],tblActuals35415[Team 2],$CU7,tblActuals35415[Team 1],ER$3)+SUMIFS(tblActuals35415[Team 1 GD],tblActuals35415[Team 1],$CU7,tblActuals35415[Team 2],ER$3)</f>
        <v>0</v>
      </c>
      <c r="ES7" s="56">
        <f>SUMIFS(tblActuals35415[Team 2 GD],tblActuals35415[Team 2],$CU7,tblActuals35415[Team 1],ES$3)+SUMIFS(tblActuals35415[Team 1 GD],tblActuals35415[Team 1],$CU7,tblActuals35415[Team 2],ES$3)</f>
        <v>0</v>
      </c>
      <c r="ET7" s="56">
        <f>SUMIFS(tblActuals35415[Team 2 GD],tblActuals35415[Team 2],$CU7,tblActuals35415[Team 1],ET$3)+SUMIFS(tblActuals35415[Team 1 GD],tblActuals35415[Team 1],$CU7,tblActuals35415[Team 2],ET$3)</f>
        <v>0</v>
      </c>
      <c r="EU7" s="56">
        <f>SUMIFS(tblActuals35415[Team 2 GD],tblActuals35415[Team 2],$CU7,tblActuals35415[Team 1],EU$3)+SUMIFS(tblActuals35415[Team 1 GD],tblActuals35415[Team 1],$CU7,tblActuals35415[Team 2],EU$3)</f>
        <v>0</v>
      </c>
      <c r="EV7" s="56">
        <f>SUMIFS(tblActuals35415[Team 2 GD],tblActuals35415[Team 2],$CU7,tblActuals35415[Team 1],EV$3)+SUMIFS(tblActuals35415[Team 1 GD],tblActuals35415[Team 1],$CU7,tblActuals35415[Team 2],EV$3)</f>
        <v>0</v>
      </c>
      <c r="EW7" s="56">
        <f>SUMIFS(tblActuals35415[Team 2 GD],tblActuals35415[Team 2],$CU7,tblActuals35415[Team 1],EW$3)+SUMIFS(tblActuals35415[Team 1 GD],tblActuals35415[Team 1],$CU7,tblActuals35415[Team 2],EW$3)</f>
        <v>0</v>
      </c>
      <c r="EX7" s="56">
        <f>SUMIFS(tblActuals35415[Team 2 GD],tblActuals35415[Team 2],$CU7,tblActuals35415[Team 1],EX$3)+SUMIFS(tblActuals35415[Team 1 GD],tblActuals35415[Team 1],$CU7,tblActuals35415[Team 2],EX$3)</f>
        <v>0</v>
      </c>
      <c r="EY7" s="56">
        <f>SUMIFS(tblActuals35415[Team 2 GD],tblActuals35415[Team 2],$CU7,tblActuals35415[Team 1],EY$3)+SUMIFS(tblActuals35415[Team 1 GD],tblActuals35415[Team 1],$CU7,tblActuals35415[Team 2],EY$3)</f>
        <v>0</v>
      </c>
      <c r="EZ7" s="56">
        <f>SUMIFS(tblActuals35415[Team 2 GD],tblActuals35415[Team 2],$CU7,tblActuals35415[Team 1],EZ$3)+SUMIFS(tblActuals35415[Team 1 GD],tblActuals35415[Team 1],$CU7,tblActuals35415[Team 2],EZ$3)</f>
        <v>0</v>
      </c>
      <c r="FA7" s="56">
        <f>SUMIFS(tblActuals35415[Team 2 GD],tblActuals35415[Team 2],$CU7,tblActuals35415[Team 1],FA$3)+SUMIFS(tblActuals35415[Team 1 GD],tblActuals35415[Team 1],$CU7,tblActuals35415[Team 2],FA$3)</f>
        <v>0</v>
      </c>
      <c r="FB7" s="57"/>
      <c r="FC7" s="57"/>
      <c r="FD7" s="57"/>
      <c r="FE7" s="57"/>
      <c r="FF7" s="57"/>
      <c r="FG7" s="57"/>
      <c r="FH7" s="57"/>
      <c r="FI7" s="57"/>
      <c r="FJ7" s="4"/>
      <c r="FK7" s="4" t="s">
        <v>31</v>
      </c>
      <c r="FL7" s="56">
        <f>SUMIFS(tblActuals35415[Team 2 Goals],tblActuals35415[Team 2],$CU7,tblActuals35415[Team 1],FL$3)+SUMIFS(tblActuals35415[Team 1 Goals],tblActuals35415[Team 1],$CU7,tblActuals35415[Team 2],FL$3)</f>
        <v>0</v>
      </c>
      <c r="FM7" s="56">
        <f>SUMIFS(tblActuals35415[Team 2 Goals],tblActuals35415[Team 2],$CU7,tblActuals35415[Team 1],FM$3)+SUMIFS(tblActuals35415[Team 1 Goals],tblActuals35415[Team 1],$CU7,tblActuals35415[Team 2],FM$3)</f>
        <v>0</v>
      </c>
      <c r="FN7" s="56">
        <f>SUMIFS(tblActuals35415[Team 2 Goals],tblActuals35415[Team 2],$CU7,tblActuals35415[Team 1],FN$3)+SUMIFS(tblActuals35415[Team 1 Goals],tblActuals35415[Team 1],$CU7,tblActuals35415[Team 2],FN$3)</f>
        <v>0</v>
      </c>
      <c r="FO7" s="56">
        <f>SUMIFS(tblActuals35415[Team 2 Goals],tblActuals35415[Team 2],$CU7,tblActuals35415[Team 1],FO$3)+SUMIFS(tblActuals35415[Team 1 Goals],tblActuals35415[Team 1],$CU7,tblActuals35415[Team 2],FO$3)</f>
        <v>0</v>
      </c>
      <c r="FP7" s="56">
        <f>SUMIFS(tblActuals35415[Team 2 Goals],tblActuals35415[Team 2],$CU7,tblActuals35415[Team 1],FP$3)+SUMIFS(tblActuals35415[Team 1 Goals],tblActuals35415[Team 1],$CU7,tblActuals35415[Team 2],FP$3)</f>
        <v>0</v>
      </c>
      <c r="FQ7" s="56">
        <f>SUMIFS(tblActuals35415[Team 2 Goals],tblActuals35415[Team 2],$CU7,tblActuals35415[Team 1],FQ$3)+SUMIFS(tblActuals35415[Team 1 Goals],tblActuals35415[Team 1],$CU7,tblActuals35415[Team 2],FQ$3)</f>
        <v>0</v>
      </c>
      <c r="FR7" s="56">
        <f>SUMIFS(tblActuals35415[Team 2 Goals],tblActuals35415[Team 2],$CU7,tblActuals35415[Team 1],FR$3)+SUMIFS(tblActuals35415[Team 1 Goals],tblActuals35415[Team 1],$CU7,tblActuals35415[Team 2],FR$3)</f>
        <v>0</v>
      </c>
      <c r="FS7" s="56">
        <f>SUMIFS(tblActuals35415[Team 2 Goals],tblActuals35415[Team 2],$CU7,tblActuals35415[Team 1],FS$3)+SUMIFS(tblActuals35415[Team 1 Goals],tblActuals35415[Team 1],$CU7,tblActuals35415[Team 2],FS$3)</f>
        <v>0</v>
      </c>
      <c r="FT7" s="56">
        <f>SUMIFS(tblActuals35415[Team 2 Goals],tblActuals35415[Team 2],$CU7,tblActuals35415[Team 1],FT$3)+SUMIFS(tblActuals35415[Team 1 Goals],tblActuals35415[Team 1],$CU7,tblActuals35415[Team 2],FT$3)</f>
        <v>0</v>
      </c>
      <c r="FU7" s="56">
        <f>SUMIFS(tblActuals35415[Team 2 Goals],tblActuals35415[Team 2],$CU7,tblActuals35415[Team 1],FU$3)+SUMIFS(tblActuals35415[Team 1 Goals],tblActuals35415[Team 1],$CU7,tblActuals35415[Team 2],FU$3)</f>
        <v>0</v>
      </c>
      <c r="FV7" s="56">
        <f>SUMIFS(tblActuals35415[Team 2 Goals],tblActuals35415[Team 2],$CU7,tblActuals35415[Team 1],FV$3)+SUMIFS(tblActuals35415[Team 1 Goals],tblActuals35415[Team 1],$CU7,tblActuals35415[Team 2],FV$3)</f>
        <v>0</v>
      </c>
      <c r="FW7" s="56">
        <f>SUMIFS(tblActuals35415[Team 2 Goals],tblActuals35415[Team 2],$CU7,tblActuals35415[Team 1],FW$3)+SUMIFS(tblActuals35415[Team 1 Goals],tblActuals35415[Team 1],$CU7,tblActuals35415[Team 2],FW$3)</f>
        <v>0</v>
      </c>
      <c r="FX7" s="56">
        <f>SUMIFS(tblActuals35415[Team 2 Goals],tblActuals35415[Team 2],$CU7,tblActuals35415[Team 1],FX$3)+SUMIFS(tblActuals35415[Team 1 Goals],tblActuals35415[Team 1],$CU7,tblActuals35415[Team 2],FX$3)</f>
        <v>0</v>
      </c>
      <c r="FY7" s="56">
        <f>SUMIFS(tblActuals35415[Team 2 Goals],tblActuals35415[Team 2],$CU7,tblActuals35415[Team 1],FY$3)+SUMIFS(tblActuals35415[Team 1 Goals],tblActuals35415[Team 1],$CU7,tblActuals35415[Team 2],FY$3)</f>
        <v>0</v>
      </c>
      <c r="FZ7" s="56">
        <f>SUMIFS(tblActuals35415[Team 2 Goals],tblActuals35415[Team 2],$CU7,tblActuals35415[Team 1],FZ$3)+SUMIFS(tblActuals35415[Team 1 Goals],tblActuals35415[Team 1],$CU7,tblActuals35415[Team 2],FZ$3)</f>
        <v>0</v>
      </c>
      <c r="GA7" s="56">
        <f>SUMIFS(tblActuals35415[Team 2 Goals],tblActuals35415[Team 2],$CU7,tblActuals35415[Team 1],GA$3)+SUMIFS(tblActuals35415[Team 1 Goals],tblActuals35415[Team 1],$CU7,tblActuals35415[Team 2],GA$3)</f>
        <v>0</v>
      </c>
      <c r="GB7" s="56">
        <f>SUMIFS(tblActuals35415[Team 2 Goals],tblActuals35415[Team 2],$CU7,tblActuals35415[Team 1],GB$3)+SUMIFS(tblActuals35415[Team 1 Goals],tblActuals35415[Team 1],$CU7,tblActuals35415[Team 2],GB$3)</f>
        <v>0</v>
      </c>
      <c r="GC7" s="56">
        <f>SUMIFS(tblActuals35415[Team 2 Goals],tblActuals35415[Team 2],$CU7,tblActuals35415[Team 1],GC$3)+SUMIFS(tblActuals35415[Team 1 Goals],tblActuals35415[Team 1],$CU7,tblActuals35415[Team 2],GC$3)</f>
        <v>0</v>
      </c>
      <c r="GD7" s="56">
        <f>SUMIFS(tblActuals35415[Team 2 Goals],tblActuals35415[Team 2],$CU7,tblActuals35415[Team 1],GD$3)+SUMIFS(tblActuals35415[Team 1 Goals],tblActuals35415[Team 1],$CU7,tblActuals35415[Team 2],GD$3)</f>
        <v>0</v>
      </c>
      <c r="GE7" s="56">
        <f>SUMIFS(tblActuals35415[Team 2 Goals],tblActuals35415[Team 2],$CU7,tblActuals35415[Team 1],GE$3)+SUMIFS(tblActuals35415[Team 1 Goals],tblActuals35415[Team 1],$CU7,tblActuals35415[Team 2],GE$3)</f>
        <v>0</v>
      </c>
      <c r="GF7" s="56">
        <f>SUMIFS(tblActuals35415[Team 2 Goals],tblActuals35415[Team 2],$CU7,tblActuals35415[Team 1],GF$3)+SUMIFS(tblActuals35415[Team 1 Goals],tblActuals35415[Team 1],$CU7,tblActuals35415[Team 2],GF$3)</f>
        <v>0</v>
      </c>
      <c r="GG7" s="56">
        <f>SUMIFS(tblActuals35415[Team 2 Goals],tblActuals35415[Team 2],$CU7,tblActuals35415[Team 1],GG$3)+SUMIFS(tblActuals35415[Team 1 Goals],tblActuals35415[Team 1],$CU7,tblActuals35415[Team 2],GG$3)</f>
        <v>0</v>
      </c>
      <c r="GH7" s="56">
        <f>SUMIFS(tblActuals35415[Team 2 Goals],tblActuals35415[Team 2],$CU7,tblActuals35415[Team 1],GH$3)+SUMIFS(tblActuals35415[Team 1 Goals],tblActuals35415[Team 1],$CU7,tblActuals35415[Team 2],GH$3)</f>
        <v>0</v>
      </c>
      <c r="GI7" s="56">
        <f>SUMIFS(tblActuals35415[Team 2 Goals],tblActuals35415[Team 2],$CU7,tblActuals35415[Team 1],GI$3)+SUMIFS(tblActuals35415[Team 1 Goals],tblActuals35415[Team 1],$CU7,tblActuals35415[Team 2],GI$3)</f>
        <v>0</v>
      </c>
      <c r="GJ7" s="57"/>
      <c r="GK7" s="57"/>
      <c r="GL7" s="37"/>
      <c r="GM7" s="37"/>
      <c r="GN7" s="37"/>
      <c r="GO7" s="37"/>
      <c r="GP7" s="37"/>
      <c r="GQ7" s="37"/>
      <c r="GR7" s="75"/>
      <c r="GS7" s="156"/>
      <c r="GT7" s="156"/>
      <c r="GU7" s="75"/>
      <c r="GV7" s="22"/>
      <c r="GW7" s="75"/>
      <c r="GX7" s="75"/>
      <c r="GY7" s="75"/>
      <c r="GZ7" s="75"/>
      <c r="HB7" s="4" t="str">
        <f t="shared" si="12"/>
        <v>ABCF</v>
      </c>
      <c r="HC7" s="44" t="s">
        <v>1</v>
      </c>
      <c r="HD7" s="44" t="s">
        <v>5</v>
      </c>
      <c r="HE7" s="44" t="s">
        <v>6</v>
      </c>
      <c r="HF7" s="45"/>
      <c r="HG7" s="45"/>
      <c r="HH7" s="44" t="s">
        <v>45</v>
      </c>
      <c r="HI7" s="178"/>
      <c r="HJ7" s="45" t="s">
        <v>149</v>
      </c>
      <c r="HK7" s="45" t="s">
        <v>154</v>
      </c>
      <c r="HL7" s="45" t="s">
        <v>151</v>
      </c>
      <c r="HM7" s="45" t="s">
        <v>152</v>
      </c>
    </row>
    <row r="8" spans="1:221" s="11" customFormat="1" ht="30" customHeight="1" x14ac:dyDescent="0.2">
      <c r="A8" s="30" t="s">
        <v>49</v>
      </c>
      <c r="B8" s="122">
        <v>5</v>
      </c>
      <c r="C8" s="122" t="s">
        <v>6</v>
      </c>
      <c r="D8" s="123">
        <v>45459</v>
      </c>
      <c r="E8" s="122" t="s">
        <v>82</v>
      </c>
      <c r="F8" s="124">
        <v>0.875</v>
      </c>
      <c r="G8" s="125">
        <f t="shared" si="11"/>
        <v>45459.625</v>
      </c>
      <c r="H8" s="122" t="s">
        <v>93</v>
      </c>
      <c r="I8" s="126"/>
      <c r="J8" s="118"/>
      <c r="K8" s="118"/>
      <c r="L8" s="174">
        <f>IF(I8="",0,IFERROR(IF(SCORING.RULES!$C$8="No",1,((VLOOKUP($B8,ACTUALS!$B$4:$L$100,7,FALSE)=$H8)+(VLOOKUP($B8,ACTUALS!$B$4:$L$100,7,FALSE)=S8)))*(M8+N8+O8+P8+Q8),0))+$R8</f>
        <v>0</v>
      </c>
      <c r="M8" s="168">
        <f>IFERROR(IF($B8="","",IF(U8=INDEX(ACTUALS!$AA$4:$AA$100,MATCH($B8,ACTUALS!$B$4:$B$100,0),1),CorrectScore,0)),0)</f>
        <v>0</v>
      </c>
      <c r="N8" s="157" t="str">
        <f>IFERROR(IF(I8="","",IF(INDEX(ACTUALS!$AB$4:$AB$100,MATCH($B8,ACTUALS!$B$4:$B$100,0),1)=(AB8+AC8+AH8+AI8),CorrectNumberofGoals,0)),0)</f>
        <v/>
      </c>
      <c r="O8" s="157"/>
      <c r="P8" s="157">
        <f>IFERROR(IF(B8="","",IF(INDEX(ACTUALS!$L$4:$L$100,MATCH($B8,ACTUALS!$B$4:$B$100,0),1)=W8,CorrectResult,0)),0)</f>
        <v>3</v>
      </c>
      <c r="Q8" s="157"/>
      <c r="R8" s="157"/>
      <c r="S8" s="157" t="str">
        <f t="shared" si="0"/>
        <v/>
      </c>
      <c r="T8" s="157"/>
      <c r="U8" s="157" t="str">
        <f t="shared" si="1"/>
        <v/>
      </c>
      <c r="V8" s="157" t="str">
        <f t="shared" si="2"/>
        <v/>
      </c>
      <c r="W8" s="119" t="str">
        <f>IF(tblActuals35415[[#This Row],[SCORE]]="","",IF(AB8=AC8,"Draw",IF(AB8&gt;AC8,X8,Y8)))</f>
        <v/>
      </c>
      <c r="X8" s="120" t="str">
        <f>IF(tblActuals35415[[#This Row],[TEAMS]]="","",LEFT(H8,FIND(" -",H8,1)-1))</f>
        <v>Serbia</v>
      </c>
      <c r="Y8" s="120" t="str">
        <f>IF(tblActuals35415[[#This Row],[TEAMS]]="","",MID(H8,FIND("-",H8,1)+2,LEN(H8)-FIND("-",H8,1)+2))</f>
        <v>England</v>
      </c>
      <c r="Z8" s="120" t="str">
        <f>IF(tblActuals35415[[#This Row],[Team 1 Goals]]&gt;tblActuals35415[[#This Row],[Team 2 Goals]],tblActuals35415[[#This Row],[Team 1]],IF(tblActuals35415[[#This Row],[Team 2 Goals]]&gt;tblActuals35415[[#This Row],[Team 1 Goals]],tblActuals35415[[#This Row],[Team 2]],""))</f>
        <v/>
      </c>
      <c r="AA8" s="120" t="str">
        <f>IF(tblActuals35415[[#This Row],[Winner]]=tblActuals35415[[#This Row],[Team 1]],tblActuals35415[[#This Row],[Team 2]],IF(tblActuals35415[[#This Row],[Winner]]=tblActuals35415[[#This Row],[Team 2]],tblActuals35415[[#This Row],[Team 1]],""))</f>
        <v/>
      </c>
      <c r="AB8" s="120" t="str">
        <f>IF(tblActuals35415[[#This Row],[SCORE]]="","",LEFT(I8,FIND(":",I8,1)-1)*1)</f>
        <v/>
      </c>
      <c r="AC8" s="120" t="str">
        <f>IF(tblActuals35415[[#This Row],[SCORE]]="","",MID(I8,FIND(":",I8,1)+1,LEN(I8)-FIND(":",I8,1)+1)*1)</f>
        <v/>
      </c>
      <c r="AD8" s="120" t="str">
        <f>IF(OR(tblActuals35415[[#This Row],[Team 1 Goals]]="",tblActuals35415[[#This Row],[Team 2 Goals]]=""),"",tblActuals35415[[#This Row],[Team 1 Goals]]-tblActuals35415[[#This Row],[Team 2 Goals]])</f>
        <v/>
      </c>
      <c r="AE8" s="120" t="str">
        <f>IF(OR(tblActuals35415[[#This Row],[Team 1 Goals]]="",tblActuals35415[[#This Row],[Team 2 Goals]]=""),"",tblActuals35415[[#This Row],[Team 2 Goals]]-tblActuals35415[[#This Row],[Team 1 Goals]])</f>
        <v/>
      </c>
      <c r="AF8" s="120" t="str">
        <f>IF(tblActuals35415[[#This Row],[SCORE]]="","",IF(tblActuals35415[[#This Row],[WINNER / RESULT]]="Draw",1,IF(tblActuals35415[[#This Row],[WINNER / RESULT]]=tblActuals35415[[#This Row],[Team 1]],3,0)))</f>
        <v/>
      </c>
      <c r="AG8" s="120" t="str">
        <f>IF(tblActuals35415[[#This Row],[SCORE]]="","",IF(tblActuals35415[[#This Row],[WINNER / RESULT]]="Draw",1,IF(tblActuals35415[[#This Row],[WINNER / RESULT]]=tblActuals35415[[#This Row],[Team 2]],3,0)))</f>
        <v/>
      </c>
      <c r="AH8" s="121"/>
      <c r="AI8" s="121"/>
      <c r="AJ8" s="121"/>
      <c r="AK8" s="121"/>
      <c r="AL8" s="120" t="e">
        <f>tblActuals35415[[#This Row],[Team 1 Goals]]+tblActuals35415[[#This Row],[Team 1 ET Goals]]&amp;":"&amp;tblActuals35415[[#This Row],[Team 2 Goals]]+tblActuals35415[[#This Row],[Team 2 ET Goals]]</f>
        <v>#VALUE!</v>
      </c>
      <c r="AM8" s="120" t="e">
        <f>+tblActuals35415[[#This Row],[Team 1 Goals]]+tblActuals35415[[#This Row],[Team 2 Goals]]</f>
        <v>#VALUE!</v>
      </c>
      <c r="AN8" s="161">
        <f t="shared" si="3"/>
        <v>45459</v>
      </c>
      <c r="AP8" s="38" t="s">
        <v>85</v>
      </c>
      <c r="AT8" s="77" t="s">
        <v>1</v>
      </c>
      <c r="AU8" s="142">
        <v>3</v>
      </c>
      <c r="AV8" s="143" t="str">
        <f ca="1">IFERROR(INDEX(BD:BD,MATCH("3"&amp;AT8,BN:BN,0),1),"")</f>
        <v>Scotland</v>
      </c>
      <c r="AW8" s="143" t="str">
        <f ca="1">IF(AV8="","",VLOOKUP(AV8,BD:BI,2,FALSE)&amp;"-"&amp;VLOOKUP(AV8,BD:BI,3,FALSE)&amp;"-"&amp;VLOOKUP(AV8,BD:BI,4,FALSE))</f>
        <v>0-0-0</v>
      </c>
      <c r="AX8" s="143">
        <f ca="1">IF(AV8="","",VLOOKUP(AV8,BD:BK,8,FALSE))</f>
        <v>0</v>
      </c>
      <c r="AY8" s="144">
        <f ca="1">IF(AV8="","",VLOOKUP(AV8,BD:BN,5,FALSE))</f>
        <v>0</v>
      </c>
      <c r="AZ8" s="75" t="str">
        <f ca="1">IF(INDEX($AU$43:$AU$48,MATCH(AV8,$AV$43:$AV$48,0),1)&lt;=4,"X","")</f>
        <v/>
      </c>
      <c r="BA8" s="42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 t="str">
        <f t="shared" si="4"/>
        <v/>
      </c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 t="s">
        <v>12</v>
      </c>
      <c r="CB8" s="4" t="str">
        <f ca="1">AV32</f>
        <v>Slovakia</v>
      </c>
      <c r="CC8" s="4">
        <f t="shared" ca="1" si="5"/>
        <v>0</v>
      </c>
      <c r="CD8" s="4">
        <f t="shared" ca="1" si="6"/>
        <v>0</v>
      </c>
      <c r="CE8" s="4">
        <f t="shared" ca="1" si="7"/>
        <v>0</v>
      </c>
      <c r="CF8" s="4">
        <f t="shared" ca="1" si="8"/>
        <v>0</v>
      </c>
      <c r="CG8" s="4">
        <f t="shared" ca="1" si="9"/>
        <v>7.9999999999999996E-7</v>
      </c>
      <c r="CH8" s="4">
        <f t="shared" ca="1" si="10"/>
        <v>2</v>
      </c>
      <c r="CI8" s="4"/>
      <c r="CJ8" s="4"/>
      <c r="CK8" s="4"/>
      <c r="CL8" s="4"/>
      <c r="CM8" s="4"/>
      <c r="CN8" s="4"/>
      <c r="CO8" s="4"/>
      <c r="CP8" s="4"/>
      <c r="CQ8" s="4"/>
      <c r="CR8" s="4"/>
      <c r="CU8" s="4" t="s">
        <v>28</v>
      </c>
      <c r="CV8" s="56">
        <f>SUMIFS(tblActuals35415[Team 2 Points],tblActuals35415[Team 2],$CU8,tblActuals35415[Team 1],CV$3)+SUMIFS(tblActuals35415[Team 1 Points],tblActuals35415[Team 1],$CU8,tblActuals35415[Team 2],CV$3)</f>
        <v>0</v>
      </c>
      <c r="CW8" s="56">
        <f>SUMIFS(tblActuals35415[Team 2 Points],tblActuals35415[Team 2],$CU8,tblActuals35415[Team 1],CW$3)+SUMIFS(tblActuals35415[Team 1 Points],tblActuals35415[Team 1],$CU8,tblActuals35415[Team 2],CW$3)</f>
        <v>0</v>
      </c>
      <c r="CX8" s="56">
        <f>SUMIFS(tblActuals35415[Team 2 Points],tblActuals35415[Team 2],$CU8,tblActuals35415[Team 1],CX$3)+SUMIFS(tblActuals35415[Team 1 Points],tblActuals35415[Team 1],$CU8,tblActuals35415[Team 2],CX$3)</f>
        <v>0</v>
      </c>
      <c r="CY8" s="56">
        <f>SUMIFS(tblActuals35415[Team 2 Points],tblActuals35415[Team 2],$CU8,tblActuals35415[Team 1],CY$3)+SUMIFS(tblActuals35415[Team 1 Points],tblActuals35415[Team 1],$CU8,tblActuals35415[Team 2],CY$3)</f>
        <v>0</v>
      </c>
      <c r="CZ8" s="56">
        <f>SUMIFS(tblActuals35415[Team 2 Points],tblActuals35415[Team 2],$CU8,tblActuals35415[Team 1],CZ$3)+SUMIFS(tblActuals35415[Team 1 Points],tblActuals35415[Team 1],$CU8,tblActuals35415[Team 2],CZ$3)</f>
        <v>0</v>
      </c>
      <c r="DA8" s="56">
        <f>SUMIFS(tblActuals35415[Team 2 Points],tblActuals35415[Team 2],$CU8,tblActuals35415[Team 1],DA$3)+SUMIFS(tblActuals35415[Team 1 Points],tblActuals35415[Team 1],$CU8,tblActuals35415[Team 2],DA$3)</f>
        <v>0</v>
      </c>
      <c r="DB8" s="56">
        <f>SUMIFS(tblActuals35415[Team 2 Points],tblActuals35415[Team 2],$CU8,tblActuals35415[Team 1],DB$3)+SUMIFS(tblActuals35415[Team 1 Points],tblActuals35415[Team 1],$CU8,tblActuals35415[Team 2],DB$3)</f>
        <v>0</v>
      </c>
      <c r="DC8" s="56">
        <f>SUMIFS(tblActuals35415[Team 2 Points],tblActuals35415[Team 2],$CU8,tblActuals35415[Team 1],DC$3)+SUMIFS(tblActuals35415[Team 1 Points],tblActuals35415[Team 1],$CU8,tblActuals35415[Team 2],DC$3)</f>
        <v>0</v>
      </c>
      <c r="DD8" s="56">
        <f>SUMIFS(tblActuals35415[Team 2 Points],tblActuals35415[Team 2],$CU8,tblActuals35415[Team 1],DD$3)+SUMIFS(tblActuals35415[Team 1 Points],tblActuals35415[Team 1],$CU8,tblActuals35415[Team 2],DD$3)</f>
        <v>0</v>
      </c>
      <c r="DE8" s="56">
        <f>SUMIFS(tblActuals35415[Team 2 Points],tblActuals35415[Team 2],$CU8,tblActuals35415[Team 1],DE$3)+SUMIFS(tblActuals35415[Team 1 Points],tblActuals35415[Team 1],$CU8,tblActuals35415[Team 2],DE$3)</f>
        <v>0</v>
      </c>
      <c r="DF8" s="56">
        <f>SUMIFS(tblActuals35415[Team 2 Points],tblActuals35415[Team 2],$CU8,tblActuals35415[Team 1],DF$3)+SUMIFS(tblActuals35415[Team 1 Points],tblActuals35415[Team 1],$CU8,tblActuals35415[Team 2],DF$3)</f>
        <v>0</v>
      </c>
      <c r="DG8" s="56">
        <f>SUMIFS(tblActuals35415[Team 2 Points],tblActuals35415[Team 2],$CU8,tblActuals35415[Team 1],DG$3)+SUMIFS(tblActuals35415[Team 1 Points],tblActuals35415[Team 1],$CU8,tblActuals35415[Team 2],DG$3)</f>
        <v>0</v>
      </c>
      <c r="DH8" s="56">
        <f>SUMIFS(tblActuals35415[Team 2 Points],tblActuals35415[Team 2],$CU8,tblActuals35415[Team 1],DH$3)+SUMIFS(tblActuals35415[Team 1 Points],tblActuals35415[Team 1],$CU8,tblActuals35415[Team 2],DH$3)</f>
        <v>0</v>
      </c>
      <c r="DI8" s="56">
        <f>SUMIFS(tblActuals35415[Team 2 Points],tblActuals35415[Team 2],$CU8,tblActuals35415[Team 1],DI$3)+SUMIFS(tblActuals35415[Team 1 Points],tblActuals35415[Team 1],$CU8,tblActuals35415[Team 2],DI$3)</f>
        <v>0</v>
      </c>
      <c r="DJ8" s="56">
        <f>SUMIFS(tblActuals35415[Team 2 Points],tblActuals35415[Team 2],$CU8,tblActuals35415[Team 1],DJ$3)+SUMIFS(tblActuals35415[Team 1 Points],tblActuals35415[Team 1],$CU8,tblActuals35415[Team 2],DJ$3)</f>
        <v>0</v>
      </c>
      <c r="DK8" s="56">
        <f>SUMIFS(tblActuals35415[Team 2 Points],tblActuals35415[Team 2],$CU8,tblActuals35415[Team 1],DK$3)+SUMIFS(tblActuals35415[Team 1 Points],tblActuals35415[Team 1],$CU8,tblActuals35415[Team 2],DK$3)</f>
        <v>0</v>
      </c>
      <c r="DL8" s="56">
        <f>SUMIFS(tblActuals35415[Team 2 Points],tblActuals35415[Team 2],$CU8,tblActuals35415[Team 1],DL$3)+SUMIFS(tblActuals35415[Team 1 Points],tblActuals35415[Team 1],$CU8,tblActuals35415[Team 2],DL$3)</f>
        <v>0</v>
      </c>
      <c r="DM8" s="56">
        <f>SUMIFS(tblActuals35415[Team 2 Points],tblActuals35415[Team 2],$CU8,tblActuals35415[Team 1],DM$3)+SUMIFS(tblActuals35415[Team 1 Points],tblActuals35415[Team 1],$CU8,tblActuals35415[Team 2],DM$3)</f>
        <v>0</v>
      </c>
      <c r="DN8" s="56">
        <f>SUMIFS(tblActuals35415[Team 2 Points],tblActuals35415[Team 2],$CU8,tblActuals35415[Team 1],DN$3)+SUMIFS(tblActuals35415[Team 1 Points],tblActuals35415[Team 1],$CU8,tblActuals35415[Team 2],DN$3)</f>
        <v>0</v>
      </c>
      <c r="DO8" s="56">
        <f>SUMIFS(tblActuals35415[Team 2 Points],tblActuals35415[Team 2],$CU8,tblActuals35415[Team 1],DO$3)+SUMIFS(tblActuals35415[Team 1 Points],tblActuals35415[Team 1],$CU8,tblActuals35415[Team 2],DO$3)</f>
        <v>0</v>
      </c>
      <c r="DP8" s="56">
        <f>SUMIFS(tblActuals35415[Team 2 Points],tblActuals35415[Team 2],$CU8,tblActuals35415[Team 1],DP$3)+SUMIFS(tblActuals35415[Team 1 Points],tblActuals35415[Team 1],$CU8,tblActuals35415[Team 2],DP$3)</f>
        <v>0</v>
      </c>
      <c r="DQ8" s="56">
        <f>SUMIFS(tblActuals35415[Team 2 Points],tblActuals35415[Team 2],$CU8,tblActuals35415[Team 1],DQ$3)+SUMIFS(tblActuals35415[Team 1 Points],tblActuals35415[Team 1],$CU8,tblActuals35415[Team 2],DQ$3)</f>
        <v>0</v>
      </c>
      <c r="DR8" s="56">
        <f>SUMIFS(tblActuals35415[Team 2 Points],tblActuals35415[Team 2],$CU8,tblActuals35415[Team 1],DR$3)+SUMIFS(tblActuals35415[Team 1 Points],tblActuals35415[Team 1],$CU8,tblActuals35415[Team 2],DR$3)</f>
        <v>0</v>
      </c>
      <c r="DS8" s="56">
        <f>SUMIFS(tblActuals35415[Team 2 Points],tblActuals35415[Team 2],$CU8,tblActuals35415[Team 1],DS$3)+SUMIFS(tblActuals35415[Team 1 Points],tblActuals35415[Team 1],$CU8,tblActuals35415[Team 2],DS$3)</f>
        <v>0</v>
      </c>
      <c r="DT8" s="57"/>
      <c r="DU8" s="57"/>
      <c r="DV8" s="57"/>
      <c r="DW8" s="57"/>
      <c r="DX8" s="57"/>
      <c r="DY8" s="57"/>
      <c r="DZ8" s="57"/>
      <c r="EA8" s="57"/>
      <c r="EB8" s="4"/>
      <c r="EC8" s="4" t="s">
        <v>28</v>
      </c>
      <c r="ED8" s="56">
        <f>SUMIFS(tblActuals35415[Team 2 GD],tblActuals35415[Team 2],$CU8,tblActuals35415[Team 1],ED$3)+SUMIFS(tblActuals35415[Team 1 GD],tblActuals35415[Team 1],$CU8,tblActuals35415[Team 2],ED$3)</f>
        <v>0</v>
      </c>
      <c r="EE8" s="56">
        <f>SUMIFS(tblActuals35415[Team 2 GD],tblActuals35415[Team 2],$CU8,tblActuals35415[Team 1],EE$3)+SUMIFS(tblActuals35415[Team 1 GD],tblActuals35415[Team 1],$CU8,tblActuals35415[Team 2],EE$3)</f>
        <v>0</v>
      </c>
      <c r="EF8" s="56">
        <f>SUMIFS(tblActuals35415[Team 2 GD],tblActuals35415[Team 2],$CU8,tblActuals35415[Team 1],EF$3)+SUMIFS(tblActuals35415[Team 1 GD],tblActuals35415[Team 1],$CU8,tblActuals35415[Team 2],EF$3)</f>
        <v>0</v>
      </c>
      <c r="EG8" s="56">
        <f>SUMIFS(tblActuals35415[Team 2 GD],tblActuals35415[Team 2],$CU8,tblActuals35415[Team 1],EG$3)+SUMIFS(tblActuals35415[Team 1 GD],tblActuals35415[Team 1],$CU8,tblActuals35415[Team 2],EG$3)</f>
        <v>0</v>
      </c>
      <c r="EH8" s="56">
        <f>SUMIFS(tblActuals35415[Team 2 GD],tblActuals35415[Team 2],$CU8,tblActuals35415[Team 1],EH$3)+SUMIFS(tblActuals35415[Team 1 GD],tblActuals35415[Team 1],$CU8,tblActuals35415[Team 2],EH$3)</f>
        <v>0</v>
      </c>
      <c r="EI8" s="56">
        <f>SUMIFS(tblActuals35415[Team 2 GD],tblActuals35415[Team 2],$CU8,tblActuals35415[Team 1],EI$3)+SUMIFS(tblActuals35415[Team 1 GD],tblActuals35415[Team 1],$CU8,tblActuals35415[Team 2],EI$3)</f>
        <v>0</v>
      </c>
      <c r="EJ8" s="56">
        <f>SUMIFS(tblActuals35415[Team 2 GD],tblActuals35415[Team 2],$CU8,tblActuals35415[Team 1],EJ$3)+SUMIFS(tblActuals35415[Team 1 GD],tblActuals35415[Team 1],$CU8,tblActuals35415[Team 2],EJ$3)</f>
        <v>0</v>
      </c>
      <c r="EK8" s="56">
        <f>SUMIFS(tblActuals35415[Team 2 GD],tblActuals35415[Team 2],$CU8,tblActuals35415[Team 1],EK$3)+SUMIFS(tblActuals35415[Team 1 GD],tblActuals35415[Team 1],$CU8,tblActuals35415[Team 2],EK$3)</f>
        <v>0</v>
      </c>
      <c r="EL8" s="56">
        <f>SUMIFS(tblActuals35415[Team 2 GD],tblActuals35415[Team 2],$CU8,tblActuals35415[Team 1],EL$3)+SUMIFS(tblActuals35415[Team 1 GD],tblActuals35415[Team 1],$CU8,tblActuals35415[Team 2],EL$3)</f>
        <v>0</v>
      </c>
      <c r="EM8" s="56">
        <f>SUMIFS(tblActuals35415[Team 2 GD],tblActuals35415[Team 2],$CU8,tblActuals35415[Team 1],EM$3)+SUMIFS(tblActuals35415[Team 1 GD],tblActuals35415[Team 1],$CU8,tblActuals35415[Team 2],EM$3)</f>
        <v>0</v>
      </c>
      <c r="EN8" s="56">
        <f>SUMIFS(tblActuals35415[Team 2 GD],tblActuals35415[Team 2],$CU8,tblActuals35415[Team 1],EN$3)+SUMIFS(tblActuals35415[Team 1 GD],tblActuals35415[Team 1],$CU8,tblActuals35415[Team 2],EN$3)</f>
        <v>0</v>
      </c>
      <c r="EO8" s="56">
        <f>SUMIFS(tblActuals35415[Team 2 GD],tblActuals35415[Team 2],$CU8,tblActuals35415[Team 1],EO$3)+SUMIFS(tblActuals35415[Team 1 GD],tblActuals35415[Team 1],$CU8,tblActuals35415[Team 2],EO$3)</f>
        <v>0</v>
      </c>
      <c r="EP8" s="56">
        <f>SUMIFS(tblActuals35415[Team 2 GD],tblActuals35415[Team 2],$CU8,tblActuals35415[Team 1],EP$3)+SUMIFS(tblActuals35415[Team 1 GD],tblActuals35415[Team 1],$CU8,tblActuals35415[Team 2],EP$3)</f>
        <v>0</v>
      </c>
      <c r="EQ8" s="56">
        <f>SUMIFS(tblActuals35415[Team 2 GD],tblActuals35415[Team 2],$CU8,tblActuals35415[Team 1],EQ$3)+SUMIFS(tblActuals35415[Team 1 GD],tblActuals35415[Team 1],$CU8,tblActuals35415[Team 2],EQ$3)</f>
        <v>0</v>
      </c>
      <c r="ER8" s="56">
        <f>SUMIFS(tblActuals35415[Team 2 GD],tblActuals35415[Team 2],$CU8,tblActuals35415[Team 1],ER$3)+SUMIFS(tblActuals35415[Team 1 GD],tblActuals35415[Team 1],$CU8,tblActuals35415[Team 2],ER$3)</f>
        <v>0</v>
      </c>
      <c r="ES8" s="56">
        <f>SUMIFS(tblActuals35415[Team 2 GD],tblActuals35415[Team 2],$CU8,tblActuals35415[Team 1],ES$3)+SUMIFS(tblActuals35415[Team 1 GD],tblActuals35415[Team 1],$CU8,tblActuals35415[Team 2],ES$3)</f>
        <v>0</v>
      </c>
      <c r="ET8" s="56">
        <f>SUMIFS(tblActuals35415[Team 2 GD],tblActuals35415[Team 2],$CU8,tblActuals35415[Team 1],ET$3)+SUMIFS(tblActuals35415[Team 1 GD],tblActuals35415[Team 1],$CU8,tblActuals35415[Team 2],ET$3)</f>
        <v>0</v>
      </c>
      <c r="EU8" s="56">
        <f>SUMIFS(tblActuals35415[Team 2 GD],tblActuals35415[Team 2],$CU8,tblActuals35415[Team 1],EU$3)+SUMIFS(tblActuals35415[Team 1 GD],tblActuals35415[Team 1],$CU8,tblActuals35415[Team 2],EU$3)</f>
        <v>0</v>
      </c>
      <c r="EV8" s="56">
        <f>SUMIFS(tblActuals35415[Team 2 GD],tblActuals35415[Team 2],$CU8,tblActuals35415[Team 1],EV$3)+SUMIFS(tblActuals35415[Team 1 GD],tblActuals35415[Team 1],$CU8,tblActuals35415[Team 2],EV$3)</f>
        <v>0</v>
      </c>
      <c r="EW8" s="56">
        <f>SUMIFS(tblActuals35415[Team 2 GD],tblActuals35415[Team 2],$CU8,tblActuals35415[Team 1],EW$3)+SUMIFS(tblActuals35415[Team 1 GD],tblActuals35415[Team 1],$CU8,tblActuals35415[Team 2],EW$3)</f>
        <v>0</v>
      </c>
      <c r="EX8" s="56">
        <f>SUMIFS(tblActuals35415[Team 2 GD],tblActuals35415[Team 2],$CU8,tblActuals35415[Team 1],EX$3)+SUMIFS(tblActuals35415[Team 1 GD],tblActuals35415[Team 1],$CU8,tblActuals35415[Team 2],EX$3)</f>
        <v>0</v>
      </c>
      <c r="EY8" s="56">
        <f>SUMIFS(tblActuals35415[Team 2 GD],tblActuals35415[Team 2],$CU8,tblActuals35415[Team 1],EY$3)+SUMIFS(tblActuals35415[Team 1 GD],tblActuals35415[Team 1],$CU8,tblActuals35415[Team 2],EY$3)</f>
        <v>0</v>
      </c>
      <c r="EZ8" s="56">
        <f>SUMIFS(tblActuals35415[Team 2 GD],tblActuals35415[Team 2],$CU8,tblActuals35415[Team 1],EZ$3)+SUMIFS(tblActuals35415[Team 1 GD],tblActuals35415[Team 1],$CU8,tblActuals35415[Team 2],EZ$3)</f>
        <v>0</v>
      </c>
      <c r="FA8" s="56">
        <f>SUMIFS(tblActuals35415[Team 2 GD],tblActuals35415[Team 2],$CU8,tblActuals35415[Team 1],FA$3)+SUMIFS(tblActuals35415[Team 1 GD],tblActuals35415[Team 1],$CU8,tblActuals35415[Team 2],FA$3)</f>
        <v>0</v>
      </c>
      <c r="FB8" s="57"/>
      <c r="FC8" s="57"/>
      <c r="FD8" s="57"/>
      <c r="FE8" s="57"/>
      <c r="FF8" s="57"/>
      <c r="FG8" s="57"/>
      <c r="FH8" s="57"/>
      <c r="FI8" s="57"/>
      <c r="FJ8" s="4"/>
      <c r="FK8" s="4" t="s">
        <v>28</v>
      </c>
      <c r="FL8" s="56">
        <f>SUMIFS(tblActuals35415[Team 2 Goals],tblActuals35415[Team 2],$CU8,tblActuals35415[Team 1],FL$3)+SUMIFS(tblActuals35415[Team 1 Goals],tblActuals35415[Team 1],$CU8,tblActuals35415[Team 2],FL$3)</f>
        <v>0</v>
      </c>
      <c r="FM8" s="56">
        <f>SUMIFS(tblActuals35415[Team 2 Goals],tblActuals35415[Team 2],$CU8,tblActuals35415[Team 1],FM$3)+SUMIFS(tblActuals35415[Team 1 Goals],tblActuals35415[Team 1],$CU8,tblActuals35415[Team 2],FM$3)</f>
        <v>0</v>
      </c>
      <c r="FN8" s="56">
        <f>SUMIFS(tblActuals35415[Team 2 Goals],tblActuals35415[Team 2],$CU8,tblActuals35415[Team 1],FN$3)+SUMIFS(tblActuals35415[Team 1 Goals],tblActuals35415[Team 1],$CU8,tblActuals35415[Team 2],FN$3)</f>
        <v>0</v>
      </c>
      <c r="FO8" s="56">
        <f>SUMIFS(tblActuals35415[Team 2 Goals],tblActuals35415[Team 2],$CU8,tblActuals35415[Team 1],FO$3)+SUMIFS(tblActuals35415[Team 1 Goals],tblActuals35415[Team 1],$CU8,tblActuals35415[Team 2],FO$3)</f>
        <v>0</v>
      </c>
      <c r="FP8" s="56">
        <f>SUMIFS(tblActuals35415[Team 2 Goals],tblActuals35415[Team 2],$CU8,tblActuals35415[Team 1],FP$3)+SUMIFS(tblActuals35415[Team 1 Goals],tblActuals35415[Team 1],$CU8,tblActuals35415[Team 2],FP$3)</f>
        <v>0</v>
      </c>
      <c r="FQ8" s="56">
        <f>SUMIFS(tblActuals35415[Team 2 Goals],tblActuals35415[Team 2],$CU8,tblActuals35415[Team 1],FQ$3)+SUMIFS(tblActuals35415[Team 1 Goals],tblActuals35415[Team 1],$CU8,tblActuals35415[Team 2],FQ$3)</f>
        <v>0</v>
      </c>
      <c r="FR8" s="56">
        <f>SUMIFS(tblActuals35415[Team 2 Goals],tblActuals35415[Team 2],$CU8,tblActuals35415[Team 1],FR$3)+SUMIFS(tblActuals35415[Team 1 Goals],tblActuals35415[Team 1],$CU8,tblActuals35415[Team 2],FR$3)</f>
        <v>0</v>
      </c>
      <c r="FS8" s="56">
        <f>SUMIFS(tblActuals35415[Team 2 Goals],tblActuals35415[Team 2],$CU8,tblActuals35415[Team 1],FS$3)+SUMIFS(tblActuals35415[Team 1 Goals],tblActuals35415[Team 1],$CU8,tblActuals35415[Team 2],FS$3)</f>
        <v>0</v>
      </c>
      <c r="FT8" s="56">
        <f>SUMIFS(tblActuals35415[Team 2 Goals],tblActuals35415[Team 2],$CU8,tblActuals35415[Team 1],FT$3)+SUMIFS(tblActuals35415[Team 1 Goals],tblActuals35415[Team 1],$CU8,tblActuals35415[Team 2],FT$3)</f>
        <v>0</v>
      </c>
      <c r="FU8" s="56">
        <f>SUMIFS(tblActuals35415[Team 2 Goals],tblActuals35415[Team 2],$CU8,tblActuals35415[Team 1],FU$3)+SUMIFS(tblActuals35415[Team 1 Goals],tblActuals35415[Team 1],$CU8,tblActuals35415[Team 2],FU$3)</f>
        <v>0</v>
      </c>
      <c r="FV8" s="56">
        <f>SUMIFS(tblActuals35415[Team 2 Goals],tblActuals35415[Team 2],$CU8,tblActuals35415[Team 1],FV$3)+SUMIFS(tblActuals35415[Team 1 Goals],tblActuals35415[Team 1],$CU8,tblActuals35415[Team 2],FV$3)</f>
        <v>0</v>
      </c>
      <c r="FW8" s="56">
        <f>SUMIFS(tblActuals35415[Team 2 Goals],tblActuals35415[Team 2],$CU8,tblActuals35415[Team 1],FW$3)+SUMIFS(tblActuals35415[Team 1 Goals],tblActuals35415[Team 1],$CU8,tblActuals35415[Team 2],FW$3)</f>
        <v>0</v>
      </c>
      <c r="FX8" s="56">
        <f>SUMIFS(tblActuals35415[Team 2 Goals],tblActuals35415[Team 2],$CU8,tblActuals35415[Team 1],FX$3)+SUMIFS(tblActuals35415[Team 1 Goals],tblActuals35415[Team 1],$CU8,tblActuals35415[Team 2],FX$3)</f>
        <v>0</v>
      </c>
      <c r="FY8" s="56">
        <f>SUMIFS(tblActuals35415[Team 2 Goals],tblActuals35415[Team 2],$CU8,tblActuals35415[Team 1],FY$3)+SUMIFS(tblActuals35415[Team 1 Goals],tblActuals35415[Team 1],$CU8,tblActuals35415[Team 2],FY$3)</f>
        <v>0</v>
      </c>
      <c r="FZ8" s="56">
        <f>SUMIFS(tblActuals35415[Team 2 Goals],tblActuals35415[Team 2],$CU8,tblActuals35415[Team 1],FZ$3)+SUMIFS(tblActuals35415[Team 1 Goals],tblActuals35415[Team 1],$CU8,tblActuals35415[Team 2],FZ$3)</f>
        <v>0</v>
      </c>
      <c r="GA8" s="56">
        <f>SUMIFS(tblActuals35415[Team 2 Goals],tblActuals35415[Team 2],$CU8,tblActuals35415[Team 1],GA$3)+SUMIFS(tblActuals35415[Team 1 Goals],tblActuals35415[Team 1],$CU8,tblActuals35415[Team 2],GA$3)</f>
        <v>0</v>
      </c>
      <c r="GB8" s="56">
        <f>SUMIFS(tblActuals35415[Team 2 Goals],tblActuals35415[Team 2],$CU8,tblActuals35415[Team 1],GB$3)+SUMIFS(tblActuals35415[Team 1 Goals],tblActuals35415[Team 1],$CU8,tblActuals35415[Team 2],GB$3)</f>
        <v>0</v>
      </c>
      <c r="GC8" s="56">
        <f>SUMIFS(tblActuals35415[Team 2 Goals],tblActuals35415[Team 2],$CU8,tblActuals35415[Team 1],GC$3)+SUMIFS(tblActuals35415[Team 1 Goals],tblActuals35415[Team 1],$CU8,tblActuals35415[Team 2],GC$3)</f>
        <v>0</v>
      </c>
      <c r="GD8" s="56">
        <f>SUMIFS(tblActuals35415[Team 2 Goals],tblActuals35415[Team 2],$CU8,tblActuals35415[Team 1],GD$3)+SUMIFS(tblActuals35415[Team 1 Goals],tblActuals35415[Team 1],$CU8,tblActuals35415[Team 2],GD$3)</f>
        <v>0</v>
      </c>
      <c r="GE8" s="56">
        <f>SUMIFS(tblActuals35415[Team 2 Goals],tblActuals35415[Team 2],$CU8,tblActuals35415[Team 1],GE$3)+SUMIFS(tblActuals35415[Team 1 Goals],tblActuals35415[Team 1],$CU8,tblActuals35415[Team 2],GE$3)</f>
        <v>0</v>
      </c>
      <c r="GF8" s="56">
        <f>SUMIFS(tblActuals35415[Team 2 Goals],tblActuals35415[Team 2],$CU8,tblActuals35415[Team 1],GF$3)+SUMIFS(tblActuals35415[Team 1 Goals],tblActuals35415[Team 1],$CU8,tblActuals35415[Team 2],GF$3)</f>
        <v>0</v>
      </c>
      <c r="GG8" s="56">
        <f>SUMIFS(tblActuals35415[Team 2 Goals],tblActuals35415[Team 2],$CU8,tblActuals35415[Team 1],GG$3)+SUMIFS(tblActuals35415[Team 1 Goals],tblActuals35415[Team 1],$CU8,tblActuals35415[Team 2],GG$3)</f>
        <v>0</v>
      </c>
      <c r="GH8" s="56">
        <f>SUMIFS(tblActuals35415[Team 2 Goals],tblActuals35415[Team 2],$CU8,tblActuals35415[Team 1],GH$3)+SUMIFS(tblActuals35415[Team 1 Goals],tblActuals35415[Team 1],$CU8,tblActuals35415[Team 2],GH$3)</f>
        <v>0</v>
      </c>
      <c r="GI8" s="56">
        <f>SUMIFS(tblActuals35415[Team 2 Goals],tblActuals35415[Team 2],$CU8,tblActuals35415[Team 1],GI$3)+SUMIFS(tblActuals35415[Team 1 Goals],tblActuals35415[Team 1],$CU8,tblActuals35415[Team 2],GI$3)</f>
        <v>0</v>
      </c>
      <c r="GJ8" s="57"/>
      <c r="GK8" s="57"/>
      <c r="GL8" s="37"/>
      <c r="GM8" s="37"/>
      <c r="GN8" s="37"/>
      <c r="GO8" s="37"/>
      <c r="GP8" s="37"/>
      <c r="GQ8" s="37"/>
      <c r="GR8" s="75"/>
      <c r="GS8" s="156"/>
      <c r="GT8" s="156"/>
      <c r="GU8" s="75"/>
      <c r="GV8" s="22"/>
      <c r="GW8" s="75"/>
      <c r="GX8" s="75"/>
      <c r="GY8" s="75"/>
      <c r="GZ8" s="75"/>
      <c r="HB8" s="4" t="str">
        <f t="shared" si="12"/>
        <v>ABDE</v>
      </c>
      <c r="HC8" s="44" t="s">
        <v>1</v>
      </c>
      <c r="HD8" s="44" t="s">
        <v>5</v>
      </c>
      <c r="HE8" s="45"/>
      <c r="HF8" s="44" t="s">
        <v>7</v>
      </c>
      <c r="HG8" s="44" t="s">
        <v>12</v>
      </c>
      <c r="HH8" s="45"/>
      <c r="HI8" s="178"/>
      <c r="HJ8" s="45" t="s">
        <v>150</v>
      </c>
      <c r="HK8" s="45" t="s">
        <v>153</v>
      </c>
      <c r="HL8" s="45" t="s">
        <v>149</v>
      </c>
      <c r="HM8" s="45" t="s">
        <v>151</v>
      </c>
    </row>
    <row r="9" spans="1:221" s="11" customFormat="1" ht="30" customHeight="1" thickBot="1" x14ac:dyDescent="0.25">
      <c r="A9" s="20"/>
      <c r="B9" s="122">
        <v>6</v>
      </c>
      <c r="C9" s="122" t="s">
        <v>6</v>
      </c>
      <c r="D9" s="123">
        <v>45459</v>
      </c>
      <c r="E9" s="122" t="s">
        <v>83</v>
      </c>
      <c r="F9" s="124">
        <v>0.75</v>
      </c>
      <c r="G9" s="125">
        <f t="shared" si="11"/>
        <v>45459.5</v>
      </c>
      <c r="H9" s="122" t="s">
        <v>94</v>
      </c>
      <c r="I9" s="126"/>
      <c r="J9" s="118"/>
      <c r="K9" s="118"/>
      <c r="L9" s="174">
        <f>IF(I9="",0,IFERROR(IF(SCORING.RULES!$C$8="No",1,((VLOOKUP($B9,ACTUALS!$B$4:$L$100,7,FALSE)=$H9)+(VLOOKUP($B9,ACTUALS!$B$4:$L$100,7,FALSE)=S9)))*(M9+N9+O9+P9+Q9),0))+$R9</f>
        <v>0</v>
      </c>
      <c r="M9" s="168">
        <f>IFERROR(IF($B9="","",IF(U9=INDEX(ACTUALS!$AA$4:$AA$100,MATCH($B9,ACTUALS!$B$4:$B$100,0),1),CorrectScore,0)),0)</f>
        <v>0</v>
      </c>
      <c r="N9" s="157" t="str">
        <f>IFERROR(IF(I9="","",IF(INDEX(ACTUALS!$AB$4:$AB$100,MATCH($B9,ACTUALS!$B$4:$B$100,0),1)=(AB9+AC9+AH9+AI9),CorrectNumberofGoals,0)),0)</f>
        <v/>
      </c>
      <c r="O9" s="157"/>
      <c r="P9" s="157">
        <f>IFERROR(IF(B9="","",IF(INDEX(ACTUALS!$L$4:$L$100,MATCH($B9,ACTUALS!$B$4:$B$100,0),1)=W9,CorrectResult,0)),0)</f>
        <v>3</v>
      </c>
      <c r="Q9" s="157"/>
      <c r="R9" s="157"/>
      <c r="S9" s="157" t="str">
        <f t="shared" si="0"/>
        <v/>
      </c>
      <c r="T9" s="157"/>
      <c r="U9" s="157" t="str">
        <f t="shared" si="1"/>
        <v/>
      </c>
      <c r="V9" s="157" t="str">
        <f t="shared" si="2"/>
        <v/>
      </c>
      <c r="W9" s="119" t="str">
        <f>IF(tblActuals35415[[#This Row],[SCORE]]="","",IF(AB9=AC9,"Draw",IF(AB9&gt;AC9,X9,Y9)))</f>
        <v/>
      </c>
      <c r="X9" s="120" t="str">
        <f>IF(tblActuals35415[[#This Row],[TEAMS]]="","",LEFT(H9,FIND(" -",H9,1)-1))</f>
        <v>Slovenia</v>
      </c>
      <c r="Y9" s="120" t="str">
        <f>IF(tblActuals35415[[#This Row],[TEAMS]]="","",MID(H9,FIND("-",H9,1)+2,LEN(H9)-FIND("-",H9,1)+2))</f>
        <v>Denmark</v>
      </c>
      <c r="Z9" s="120" t="str">
        <f>IF(tblActuals35415[[#This Row],[Team 1 Goals]]&gt;tblActuals35415[[#This Row],[Team 2 Goals]],tblActuals35415[[#This Row],[Team 1]],IF(tblActuals35415[[#This Row],[Team 2 Goals]]&gt;tblActuals35415[[#This Row],[Team 1 Goals]],tblActuals35415[[#This Row],[Team 2]],""))</f>
        <v/>
      </c>
      <c r="AA9" s="120" t="str">
        <f>IF(tblActuals35415[[#This Row],[Winner]]=tblActuals35415[[#This Row],[Team 1]],tblActuals35415[[#This Row],[Team 2]],IF(tblActuals35415[[#This Row],[Winner]]=tblActuals35415[[#This Row],[Team 2]],tblActuals35415[[#This Row],[Team 1]],""))</f>
        <v/>
      </c>
      <c r="AB9" s="120" t="str">
        <f>IF(tblActuals35415[[#This Row],[SCORE]]="","",LEFT(I9,FIND(":",I9,1)-1)*1)</f>
        <v/>
      </c>
      <c r="AC9" s="120" t="str">
        <f>IF(tblActuals35415[[#This Row],[SCORE]]="","",MID(I9,FIND(":",I9,1)+1,LEN(I9)-FIND(":",I9,1)+1)*1)</f>
        <v/>
      </c>
      <c r="AD9" s="120" t="str">
        <f>IF(OR(tblActuals35415[[#This Row],[Team 1 Goals]]="",tblActuals35415[[#This Row],[Team 2 Goals]]=""),"",tblActuals35415[[#This Row],[Team 1 Goals]]-tblActuals35415[[#This Row],[Team 2 Goals]])</f>
        <v/>
      </c>
      <c r="AE9" s="120" t="str">
        <f>IF(OR(tblActuals35415[[#This Row],[Team 1 Goals]]="",tblActuals35415[[#This Row],[Team 2 Goals]]=""),"",tblActuals35415[[#This Row],[Team 2 Goals]]-tblActuals35415[[#This Row],[Team 1 Goals]])</f>
        <v/>
      </c>
      <c r="AF9" s="120" t="str">
        <f>IF(tblActuals35415[[#This Row],[SCORE]]="","",IF(tblActuals35415[[#This Row],[WINNER / RESULT]]="Draw",1,IF(tblActuals35415[[#This Row],[WINNER / RESULT]]=tblActuals35415[[#This Row],[Team 1]],3,0)))</f>
        <v/>
      </c>
      <c r="AG9" s="120" t="str">
        <f>IF(tblActuals35415[[#This Row],[SCORE]]="","",IF(tblActuals35415[[#This Row],[WINNER / RESULT]]="Draw",1,IF(tblActuals35415[[#This Row],[WINNER / RESULT]]=tblActuals35415[[#This Row],[Team 2]],3,0)))</f>
        <v/>
      </c>
      <c r="AH9" s="121"/>
      <c r="AI9" s="121"/>
      <c r="AJ9" s="121"/>
      <c r="AK9" s="121"/>
      <c r="AL9" s="120" t="e">
        <f>tblActuals35415[[#This Row],[Team 1 Goals]]+tblActuals35415[[#This Row],[Team 1 ET Goals]]&amp;":"&amp;tblActuals35415[[#This Row],[Team 2 Goals]]+tblActuals35415[[#This Row],[Team 2 ET Goals]]</f>
        <v>#VALUE!</v>
      </c>
      <c r="AM9" s="120" t="e">
        <f>+tblActuals35415[[#This Row],[Team 1 Goals]]+tblActuals35415[[#This Row],[Team 2 Goals]]</f>
        <v>#VALUE!</v>
      </c>
      <c r="AN9" s="161">
        <f t="shared" si="3"/>
        <v>45459</v>
      </c>
      <c r="AP9" s="38" t="s">
        <v>86</v>
      </c>
      <c r="AT9" s="77" t="s">
        <v>1</v>
      </c>
      <c r="AU9" s="145">
        <v>4</v>
      </c>
      <c r="AV9" s="146" t="str">
        <f ca="1">IFERROR(INDEX(BD:BD,MATCH("4"&amp;AT9,BN:BN,0),1),"")</f>
        <v>Switzerland</v>
      </c>
      <c r="AW9" s="146" t="str">
        <f ca="1">IF(AV9="","",VLOOKUP(AV9,BD:BI,2,FALSE)&amp;"-"&amp;VLOOKUP(AV9,BD:BI,3,FALSE)&amp;"-"&amp;VLOOKUP(AV9,BD:BI,4,FALSE))</f>
        <v>0-0-0</v>
      </c>
      <c r="AX9" s="146">
        <f ca="1">IF(AV9="","",VLOOKUP(AV9,BD:BK,8,FALSE))</f>
        <v>0</v>
      </c>
      <c r="AY9" s="147">
        <f ca="1">IF(AV9="","",VLOOKUP(AV9,BD:BN,5,FALSE))</f>
        <v>0</v>
      </c>
      <c r="AZ9" s="75"/>
      <c r="BA9" s="42"/>
      <c r="BB9" s="4"/>
      <c r="BC9" s="4" t="s">
        <v>5</v>
      </c>
      <c r="BD9" s="4" t="s">
        <v>127</v>
      </c>
      <c r="BE9" s="4">
        <f>COUNTIF(tblActuals35415[Winner],BD9)</f>
        <v>0</v>
      </c>
      <c r="BF9" s="4">
        <f>COUNTIFS(tblActuals35415[Team 2],BD9,tblActuals35415[WINNER / RESULT],"Draw")+COUNTIFS(tblActuals35415[Team 1],BD9,tblActuals35415[WINNER / RESULT],"Draw")</f>
        <v>0</v>
      </c>
      <c r="BG9" s="4">
        <f>COUNTIF(tblActuals35415[Loser],BD9)</f>
        <v>0</v>
      </c>
      <c r="BH9" s="4">
        <f>BF9+(3*BE9)</f>
        <v>0</v>
      </c>
      <c r="BI9" s="4">
        <f>SUMIFS(tblActuals35415[Team 1 Goals],tblActuals35415[Team 1],BD9)+SUMIFS(tblActuals35415[Team 2 Goals],tblActuals35415[Team 2],BD9)</f>
        <v>0</v>
      </c>
      <c r="BJ9" s="4">
        <f>SUMIFS(tblActuals35415[Team 2 Goals],tblActuals35415[Team 1],BD9)+SUMIFS(tblActuals35415[Team 1 Goals],tblActuals35415[Team 2],BD9)</f>
        <v>0</v>
      </c>
      <c r="BK9" s="4">
        <f>BI9-BJ9</f>
        <v>0</v>
      </c>
      <c r="BL9" s="4">
        <f ca="1">RANK(BY9,$BY$9:$BY$12,1)</f>
        <v>1</v>
      </c>
      <c r="BM9" s="4" t="str">
        <f t="shared" si="4"/>
        <v/>
      </c>
      <c r="BN9" s="4" t="str">
        <f ca="1">IF(BM9="",BL9&amp;BC9,BM9&amp;BC9)</f>
        <v>1B</v>
      </c>
      <c r="BO9" s="4">
        <f>RANK(BH9,$BH$9:$BH$12,0)</f>
        <v>1</v>
      </c>
      <c r="BP9" s="4" cm="1">
        <f t="array" aca="1" ref="BP9" ca="1">SUMPRODUCT((OFFSET($CV$3:$EA$3,MATCH($BD9,$CU$4:$CU$35,0),0))*((IF($BO11=$BO9,$CV$3:$EA$3=$BD11,0))+(IF($BO12=$BO9,$CV$3:$EA$3=$BD12,0))+(IF($BO10=$BO9,$CV$3:$EA$3=$BD10,0))))</f>
        <v>0</v>
      </c>
      <c r="BQ9" s="4" cm="1">
        <f t="array" aca="1" ref="BQ9" ca="1">SUMPRODUCT((OFFSET($ED$3:$FI$3,MATCH($BD9,$EC$4:$EC$35,0),0))*((IF($BO11=$BO9,$ED$3:$FI$3=$BD11,0))+(IF($BO12=$BO9,$ED$3:$FI$3=$BD12,0))+(IF($BO10=$BO9,$ED$3:$FI$3=$BD10,0))))</f>
        <v>0</v>
      </c>
      <c r="BR9" s="4" cm="1">
        <f t="array" aca="1" ref="BR9" ca="1">SUMPRODUCT((OFFSET($FL$3:$GQ$3,MATCH($BD9,$FK$4:$FK$35,0),0))*((IF($BO11=$BO9,$FL$3:$GQ$3=$BD11,0))+(IF($BO12=$BO9,$FL$3:$GQ$3=$BD12,0))+(IF($BO10=$BO9,$FL$3:$GQ$3=$BD10,0))))</f>
        <v>0</v>
      </c>
      <c r="BS9" s="4" cm="1">
        <f t="array" aca="1" ref="BS9" ca="1">SUMPRODUCT((OFFSET($CV$3:$EA$3,MATCH($BD9,$CU$4:$CU$35,0),0))*((IF($BO11&lt;&gt;$BO9,$CV$3:$EA$3=$BD11,0))+(IF($BO12&lt;&gt;$BO9,$CV$3:$EA$3=$BD12,0))+(IF($BO10&lt;&gt;$BO9,$CV$3:$EA$3=$BD10,0))))</f>
        <v>0</v>
      </c>
      <c r="BT9" s="4" cm="1">
        <f t="array" aca="1" ref="BT9" ca="1">SUMPRODUCT((OFFSET($ED$3:$FI$3,MATCH($BD9,$EC$4:$EC$35,0),0))*((IF($BO11&lt;&gt;$BO9,$ED$3:$FI$3=$BD11,0))+(IF($BO12&lt;&gt;$BO9,$ED$3:$FI$3=$BD12,0))+(IF($BO10&lt;&gt;$BO9,$ED$3:$FI$3=$BD10,0))))</f>
        <v>0</v>
      </c>
      <c r="BU9" s="4" cm="1">
        <f t="array" aca="1" ref="BU9" ca="1">SUMPRODUCT((OFFSET($FL$3:$GQ$3,MATCH($BD9,$FK$4:$FK$35,0),0))*((IF($BO11&lt;&gt;$BO9,$FL$3:$GQ$3=$BD11,0))+(IF($BO12&lt;&gt;$BO9,$FL$3:$GQ$3=$BD12,0))+(IF($BO10&lt;&gt;$BO9,$FL$3:$GQ$3=$BD10,0))))</f>
        <v>0</v>
      </c>
      <c r="BV9" s="4">
        <f>BK9</f>
        <v>0</v>
      </c>
      <c r="BW9" s="4">
        <f>BI9</f>
        <v>0</v>
      </c>
      <c r="BX9" s="4">
        <f ca="1">(BP9/10)+(BQ9/100)+(BR9/1000)+(BT9/10000)+(BU9/100000)+(BV9/1000000)+(BW9/10000000)+(ROW(BS12)/100000000)</f>
        <v>1.1999999999999999E-7</v>
      </c>
      <c r="BY9" s="4">
        <f ca="1">+BO9-BX9</f>
        <v>0.99999987999999995</v>
      </c>
      <c r="BZ9" s="4"/>
      <c r="CA9" s="4" t="s">
        <v>45</v>
      </c>
      <c r="CB9" s="4" t="str">
        <f ca="1">AV38</f>
        <v>Portugal</v>
      </c>
      <c r="CC9" s="4">
        <f t="shared" ca="1" si="5"/>
        <v>0</v>
      </c>
      <c r="CD9" s="4">
        <f t="shared" ca="1" si="6"/>
        <v>0</v>
      </c>
      <c r="CE9" s="4">
        <f t="shared" ca="1" si="7"/>
        <v>0</v>
      </c>
      <c r="CF9" s="4">
        <f t="shared" ca="1" si="8"/>
        <v>0</v>
      </c>
      <c r="CG9" s="4">
        <f t="shared" ca="1" si="9"/>
        <v>8.9999999999999996E-7</v>
      </c>
      <c r="CH9" s="4">
        <f t="shared" ca="1" si="10"/>
        <v>1</v>
      </c>
      <c r="CI9" s="4"/>
      <c r="CJ9" s="4"/>
      <c r="CK9" s="4"/>
      <c r="CL9" s="4"/>
      <c r="CM9" s="4"/>
      <c r="CN9" s="4"/>
      <c r="CO9" s="4"/>
      <c r="CP9" s="4"/>
      <c r="CQ9" s="4"/>
      <c r="CR9" s="4"/>
      <c r="CU9" s="4" t="s">
        <v>33</v>
      </c>
      <c r="CV9" s="56">
        <f>SUMIFS(tblActuals35415[Team 2 Points],tblActuals35415[Team 2],$CU9,tblActuals35415[Team 1],CV$3)+SUMIFS(tblActuals35415[Team 1 Points],tblActuals35415[Team 1],$CU9,tblActuals35415[Team 2],CV$3)</f>
        <v>0</v>
      </c>
      <c r="CW9" s="56">
        <f>SUMIFS(tblActuals35415[Team 2 Points],tblActuals35415[Team 2],$CU9,tblActuals35415[Team 1],CW$3)+SUMIFS(tblActuals35415[Team 1 Points],tblActuals35415[Team 1],$CU9,tblActuals35415[Team 2],CW$3)</f>
        <v>0</v>
      </c>
      <c r="CX9" s="56">
        <f>SUMIFS(tblActuals35415[Team 2 Points],tblActuals35415[Team 2],$CU9,tblActuals35415[Team 1],CX$3)+SUMIFS(tblActuals35415[Team 1 Points],tblActuals35415[Team 1],$CU9,tblActuals35415[Team 2],CX$3)</f>
        <v>0</v>
      </c>
      <c r="CY9" s="56">
        <f>SUMIFS(tblActuals35415[Team 2 Points],tblActuals35415[Team 2],$CU9,tblActuals35415[Team 1],CY$3)+SUMIFS(tblActuals35415[Team 1 Points],tblActuals35415[Team 1],$CU9,tblActuals35415[Team 2],CY$3)</f>
        <v>0</v>
      </c>
      <c r="CZ9" s="56">
        <f>SUMIFS(tblActuals35415[Team 2 Points],tblActuals35415[Team 2],$CU9,tblActuals35415[Team 1],CZ$3)+SUMIFS(tblActuals35415[Team 1 Points],tblActuals35415[Team 1],$CU9,tblActuals35415[Team 2],CZ$3)</f>
        <v>0</v>
      </c>
      <c r="DA9" s="56">
        <f>SUMIFS(tblActuals35415[Team 2 Points],tblActuals35415[Team 2],$CU9,tblActuals35415[Team 1],DA$3)+SUMIFS(tblActuals35415[Team 1 Points],tblActuals35415[Team 1],$CU9,tblActuals35415[Team 2],DA$3)</f>
        <v>0</v>
      </c>
      <c r="DB9" s="56">
        <f>SUMIFS(tblActuals35415[Team 2 Points],tblActuals35415[Team 2],$CU9,tblActuals35415[Team 1],DB$3)+SUMIFS(tblActuals35415[Team 1 Points],tblActuals35415[Team 1],$CU9,tblActuals35415[Team 2],DB$3)</f>
        <v>0</v>
      </c>
      <c r="DC9" s="56">
        <f>SUMIFS(tblActuals35415[Team 2 Points],tblActuals35415[Team 2],$CU9,tblActuals35415[Team 1],DC$3)+SUMIFS(tblActuals35415[Team 1 Points],tblActuals35415[Team 1],$CU9,tblActuals35415[Team 2],DC$3)</f>
        <v>0</v>
      </c>
      <c r="DD9" s="56">
        <f>SUMIFS(tblActuals35415[Team 2 Points],tblActuals35415[Team 2],$CU9,tblActuals35415[Team 1],DD$3)+SUMIFS(tblActuals35415[Team 1 Points],tblActuals35415[Team 1],$CU9,tblActuals35415[Team 2],DD$3)</f>
        <v>0</v>
      </c>
      <c r="DE9" s="56">
        <f>SUMIFS(tblActuals35415[Team 2 Points],tblActuals35415[Team 2],$CU9,tblActuals35415[Team 1],DE$3)+SUMIFS(tblActuals35415[Team 1 Points],tblActuals35415[Team 1],$CU9,tblActuals35415[Team 2],DE$3)</f>
        <v>0</v>
      </c>
      <c r="DF9" s="56">
        <f>SUMIFS(tblActuals35415[Team 2 Points],tblActuals35415[Team 2],$CU9,tblActuals35415[Team 1],DF$3)+SUMIFS(tblActuals35415[Team 1 Points],tblActuals35415[Team 1],$CU9,tblActuals35415[Team 2],DF$3)</f>
        <v>0</v>
      </c>
      <c r="DG9" s="56">
        <f>SUMIFS(tblActuals35415[Team 2 Points],tblActuals35415[Team 2],$CU9,tblActuals35415[Team 1],DG$3)+SUMIFS(tblActuals35415[Team 1 Points],tblActuals35415[Team 1],$CU9,tblActuals35415[Team 2],DG$3)</f>
        <v>0</v>
      </c>
      <c r="DH9" s="56">
        <f>SUMIFS(tblActuals35415[Team 2 Points],tblActuals35415[Team 2],$CU9,tblActuals35415[Team 1],DH$3)+SUMIFS(tblActuals35415[Team 1 Points],tblActuals35415[Team 1],$CU9,tblActuals35415[Team 2],DH$3)</f>
        <v>0</v>
      </c>
      <c r="DI9" s="56">
        <f>SUMIFS(tblActuals35415[Team 2 Points],tblActuals35415[Team 2],$CU9,tblActuals35415[Team 1],DI$3)+SUMIFS(tblActuals35415[Team 1 Points],tblActuals35415[Team 1],$CU9,tblActuals35415[Team 2],DI$3)</f>
        <v>0</v>
      </c>
      <c r="DJ9" s="56">
        <f>SUMIFS(tblActuals35415[Team 2 Points],tblActuals35415[Team 2],$CU9,tblActuals35415[Team 1],DJ$3)+SUMIFS(tblActuals35415[Team 1 Points],tblActuals35415[Team 1],$CU9,tblActuals35415[Team 2],DJ$3)</f>
        <v>0</v>
      </c>
      <c r="DK9" s="56">
        <f>SUMIFS(tblActuals35415[Team 2 Points],tblActuals35415[Team 2],$CU9,tblActuals35415[Team 1],DK$3)+SUMIFS(tblActuals35415[Team 1 Points],tblActuals35415[Team 1],$CU9,tblActuals35415[Team 2],DK$3)</f>
        <v>0</v>
      </c>
      <c r="DL9" s="56">
        <f>SUMIFS(tblActuals35415[Team 2 Points],tblActuals35415[Team 2],$CU9,tblActuals35415[Team 1],DL$3)+SUMIFS(tblActuals35415[Team 1 Points],tblActuals35415[Team 1],$CU9,tblActuals35415[Team 2],DL$3)</f>
        <v>0</v>
      </c>
      <c r="DM9" s="56">
        <f>SUMIFS(tblActuals35415[Team 2 Points],tblActuals35415[Team 2],$CU9,tblActuals35415[Team 1],DM$3)+SUMIFS(tblActuals35415[Team 1 Points],tblActuals35415[Team 1],$CU9,tblActuals35415[Team 2],DM$3)</f>
        <v>0</v>
      </c>
      <c r="DN9" s="56">
        <f>SUMIFS(tblActuals35415[Team 2 Points],tblActuals35415[Team 2],$CU9,tblActuals35415[Team 1],DN$3)+SUMIFS(tblActuals35415[Team 1 Points],tblActuals35415[Team 1],$CU9,tblActuals35415[Team 2],DN$3)</f>
        <v>0</v>
      </c>
      <c r="DO9" s="56">
        <f>SUMIFS(tblActuals35415[Team 2 Points],tblActuals35415[Team 2],$CU9,tblActuals35415[Team 1],DO$3)+SUMIFS(tblActuals35415[Team 1 Points],tblActuals35415[Team 1],$CU9,tblActuals35415[Team 2],DO$3)</f>
        <v>0</v>
      </c>
      <c r="DP9" s="56">
        <f>SUMIFS(tblActuals35415[Team 2 Points],tblActuals35415[Team 2],$CU9,tblActuals35415[Team 1],DP$3)+SUMIFS(tblActuals35415[Team 1 Points],tblActuals35415[Team 1],$CU9,tblActuals35415[Team 2],DP$3)</f>
        <v>0</v>
      </c>
      <c r="DQ9" s="56">
        <f>SUMIFS(tblActuals35415[Team 2 Points],tblActuals35415[Team 2],$CU9,tblActuals35415[Team 1],DQ$3)+SUMIFS(tblActuals35415[Team 1 Points],tblActuals35415[Team 1],$CU9,tblActuals35415[Team 2],DQ$3)</f>
        <v>0</v>
      </c>
      <c r="DR9" s="56">
        <f>SUMIFS(tblActuals35415[Team 2 Points],tblActuals35415[Team 2],$CU9,tblActuals35415[Team 1],DR$3)+SUMIFS(tblActuals35415[Team 1 Points],tblActuals35415[Team 1],$CU9,tblActuals35415[Team 2],DR$3)</f>
        <v>0</v>
      </c>
      <c r="DS9" s="56">
        <f>SUMIFS(tblActuals35415[Team 2 Points],tblActuals35415[Team 2],$CU9,tblActuals35415[Team 1],DS$3)+SUMIFS(tblActuals35415[Team 1 Points],tblActuals35415[Team 1],$CU9,tblActuals35415[Team 2],DS$3)</f>
        <v>0</v>
      </c>
      <c r="DT9" s="57"/>
      <c r="DU9" s="57"/>
      <c r="DV9" s="57"/>
      <c r="DW9" s="57"/>
      <c r="DX9" s="57"/>
      <c r="DY9" s="57"/>
      <c r="DZ9" s="57"/>
      <c r="EA9" s="57"/>
      <c r="EB9" s="4"/>
      <c r="EC9" s="4" t="s">
        <v>33</v>
      </c>
      <c r="ED9" s="56">
        <f>SUMIFS(tblActuals35415[Team 2 GD],tblActuals35415[Team 2],$CU9,tblActuals35415[Team 1],ED$3)+SUMIFS(tblActuals35415[Team 1 GD],tblActuals35415[Team 1],$CU9,tblActuals35415[Team 2],ED$3)</f>
        <v>0</v>
      </c>
      <c r="EE9" s="56">
        <f>SUMIFS(tblActuals35415[Team 2 GD],tblActuals35415[Team 2],$CU9,tblActuals35415[Team 1],EE$3)+SUMIFS(tblActuals35415[Team 1 GD],tblActuals35415[Team 1],$CU9,tblActuals35415[Team 2],EE$3)</f>
        <v>0</v>
      </c>
      <c r="EF9" s="56">
        <f>SUMIFS(tblActuals35415[Team 2 GD],tblActuals35415[Team 2],$CU9,tblActuals35415[Team 1],EF$3)+SUMIFS(tblActuals35415[Team 1 GD],tblActuals35415[Team 1],$CU9,tblActuals35415[Team 2],EF$3)</f>
        <v>0</v>
      </c>
      <c r="EG9" s="56">
        <f>SUMIFS(tblActuals35415[Team 2 GD],tblActuals35415[Team 2],$CU9,tblActuals35415[Team 1],EG$3)+SUMIFS(tblActuals35415[Team 1 GD],tblActuals35415[Team 1],$CU9,tblActuals35415[Team 2],EG$3)</f>
        <v>0</v>
      </c>
      <c r="EH9" s="56">
        <f>SUMIFS(tblActuals35415[Team 2 GD],tblActuals35415[Team 2],$CU9,tblActuals35415[Team 1],EH$3)+SUMIFS(tblActuals35415[Team 1 GD],tblActuals35415[Team 1],$CU9,tblActuals35415[Team 2],EH$3)</f>
        <v>0</v>
      </c>
      <c r="EI9" s="56">
        <f>SUMIFS(tblActuals35415[Team 2 GD],tblActuals35415[Team 2],$CU9,tblActuals35415[Team 1],EI$3)+SUMIFS(tblActuals35415[Team 1 GD],tblActuals35415[Team 1],$CU9,tblActuals35415[Team 2],EI$3)</f>
        <v>0</v>
      </c>
      <c r="EJ9" s="56">
        <f>SUMIFS(tblActuals35415[Team 2 GD],tblActuals35415[Team 2],$CU9,tblActuals35415[Team 1],EJ$3)+SUMIFS(tblActuals35415[Team 1 GD],tblActuals35415[Team 1],$CU9,tblActuals35415[Team 2],EJ$3)</f>
        <v>0</v>
      </c>
      <c r="EK9" s="56">
        <f>SUMIFS(tblActuals35415[Team 2 GD],tblActuals35415[Team 2],$CU9,tblActuals35415[Team 1],EK$3)+SUMIFS(tblActuals35415[Team 1 GD],tblActuals35415[Team 1],$CU9,tblActuals35415[Team 2],EK$3)</f>
        <v>0</v>
      </c>
      <c r="EL9" s="56">
        <f>SUMIFS(tblActuals35415[Team 2 GD],tblActuals35415[Team 2],$CU9,tblActuals35415[Team 1],EL$3)+SUMIFS(tblActuals35415[Team 1 GD],tblActuals35415[Team 1],$CU9,tblActuals35415[Team 2],EL$3)</f>
        <v>0</v>
      </c>
      <c r="EM9" s="56">
        <f>SUMIFS(tblActuals35415[Team 2 GD],tblActuals35415[Team 2],$CU9,tblActuals35415[Team 1],EM$3)+SUMIFS(tblActuals35415[Team 1 GD],tblActuals35415[Team 1],$CU9,tblActuals35415[Team 2],EM$3)</f>
        <v>0</v>
      </c>
      <c r="EN9" s="56">
        <f>SUMIFS(tblActuals35415[Team 2 GD],tblActuals35415[Team 2],$CU9,tblActuals35415[Team 1],EN$3)+SUMIFS(tblActuals35415[Team 1 GD],tblActuals35415[Team 1],$CU9,tblActuals35415[Team 2],EN$3)</f>
        <v>0</v>
      </c>
      <c r="EO9" s="56">
        <f>SUMIFS(tblActuals35415[Team 2 GD],tblActuals35415[Team 2],$CU9,tblActuals35415[Team 1],EO$3)+SUMIFS(tblActuals35415[Team 1 GD],tblActuals35415[Team 1],$CU9,tblActuals35415[Team 2],EO$3)</f>
        <v>0</v>
      </c>
      <c r="EP9" s="56">
        <f>SUMIFS(tblActuals35415[Team 2 GD],tblActuals35415[Team 2],$CU9,tblActuals35415[Team 1],EP$3)+SUMIFS(tblActuals35415[Team 1 GD],tblActuals35415[Team 1],$CU9,tblActuals35415[Team 2],EP$3)</f>
        <v>0</v>
      </c>
      <c r="EQ9" s="56">
        <f>SUMIFS(tblActuals35415[Team 2 GD],tblActuals35415[Team 2],$CU9,tblActuals35415[Team 1],EQ$3)+SUMIFS(tblActuals35415[Team 1 GD],tblActuals35415[Team 1],$CU9,tblActuals35415[Team 2],EQ$3)</f>
        <v>0</v>
      </c>
      <c r="ER9" s="56">
        <f>SUMIFS(tblActuals35415[Team 2 GD],tblActuals35415[Team 2],$CU9,tblActuals35415[Team 1],ER$3)+SUMIFS(tblActuals35415[Team 1 GD],tblActuals35415[Team 1],$CU9,tblActuals35415[Team 2],ER$3)</f>
        <v>0</v>
      </c>
      <c r="ES9" s="56">
        <f>SUMIFS(tblActuals35415[Team 2 GD],tblActuals35415[Team 2],$CU9,tblActuals35415[Team 1],ES$3)+SUMIFS(tblActuals35415[Team 1 GD],tblActuals35415[Team 1],$CU9,tblActuals35415[Team 2],ES$3)</f>
        <v>0</v>
      </c>
      <c r="ET9" s="56">
        <f>SUMIFS(tblActuals35415[Team 2 GD],tblActuals35415[Team 2],$CU9,tblActuals35415[Team 1],ET$3)+SUMIFS(tblActuals35415[Team 1 GD],tblActuals35415[Team 1],$CU9,tblActuals35415[Team 2],ET$3)</f>
        <v>0</v>
      </c>
      <c r="EU9" s="56">
        <f>SUMIFS(tblActuals35415[Team 2 GD],tblActuals35415[Team 2],$CU9,tblActuals35415[Team 1],EU$3)+SUMIFS(tblActuals35415[Team 1 GD],tblActuals35415[Team 1],$CU9,tblActuals35415[Team 2],EU$3)</f>
        <v>0</v>
      </c>
      <c r="EV9" s="56">
        <f>SUMIFS(tblActuals35415[Team 2 GD],tblActuals35415[Team 2],$CU9,tblActuals35415[Team 1],EV$3)+SUMIFS(tblActuals35415[Team 1 GD],tblActuals35415[Team 1],$CU9,tblActuals35415[Team 2],EV$3)</f>
        <v>0</v>
      </c>
      <c r="EW9" s="56">
        <f>SUMIFS(tblActuals35415[Team 2 GD],tblActuals35415[Team 2],$CU9,tblActuals35415[Team 1],EW$3)+SUMIFS(tblActuals35415[Team 1 GD],tblActuals35415[Team 1],$CU9,tblActuals35415[Team 2],EW$3)</f>
        <v>0</v>
      </c>
      <c r="EX9" s="56">
        <f>SUMIFS(tblActuals35415[Team 2 GD],tblActuals35415[Team 2],$CU9,tblActuals35415[Team 1],EX$3)+SUMIFS(tblActuals35415[Team 1 GD],tblActuals35415[Team 1],$CU9,tblActuals35415[Team 2],EX$3)</f>
        <v>0</v>
      </c>
      <c r="EY9" s="56">
        <f>SUMIFS(tblActuals35415[Team 2 GD],tblActuals35415[Team 2],$CU9,tblActuals35415[Team 1],EY$3)+SUMIFS(tblActuals35415[Team 1 GD],tblActuals35415[Team 1],$CU9,tblActuals35415[Team 2],EY$3)</f>
        <v>0</v>
      </c>
      <c r="EZ9" s="56">
        <f>SUMIFS(tblActuals35415[Team 2 GD],tblActuals35415[Team 2],$CU9,tblActuals35415[Team 1],EZ$3)+SUMIFS(tblActuals35415[Team 1 GD],tblActuals35415[Team 1],$CU9,tblActuals35415[Team 2],EZ$3)</f>
        <v>0</v>
      </c>
      <c r="FA9" s="56">
        <f>SUMIFS(tblActuals35415[Team 2 GD],tblActuals35415[Team 2],$CU9,tblActuals35415[Team 1],FA$3)+SUMIFS(tblActuals35415[Team 1 GD],tblActuals35415[Team 1],$CU9,tblActuals35415[Team 2],FA$3)</f>
        <v>0</v>
      </c>
      <c r="FB9" s="57"/>
      <c r="FC9" s="57"/>
      <c r="FD9" s="57"/>
      <c r="FE9" s="57"/>
      <c r="FF9" s="57"/>
      <c r="FG9" s="57"/>
      <c r="FH9" s="57"/>
      <c r="FI9" s="57"/>
      <c r="FJ9" s="4"/>
      <c r="FK9" s="4" t="s">
        <v>33</v>
      </c>
      <c r="FL9" s="56">
        <f>SUMIFS(tblActuals35415[Team 2 Goals],tblActuals35415[Team 2],$CU9,tblActuals35415[Team 1],FL$3)+SUMIFS(tblActuals35415[Team 1 Goals],tblActuals35415[Team 1],$CU9,tblActuals35415[Team 2],FL$3)</f>
        <v>0</v>
      </c>
      <c r="FM9" s="56">
        <f>SUMIFS(tblActuals35415[Team 2 Goals],tblActuals35415[Team 2],$CU9,tblActuals35415[Team 1],FM$3)+SUMIFS(tblActuals35415[Team 1 Goals],tblActuals35415[Team 1],$CU9,tblActuals35415[Team 2],FM$3)</f>
        <v>0</v>
      </c>
      <c r="FN9" s="56">
        <f>SUMIFS(tblActuals35415[Team 2 Goals],tblActuals35415[Team 2],$CU9,tblActuals35415[Team 1],FN$3)+SUMIFS(tblActuals35415[Team 1 Goals],tblActuals35415[Team 1],$CU9,tblActuals35415[Team 2],FN$3)</f>
        <v>0</v>
      </c>
      <c r="FO9" s="56">
        <f>SUMIFS(tblActuals35415[Team 2 Goals],tblActuals35415[Team 2],$CU9,tblActuals35415[Team 1],FO$3)+SUMIFS(tblActuals35415[Team 1 Goals],tblActuals35415[Team 1],$CU9,tblActuals35415[Team 2],FO$3)</f>
        <v>0</v>
      </c>
      <c r="FP9" s="56">
        <f>SUMIFS(tblActuals35415[Team 2 Goals],tblActuals35415[Team 2],$CU9,tblActuals35415[Team 1],FP$3)+SUMIFS(tblActuals35415[Team 1 Goals],tblActuals35415[Team 1],$CU9,tblActuals35415[Team 2],FP$3)</f>
        <v>0</v>
      </c>
      <c r="FQ9" s="56">
        <f>SUMIFS(tblActuals35415[Team 2 Goals],tblActuals35415[Team 2],$CU9,tblActuals35415[Team 1],FQ$3)+SUMIFS(tblActuals35415[Team 1 Goals],tblActuals35415[Team 1],$CU9,tblActuals35415[Team 2],FQ$3)</f>
        <v>0</v>
      </c>
      <c r="FR9" s="56">
        <f>SUMIFS(tblActuals35415[Team 2 Goals],tblActuals35415[Team 2],$CU9,tblActuals35415[Team 1],FR$3)+SUMIFS(tblActuals35415[Team 1 Goals],tblActuals35415[Team 1],$CU9,tblActuals35415[Team 2],FR$3)</f>
        <v>0</v>
      </c>
      <c r="FS9" s="56">
        <f>SUMIFS(tblActuals35415[Team 2 Goals],tblActuals35415[Team 2],$CU9,tblActuals35415[Team 1],FS$3)+SUMIFS(tblActuals35415[Team 1 Goals],tblActuals35415[Team 1],$CU9,tblActuals35415[Team 2],FS$3)</f>
        <v>0</v>
      </c>
      <c r="FT9" s="56">
        <f>SUMIFS(tblActuals35415[Team 2 Goals],tblActuals35415[Team 2],$CU9,tblActuals35415[Team 1],FT$3)+SUMIFS(tblActuals35415[Team 1 Goals],tblActuals35415[Team 1],$CU9,tblActuals35415[Team 2],FT$3)</f>
        <v>0</v>
      </c>
      <c r="FU9" s="56">
        <f>SUMIFS(tblActuals35415[Team 2 Goals],tblActuals35415[Team 2],$CU9,tblActuals35415[Team 1],FU$3)+SUMIFS(tblActuals35415[Team 1 Goals],tblActuals35415[Team 1],$CU9,tblActuals35415[Team 2],FU$3)</f>
        <v>0</v>
      </c>
      <c r="FV9" s="56">
        <f>SUMIFS(tblActuals35415[Team 2 Goals],tblActuals35415[Team 2],$CU9,tblActuals35415[Team 1],FV$3)+SUMIFS(tblActuals35415[Team 1 Goals],tblActuals35415[Team 1],$CU9,tblActuals35415[Team 2],FV$3)</f>
        <v>0</v>
      </c>
      <c r="FW9" s="56">
        <f>SUMIFS(tblActuals35415[Team 2 Goals],tblActuals35415[Team 2],$CU9,tblActuals35415[Team 1],FW$3)+SUMIFS(tblActuals35415[Team 1 Goals],tblActuals35415[Team 1],$CU9,tblActuals35415[Team 2],FW$3)</f>
        <v>0</v>
      </c>
      <c r="FX9" s="56">
        <f>SUMIFS(tblActuals35415[Team 2 Goals],tblActuals35415[Team 2],$CU9,tblActuals35415[Team 1],FX$3)+SUMIFS(tblActuals35415[Team 1 Goals],tblActuals35415[Team 1],$CU9,tblActuals35415[Team 2],FX$3)</f>
        <v>0</v>
      </c>
      <c r="FY9" s="56">
        <f>SUMIFS(tblActuals35415[Team 2 Goals],tblActuals35415[Team 2],$CU9,tblActuals35415[Team 1],FY$3)+SUMIFS(tblActuals35415[Team 1 Goals],tblActuals35415[Team 1],$CU9,tblActuals35415[Team 2],FY$3)</f>
        <v>0</v>
      </c>
      <c r="FZ9" s="56">
        <f>SUMIFS(tblActuals35415[Team 2 Goals],tblActuals35415[Team 2],$CU9,tblActuals35415[Team 1],FZ$3)+SUMIFS(tblActuals35415[Team 1 Goals],tblActuals35415[Team 1],$CU9,tblActuals35415[Team 2],FZ$3)</f>
        <v>0</v>
      </c>
      <c r="GA9" s="56">
        <f>SUMIFS(tblActuals35415[Team 2 Goals],tblActuals35415[Team 2],$CU9,tblActuals35415[Team 1],GA$3)+SUMIFS(tblActuals35415[Team 1 Goals],tblActuals35415[Team 1],$CU9,tblActuals35415[Team 2],GA$3)</f>
        <v>0</v>
      </c>
      <c r="GB9" s="56">
        <f>SUMIFS(tblActuals35415[Team 2 Goals],tblActuals35415[Team 2],$CU9,tblActuals35415[Team 1],GB$3)+SUMIFS(tblActuals35415[Team 1 Goals],tblActuals35415[Team 1],$CU9,tblActuals35415[Team 2],GB$3)</f>
        <v>0</v>
      </c>
      <c r="GC9" s="56">
        <f>SUMIFS(tblActuals35415[Team 2 Goals],tblActuals35415[Team 2],$CU9,tblActuals35415[Team 1],GC$3)+SUMIFS(tblActuals35415[Team 1 Goals],tblActuals35415[Team 1],$CU9,tblActuals35415[Team 2],GC$3)</f>
        <v>0</v>
      </c>
      <c r="GD9" s="56">
        <f>SUMIFS(tblActuals35415[Team 2 Goals],tblActuals35415[Team 2],$CU9,tblActuals35415[Team 1],GD$3)+SUMIFS(tblActuals35415[Team 1 Goals],tblActuals35415[Team 1],$CU9,tblActuals35415[Team 2],GD$3)</f>
        <v>0</v>
      </c>
      <c r="GE9" s="56">
        <f>SUMIFS(tblActuals35415[Team 2 Goals],tblActuals35415[Team 2],$CU9,tblActuals35415[Team 1],GE$3)+SUMIFS(tblActuals35415[Team 1 Goals],tblActuals35415[Team 1],$CU9,tblActuals35415[Team 2],GE$3)</f>
        <v>0</v>
      </c>
      <c r="GF9" s="56">
        <f>SUMIFS(tblActuals35415[Team 2 Goals],tblActuals35415[Team 2],$CU9,tblActuals35415[Team 1],GF$3)+SUMIFS(tblActuals35415[Team 1 Goals],tblActuals35415[Team 1],$CU9,tblActuals35415[Team 2],GF$3)</f>
        <v>0</v>
      </c>
      <c r="GG9" s="56">
        <f>SUMIFS(tblActuals35415[Team 2 Goals],tblActuals35415[Team 2],$CU9,tblActuals35415[Team 1],GG$3)+SUMIFS(tblActuals35415[Team 1 Goals],tblActuals35415[Team 1],$CU9,tblActuals35415[Team 2],GG$3)</f>
        <v>0</v>
      </c>
      <c r="GH9" s="56">
        <f>SUMIFS(tblActuals35415[Team 2 Goals],tblActuals35415[Team 2],$CU9,tblActuals35415[Team 1],GH$3)+SUMIFS(tblActuals35415[Team 1 Goals],tblActuals35415[Team 1],$CU9,tblActuals35415[Team 2],GH$3)</f>
        <v>0</v>
      </c>
      <c r="GI9" s="56">
        <f>SUMIFS(tblActuals35415[Team 2 Goals],tblActuals35415[Team 2],$CU9,tblActuals35415[Team 1],GI$3)+SUMIFS(tblActuals35415[Team 1 Goals],tblActuals35415[Team 1],$CU9,tblActuals35415[Team 2],GI$3)</f>
        <v>0</v>
      </c>
      <c r="GJ9" s="57"/>
      <c r="GK9" s="57"/>
      <c r="GL9" s="37"/>
      <c r="GM9" s="37"/>
      <c r="GN9" s="37"/>
      <c r="GO9" s="37"/>
      <c r="GP9" s="37"/>
      <c r="GQ9" s="37"/>
      <c r="GR9" s="75"/>
      <c r="GS9" s="156"/>
      <c r="GT9" s="156"/>
      <c r="GU9" s="75"/>
      <c r="GV9" s="22"/>
      <c r="GW9" s="75"/>
      <c r="GX9" s="75"/>
      <c r="GY9" s="75"/>
      <c r="GZ9" s="75"/>
      <c r="HB9" s="4" t="str">
        <f t="shared" si="12"/>
        <v>ABDF</v>
      </c>
      <c r="HC9" s="44" t="s">
        <v>1</v>
      </c>
      <c r="HD9" s="44" t="s">
        <v>5</v>
      </c>
      <c r="HE9" s="45"/>
      <c r="HF9" s="44" t="s">
        <v>7</v>
      </c>
      <c r="HG9" s="45"/>
      <c r="HH9" s="44" t="s">
        <v>45</v>
      </c>
      <c r="HI9" s="178"/>
      <c r="HJ9" s="45" t="s">
        <v>150</v>
      </c>
      <c r="HK9" s="45" t="s">
        <v>154</v>
      </c>
      <c r="HL9" s="45" t="s">
        <v>149</v>
      </c>
      <c r="HM9" s="45" t="s">
        <v>151</v>
      </c>
    </row>
    <row r="10" spans="1:221" s="11" customFormat="1" ht="30" customHeight="1" thickBot="1" x14ac:dyDescent="0.25">
      <c r="A10" s="20"/>
      <c r="B10" s="122">
        <v>7</v>
      </c>
      <c r="C10" s="122" t="s">
        <v>7</v>
      </c>
      <c r="D10" s="123">
        <v>45459</v>
      </c>
      <c r="E10" s="122" t="s">
        <v>84</v>
      </c>
      <c r="F10" s="124">
        <v>0.625</v>
      </c>
      <c r="G10" s="125">
        <f t="shared" si="11"/>
        <v>45459.375</v>
      </c>
      <c r="H10" s="122" t="s">
        <v>95</v>
      </c>
      <c r="I10" s="126"/>
      <c r="J10" s="118"/>
      <c r="K10" s="118"/>
      <c r="L10" s="174">
        <f>IF(I10="",0,IFERROR(IF(SCORING.RULES!$C$8="No",1,((VLOOKUP($B10,ACTUALS!$B$4:$L$100,7,FALSE)=$H10)+(VLOOKUP($B10,ACTUALS!$B$4:$L$100,7,FALSE)=S10)))*(M10+N10+O10+P10+Q10),0))+$R10</f>
        <v>0</v>
      </c>
      <c r="M10" s="168">
        <f>IFERROR(IF($B10="","",IF(U10=INDEX(ACTUALS!$AA$4:$AA$100,MATCH($B10,ACTUALS!$B$4:$B$100,0),1),CorrectScore,0)),0)</f>
        <v>0</v>
      </c>
      <c r="N10" s="157" t="str">
        <f>IFERROR(IF(I10="","",IF(INDEX(ACTUALS!$AB$4:$AB$100,MATCH($B10,ACTUALS!$B$4:$B$100,0),1)=(AB10+AC10+AH10+AI10),CorrectNumberofGoals,0)),0)</f>
        <v/>
      </c>
      <c r="O10" s="157"/>
      <c r="P10" s="157">
        <f>IFERROR(IF(B10="","",IF(INDEX(ACTUALS!$L$4:$L$100,MATCH($B10,ACTUALS!$B$4:$B$100,0),1)=W10,CorrectResult,0)),0)</f>
        <v>3</v>
      </c>
      <c r="Q10" s="157"/>
      <c r="R10" s="157"/>
      <c r="S10" s="157" t="str">
        <f t="shared" si="0"/>
        <v/>
      </c>
      <c r="T10" s="157"/>
      <c r="U10" s="157" t="str">
        <f t="shared" si="1"/>
        <v/>
      </c>
      <c r="V10" s="157" t="str">
        <f t="shared" si="2"/>
        <v/>
      </c>
      <c r="W10" s="119" t="str">
        <f>IF(tblActuals35415[[#This Row],[SCORE]]="","",IF(AB10=AC10,"Draw",IF(AB10&gt;AC10,X10,Y10)))</f>
        <v/>
      </c>
      <c r="X10" s="120" t="str">
        <f>IF(tblActuals35415[[#This Row],[TEAMS]]="","",LEFT(H10,FIND(" -",H10,1)-1))</f>
        <v>Poland</v>
      </c>
      <c r="Y10" s="120" t="str">
        <f>IF(tblActuals35415[[#This Row],[TEAMS]]="","",MID(H10,FIND("-",H10,1)+2,LEN(H10)-FIND("-",H10,1)+2))</f>
        <v>Netherlands</v>
      </c>
      <c r="Z10" s="120" t="str">
        <f>IF(tblActuals35415[[#This Row],[Team 1 Goals]]&gt;tblActuals35415[[#This Row],[Team 2 Goals]],tblActuals35415[[#This Row],[Team 1]],IF(tblActuals35415[[#This Row],[Team 2 Goals]]&gt;tblActuals35415[[#This Row],[Team 1 Goals]],tblActuals35415[[#This Row],[Team 2]],""))</f>
        <v/>
      </c>
      <c r="AA10" s="120" t="str">
        <f>IF(tblActuals35415[[#This Row],[Winner]]=tblActuals35415[[#This Row],[Team 1]],tblActuals35415[[#This Row],[Team 2]],IF(tblActuals35415[[#This Row],[Winner]]=tblActuals35415[[#This Row],[Team 2]],tblActuals35415[[#This Row],[Team 1]],""))</f>
        <v/>
      </c>
      <c r="AB10" s="120" t="str">
        <f>IF(tblActuals35415[[#This Row],[SCORE]]="","",LEFT(I10,FIND(":",I10,1)-1)*1)</f>
        <v/>
      </c>
      <c r="AC10" s="120" t="str">
        <f>IF(tblActuals35415[[#This Row],[SCORE]]="","",MID(I10,FIND(":",I10,1)+1,LEN(I10)-FIND(":",I10,1)+1)*1)</f>
        <v/>
      </c>
      <c r="AD10" s="120" t="str">
        <f>IF(OR(tblActuals35415[[#This Row],[Team 1 Goals]]="",tblActuals35415[[#This Row],[Team 2 Goals]]=""),"",tblActuals35415[[#This Row],[Team 1 Goals]]-tblActuals35415[[#This Row],[Team 2 Goals]])</f>
        <v/>
      </c>
      <c r="AE10" s="120" t="str">
        <f>IF(OR(tblActuals35415[[#This Row],[Team 1 Goals]]="",tblActuals35415[[#This Row],[Team 2 Goals]]=""),"",tblActuals35415[[#This Row],[Team 2 Goals]]-tblActuals35415[[#This Row],[Team 1 Goals]])</f>
        <v/>
      </c>
      <c r="AF10" s="120" t="str">
        <f>IF(tblActuals35415[[#This Row],[SCORE]]="","",IF(tblActuals35415[[#This Row],[WINNER / RESULT]]="Draw",1,IF(tblActuals35415[[#This Row],[WINNER / RESULT]]=tblActuals35415[[#This Row],[Team 1]],3,0)))</f>
        <v/>
      </c>
      <c r="AG10" s="120" t="str">
        <f>IF(tblActuals35415[[#This Row],[SCORE]]="","",IF(tblActuals35415[[#This Row],[WINNER / RESULT]]="Draw",1,IF(tblActuals35415[[#This Row],[WINNER / RESULT]]=tblActuals35415[[#This Row],[Team 2]],3,0)))</f>
        <v/>
      </c>
      <c r="AH10" s="121"/>
      <c r="AI10" s="121"/>
      <c r="AJ10" s="121"/>
      <c r="AK10" s="121"/>
      <c r="AL10" s="120" t="e">
        <f>tblActuals35415[[#This Row],[Team 1 Goals]]+tblActuals35415[[#This Row],[Team 1 ET Goals]]&amp;":"&amp;tblActuals35415[[#This Row],[Team 2 Goals]]+tblActuals35415[[#This Row],[Team 2 ET Goals]]</f>
        <v>#VALUE!</v>
      </c>
      <c r="AM10" s="120" t="e">
        <f>+tblActuals35415[[#This Row],[Team 1 Goals]]+tblActuals35415[[#This Row],[Team 2 Goals]]</f>
        <v>#VALUE!</v>
      </c>
      <c r="AN10" s="161">
        <f t="shared" si="3"/>
        <v>45459</v>
      </c>
      <c r="AP10" s="38" t="s">
        <v>82</v>
      </c>
      <c r="AT10" s="77"/>
      <c r="AU10" s="148"/>
      <c r="AV10" s="148"/>
      <c r="AW10" s="148"/>
      <c r="AX10" s="148"/>
      <c r="AY10" s="148"/>
      <c r="AZ10" s="75"/>
      <c r="BA10" s="42"/>
      <c r="BB10" s="4"/>
      <c r="BC10" s="4" t="s">
        <v>5</v>
      </c>
      <c r="BD10" s="4" t="s">
        <v>33</v>
      </c>
      <c r="BE10" s="4">
        <f>COUNTIF(tblActuals35415[Winner],BD10)</f>
        <v>0</v>
      </c>
      <c r="BF10" s="4">
        <f>COUNTIFS(tblActuals35415[Team 2],BD10,tblActuals35415[WINNER / RESULT],"Draw")+COUNTIFS(tblActuals35415[Team 1],BD10,tblActuals35415[WINNER / RESULT],"Draw")</f>
        <v>0</v>
      </c>
      <c r="BG10" s="4">
        <f>COUNTIF(tblActuals35415[Loser],BD10)</f>
        <v>0</v>
      </c>
      <c r="BH10" s="4">
        <f>BF10+(3*BE10)</f>
        <v>0</v>
      </c>
      <c r="BI10" s="4">
        <f>SUMIFS(tblActuals35415[Team 1 Goals],tblActuals35415[Team 1],BD10)+SUMIFS(tblActuals35415[Team 2 Goals],tblActuals35415[Team 2],BD10)</f>
        <v>0</v>
      </c>
      <c r="BJ10" s="4">
        <f>SUMIFS(tblActuals35415[Team 2 Goals],tblActuals35415[Team 1],BD10)+SUMIFS(tblActuals35415[Team 1 Goals],tblActuals35415[Team 2],BD10)</f>
        <v>0</v>
      </c>
      <c r="BK10" s="4">
        <f>BI10-BJ10</f>
        <v>0</v>
      </c>
      <c r="BL10" s="4">
        <f ca="1">RANK(BY10,$BY$9:$BY$12,1)</f>
        <v>2</v>
      </c>
      <c r="BM10" s="4" t="str">
        <f t="shared" si="4"/>
        <v/>
      </c>
      <c r="BN10" s="4" t="str">
        <f ca="1">IF(BM10="",BL10&amp;BC10,BM10&amp;BC10)</f>
        <v>2B</v>
      </c>
      <c r="BO10" s="4">
        <f>RANK(BH10,$BH$9:$BH$12,0)</f>
        <v>1</v>
      </c>
      <c r="BP10" s="4" cm="1">
        <f t="array" aca="1" ref="BP10" ca="1">SUMPRODUCT((OFFSET($CV$3:$EA$3,MATCH($BD10,$CU$4:$CU$35,0),0))*((IF($BO11=$BO10,$CV$3:$EA$3=$BD11,0))+(IF($BO12=$BO10,$CV$3:$EA$3=$BD12,0))+(IF($BO9=$BO10,$CV$3:$EA$3=$BD9,0))))</f>
        <v>0</v>
      </c>
      <c r="BQ10" s="4" cm="1">
        <f t="array" aca="1" ref="BQ10" ca="1">SUMPRODUCT((OFFSET($ED$3:$FI$3,MATCH($BD10,$EC$4:$EC$35,0),0))*((IF($BO11=$BO10,$ED$3:$FI$3=$BD11,0))+(IF($BO12=$BO10,$ED$3:$FI$3=$BD12,0))+(IF($BO9=$BO10,$ED$3:$FI$3=$BD9,0))))</f>
        <v>0</v>
      </c>
      <c r="BR10" s="4" cm="1">
        <f t="array" aca="1" ref="BR10" ca="1">SUMPRODUCT((OFFSET($FL$3:$GQ$3,MATCH($BD10,$FK$4:$FK$35,0),0))*((IF($BO11=$BO10,$FL$3:$GQ$3=$BD11,0))+(IF($BO12=$BO10,$FL$3:$GQ$3=$BD12,0))+(IF($BO9=$BO10,$FL$3:$GQ$3=$BD9,0))))</f>
        <v>0</v>
      </c>
      <c r="BS10" s="4" cm="1">
        <f t="array" aca="1" ref="BS10" ca="1">SUMPRODUCT((OFFSET($CV$3:$EA$3,MATCH($BD10,$CU$4:$CU$35,0),0))*((IF($BO11&lt;&gt;$BO10,$CV$3:$EA$3=$BD11,0))+(IF($BO12&lt;&gt;$BO10,$CV$3:$EA$3=$BD12,0))+(IF($BO9&lt;&gt;$BO10,$CV$3:$EA$3=$BD9,0))))</f>
        <v>0</v>
      </c>
      <c r="BT10" s="4" cm="1">
        <f t="array" aca="1" ref="BT10" ca="1">SUMPRODUCT((OFFSET($ED$3:$FI$3,MATCH($BD10,$EC$4:$EC$35,0),0))*((IF($BO11&lt;&gt;$BO10,$ED$3:$FI$3=$BD11,0))+(IF($BO12&lt;&gt;$BO10,$ED$3:$FI$3=$BD12,0))+(IF($BO9&lt;&gt;$BO10,$ED$3:$FI$3=$BD9,0))))</f>
        <v>0</v>
      </c>
      <c r="BU10" s="4" cm="1">
        <f t="array" aca="1" ref="BU10" ca="1">SUMPRODUCT((OFFSET($FL$3:$GQ$3,MATCH($BD10,$FK$4:$FK$35,0),0))*((IF($BO11&lt;&gt;$BO10,$FL$3:$GQ$3=$BD11,0))+(IF($BO12&lt;&gt;$BO10,$FL$3:$GQ$3=$BD12,0))+(IF($BO9&lt;&gt;$BO10,$FL$3:$GQ$3=$BD9,0))))</f>
        <v>0</v>
      </c>
      <c r="BV10" s="4">
        <f>BK10</f>
        <v>0</v>
      </c>
      <c r="BW10" s="4">
        <f>BI10</f>
        <v>0</v>
      </c>
      <c r="BX10" s="4">
        <f ca="1">(BP10/10)+(BQ10/100)+(BR10/1000)+(BT10/10000)+(BU10/100000)+(BV10/1000000)+(BW10/10000000)+(ROW(BS11)/100000000)</f>
        <v>1.1000000000000001E-7</v>
      </c>
      <c r="BY10" s="4">
        <f ca="1">+BO10-BX10</f>
        <v>0.99999989</v>
      </c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U10" s="4" t="s">
        <v>126</v>
      </c>
      <c r="CV10" s="56">
        <f>SUMIFS(tblActuals35415[Team 2 Points],tblActuals35415[Team 2],$CU10,tblActuals35415[Team 1],CV$3)+SUMIFS(tblActuals35415[Team 1 Points],tblActuals35415[Team 1],$CU10,tblActuals35415[Team 2],CV$3)</f>
        <v>0</v>
      </c>
      <c r="CW10" s="56">
        <f>SUMIFS(tblActuals35415[Team 2 Points],tblActuals35415[Team 2],$CU10,tblActuals35415[Team 1],CW$3)+SUMIFS(tblActuals35415[Team 1 Points],tblActuals35415[Team 1],$CU10,tblActuals35415[Team 2],CW$3)</f>
        <v>0</v>
      </c>
      <c r="CX10" s="56">
        <f>SUMIFS(tblActuals35415[Team 2 Points],tblActuals35415[Team 2],$CU10,tblActuals35415[Team 1],CX$3)+SUMIFS(tblActuals35415[Team 1 Points],tblActuals35415[Team 1],$CU10,tblActuals35415[Team 2],CX$3)</f>
        <v>0</v>
      </c>
      <c r="CY10" s="56">
        <f>SUMIFS(tblActuals35415[Team 2 Points],tblActuals35415[Team 2],$CU10,tblActuals35415[Team 1],CY$3)+SUMIFS(tblActuals35415[Team 1 Points],tblActuals35415[Team 1],$CU10,tblActuals35415[Team 2],CY$3)</f>
        <v>0</v>
      </c>
      <c r="CZ10" s="56">
        <f>SUMIFS(tblActuals35415[Team 2 Points],tblActuals35415[Team 2],$CU10,tblActuals35415[Team 1],CZ$3)+SUMIFS(tblActuals35415[Team 1 Points],tblActuals35415[Team 1],$CU10,tblActuals35415[Team 2],CZ$3)</f>
        <v>0</v>
      </c>
      <c r="DA10" s="56">
        <f>SUMIFS(tblActuals35415[Team 2 Points],tblActuals35415[Team 2],$CU10,tblActuals35415[Team 1],DA$3)+SUMIFS(tblActuals35415[Team 1 Points],tblActuals35415[Team 1],$CU10,tblActuals35415[Team 2],DA$3)</f>
        <v>0</v>
      </c>
      <c r="DB10" s="56">
        <f>SUMIFS(tblActuals35415[Team 2 Points],tblActuals35415[Team 2],$CU10,tblActuals35415[Team 1],DB$3)+SUMIFS(tblActuals35415[Team 1 Points],tblActuals35415[Team 1],$CU10,tblActuals35415[Team 2],DB$3)</f>
        <v>0</v>
      </c>
      <c r="DC10" s="56">
        <f>SUMIFS(tblActuals35415[Team 2 Points],tblActuals35415[Team 2],$CU10,tblActuals35415[Team 1],DC$3)+SUMIFS(tblActuals35415[Team 1 Points],tblActuals35415[Team 1],$CU10,tblActuals35415[Team 2],DC$3)</f>
        <v>0</v>
      </c>
      <c r="DD10" s="56">
        <f>SUMIFS(tblActuals35415[Team 2 Points],tblActuals35415[Team 2],$CU10,tblActuals35415[Team 1],DD$3)+SUMIFS(tblActuals35415[Team 1 Points],tblActuals35415[Team 1],$CU10,tblActuals35415[Team 2],DD$3)</f>
        <v>0</v>
      </c>
      <c r="DE10" s="56">
        <f>SUMIFS(tblActuals35415[Team 2 Points],tblActuals35415[Team 2],$CU10,tblActuals35415[Team 1],DE$3)+SUMIFS(tblActuals35415[Team 1 Points],tblActuals35415[Team 1],$CU10,tblActuals35415[Team 2],DE$3)</f>
        <v>0</v>
      </c>
      <c r="DF10" s="56">
        <f>SUMIFS(tblActuals35415[Team 2 Points],tblActuals35415[Team 2],$CU10,tblActuals35415[Team 1],DF$3)+SUMIFS(tblActuals35415[Team 1 Points],tblActuals35415[Team 1],$CU10,tblActuals35415[Team 2],DF$3)</f>
        <v>0</v>
      </c>
      <c r="DG10" s="56">
        <f>SUMIFS(tblActuals35415[Team 2 Points],tblActuals35415[Team 2],$CU10,tblActuals35415[Team 1],DG$3)+SUMIFS(tblActuals35415[Team 1 Points],tblActuals35415[Team 1],$CU10,tblActuals35415[Team 2],DG$3)</f>
        <v>0</v>
      </c>
      <c r="DH10" s="56">
        <f>SUMIFS(tblActuals35415[Team 2 Points],tblActuals35415[Team 2],$CU10,tblActuals35415[Team 1],DH$3)+SUMIFS(tblActuals35415[Team 1 Points],tblActuals35415[Team 1],$CU10,tblActuals35415[Team 2],DH$3)</f>
        <v>0</v>
      </c>
      <c r="DI10" s="56">
        <f>SUMIFS(tblActuals35415[Team 2 Points],tblActuals35415[Team 2],$CU10,tblActuals35415[Team 1],DI$3)+SUMIFS(tblActuals35415[Team 1 Points],tblActuals35415[Team 1],$CU10,tblActuals35415[Team 2],DI$3)</f>
        <v>0</v>
      </c>
      <c r="DJ10" s="56">
        <f>SUMIFS(tblActuals35415[Team 2 Points],tblActuals35415[Team 2],$CU10,tblActuals35415[Team 1],DJ$3)+SUMIFS(tblActuals35415[Team 1 Points],tblActuals35415[Team 1],$CU10,tblActuals35415[Team 2],DJ$3)</f>
        <v>0</v>
      </c>
      <c r="DK10" s="56">
        <f>SUMIFS(tblActuals35415[Team 2 Points],tblActuals35415[Team 2],$CU10,tblActuals35415[Team 1],DK$3)+SUMIFS(tblActuals35415[Team 1 Points],tblActuals35415[Team 1],$CU10,tblActuals35415[Team 2],DK$3)</f>
        <v>0</v>
      </c>
      <c r="DL10" s="56">
        <f>SUMIFS(tblActuals35415[Team 2 Points],tblActuals35415[Team 2],$CU10,tblActuals35415[Team 1],DL$3)+SUMIFS(tblActuals35415[Team 1 Points],tblActuals35415[Team 1],$CU10,tblActuals35415[Team 2],DL$3)</f>
        <v>0</v>
      </c>
      <c r="DM10" s="56">
        <f>SUMIFS(tblActuals35415[Team 2 Points],tblActuals35415[Team 2],$CU10,tblActuals35415[Team 1],DM$3)+SUMIFS(tblActuals35415[Team 1 Points],tblActuals35415[Team 1],$CU10,tblActuals35415[Team 2],DM$3)</f>
        <v>0</v>
      </c>
      <c r="DN10" s="56">
        <f>SUMIFS(tblActuals35415[Team 2 Points],tblActuals35415[Team 2],$CU10,tblActuals35415[Team 1],DN$3)+SUMIFS(tblActuals35415[Team 1 Points],tblActuals35415[Team 1],$CU10,tblActuals35415[Team 2],DN$3)</f>
        <v>0</v>
      </c>
      <c r="DO10" s="56">
        <f>SUMIFS(tblActuals35415[Team 2 Points],tblActuals35415[Team 2],$CU10,tblActuals35415[Team 1],DO$3)+SUMIFS(tblActuals35415[Team 1 Points],tblActuals35415[Team 1],$CU10,tblActuals35415[Team 2],DO$3)</f>
        <v>0</v>
      </c>
      <c r="DP10" s="56">
        <f>SUMIFS(tblActuals35415[Team 2 Points],tblActuals35415[Team 2],$CU10,tblActuals35415[Team 1],DP$3)+SUMIFS(tblActuals35415[Team 1 Points],tblActuals35415[Team 1],$CU10,tblActuals35415[Team 2],DP$3)</f>
        <v>0</v>
      </c>
      <c r="DQ10" s="56">
        <f>SUMIFS(tblActuals35415[Team 2 Points],tblActuals35415[Team 2],$CU10,tblActuals35415[Team 1],DQ$3)+SUMIFS(tblActuals35415[Team 1 Points],tblActuals35415[Team 1],$CU10,tblActuals35415[Team 2],DQ$3)</f>
        <v>0</v>
      </c>
      <c r="DR10" s="56">
        <f>SUMIFS(tblActuals35415[Team 2 Points],tblActuals35415[Team 2],$CU10,tblActuals35415[Team 1],DR$3)+SUMIFS(tblActuals35415[Team 1 Points],tblActuals35415[Team 1],$CU10,tblActuals35415[Team 2],DR$3)</f>
        <v>0</v>
      </c>
      <c r="DS10" s="56">
        <f>SUMIFS(tblActuals35415[Team 2 Points],tblActuals35415[Team 2],$CU10,tblActuals35415[Team 1],DS$3)+SUMIFS(tblActuals35415[Team 1 Points],tblActuals35415[Team 1],$CU10,tblActuals35415[Team 2],DS$3)</f>
        <v>0</v>
      </c>
      <c r="DT10" s="57"/>
      <c r="DU10" s="57"/>
      <c r="DV10" s="57"/>
      <c r="DW10" s="57"/>
      <c r="DX10" s="57"/>
      <c r="DY10" s="57"/>
      <c r="DZ10" s="57"/>
      <c r="EA10" s="57"/>
      <c r="EB10" s="4"/>
      <c r="EC10" s="4" t="s">
        <v>126</v>
      </c>
      <c r="ED10" s="56">
        <f>SUMIFS(tblActuals35415[Team 2 GD],tblActuals35415[Team 2],$CU10,tblActuals35415[Team 1],ED$3)+SUMIFS(tblActuals35415[Team 1 GD],tblActuals35415[Team 1],$CU10,tblActuals35415[Team 2],ED$3)</f>
        <v>0</v>
      </c>
      <c r="EE10" s="56">
        <f>SUMIFS(tblActuals35415[Team 2 GD],tblActuals35415[Team 2],$CU10,tblActuals35415[Team 1],EE$3)+SUMIFS(tblActuals35415[Team 1 GD],tblActuals35415[Team 1],$CU10,tblActuals35415[Team 2],EE$3)</f>
        <v>0</v>
      </c>
      <c r="EF10" s="56">
        <f>SUMIFS(tblActuals35415[Team 2 GD],tblActuals35415[Team 2],$CU10,tblActuals35415[Team 1],EF$3)+SUMIFS(tblActuals35415[Team 1 GD],tblActuals35415[Team 1],$CU10,tblActuals35415[Team 2],EF$3)</f>
        <v>0</v>
      </c>
      <c r="EG10" s="56">
        <f>SUMIFS(tblActuals35415[Team 2 GD],tblActuals35415[Team 2],$CU10,tblActuals35415[Team 1],EG$3)+SUMIFS(tblActuals35415[Team 1 GD],tblActuals35415[Team 1],$CU10,tblActuals35415[Team 2],EG$3)</f>
        <v>0</v>
      </c>
      <c r="EH10" s="56">
        <f>SUMIFS(tblActuals35415[Team 2 GD],tblActuals35415[Team 2],$CU10,tblActuals35415[Team 1],EH$3)+SUMIFS(tblActuals35415[Team 1 GD],tblActuals35415[Team 1],$CU10,tblActuals35415[Team 2],EH$3)</f>
        <v>0</v>
      </c>
      <c r="EI10" s="56">
        <f>SUMIFS(tblActuals35415[Team 2 GD],tblActuals35415[Team 2],$CU10,tblActuals35415[Team 1],EI$3)+SUMIFS(tblActuals35415[Team 1 GD],tblActuals35415[Team 1],$CU10,tblActuals35415[Team 2],EI$3)</f>
        <v>0</v>
      </c>
      <c r="EJ10" s="56">
        <f>SUMIFS(tblActuals35415[Team 2 GD],tblActuals35415[Team 2],$CU10,tblActuals35415[Team 1],EJ$3)+SUMIFS(tblActuals35415[Team 1 GD],tblActuals35415[Team 1],$CU10,tblActuals35415[Team 2],EJ$3)</f>
        <v>0</v>
      </c>
      <c r="EK10" s="56">
        <f>SUMIFS(tblActuals35415[Team 2 GD],tblActuals35415[Team 2],$CU10,tblActuals35415[Team 1],EK$3)+SUMIFS(tblActuals35415[Team 1 GD],tblActuals35415[Team 1],$CU10,tblActuals35415[Team 2],EK$3)</f>
        <v>0</v>
      </c>
      <c r="EL10" s="56">
        <f>SUMIFS(tblActuals35415[Team 2 GD],tblActuals35415[Team 2],$CU10,tblActuals35415[Team 1],EL$3)+SUMIFS(tblActuals35415[Team 1 GD],tblActuals35415[Team 1],$CU10,tblActuals35415[Team 2],EL$3)</f>
        <v>0</v>
      </c>
      <c r="EM10" s="56">
        <f>SUMIFS(tblActuals35415[Team 2 GD],tblActuals35415[Team 2],$CU10,tblActuals35415[Team 1],EM$3)+SUMIFS(tblActuals35415[Team 1 GD],tblActuals35415[Team 1],$CU10,tblActuals35415[Team 2],EM$3)</f>
        <v>0</v>
      </c>
      <c r="EN10" s="56">
        <f>SUMIFS(tblActuals35415[Team 2 GD],tblActuals35415[Team 2],$CU10,tblActuals35415[Team 1],EN$3)+SUMIFS(tblActuals35415[Team 1 GD],tblActuals35415[Team 1],$CU10,tblActuals35415[Team 2],EN$3)</f>
        <v>0</v>
      </c>
      <c r="EO10" s="56">
        <f>SUMIFS(tblActuals35415[Team 2 GD],tblActuals35415[Team 2],$CU10,tblActuals35415[Team 1],EO$3)+SUMIFS(tblActuals35415[Team 1 GD],tblActuals35415[Team 1],$CU10,tblActuals35415[Team 2],EO$3)</f>
        <v>0</v>
      </c>
      <c r="EP10" s="56">
        <f>SUMIFS(tblActuals35415[Team 2 GD],tblActuals35415[Team 2],$CU10,tblActuals35415[Team 1],EP$3)+SUMIFS(tblActuals35415[Team 1 GD],tblActuals35415[Team 1],$CU10,tblActuals35415[Team 2],EP$3)</f>
        <v>0</v>
      </c>
      <c r="EQ10" s="56">
        <f>SUMIFS(tblActuals35415[Team 2 GD],tblActuals35415[Team 2],$CU10,tblActuals35415[Team 1],EQ$3)+SUMIFS(tblActuals35415[Team 1 GD],tblActuals35415[Team 1],$CU10,tblActuals35415[Team 2],EQ$3)</f>
        <v>0</v>
      </c>
      <c r="ER10" s="56">
        <f>SUMIFS(tblActuals35415[Team 2 GD],tblActuals35415[Team 2],$CU10,tblActuals35415[Team 1],ER$3)+SUMIFS(tblActuals35415[Team 1 GD],tblActuals35415[Team 1],$CU10,tblActuals35415[Team 2],ER$3)</f>
        <v>0</v>
      </c>
      <c r="ES10" s="56">
        <f>SUMIFS(tblActuals35415[Team 2 GD],tblActuals35415[Team 2],$CU10,tblActuals35415[Team 1],ES$3)+SUMIFS(tblActuals35415[Team 1 GD],tblActuals35415[Team 1],$CU10,tblActuals35415[Team 2],ES$3)</f>
        <v>0</v>
      </c>
      <c r="ET10" s="56">
        <f>SUMIFS(tblActuals35415[Team 2 GD],tblActuals35415[Team 2],$CU10,tblActuals35415[Team 1],ET$3)+SUMIFS(tblActuals35415[Team 1 GD],tblActuals35415[Team 1],$CU10,tblActuals35415[Team 2],ET$3)</f>
        <v>0</v>
      </c>
      <c r="EU10" s="56">
        <f>SUMIFS(tblActuals35415[Team 2 GD],tblActuals35415[Team 2],$CU10,tblActuals35415[Team 1],EU$3)+SUMIFS(tblActuals35415[Team 1 GD],tblActuals35415[Team 1],$CU10,tblActuals35415[Team 2],EU$3)</f>
        <v>0</v>
      </c>
      <c r="EV10" s="56">
        <f>SUMIFS(tblActuals35415[Team 2 GD],tblActuals35415[Team 2],$CU10,tblActuals35415[Team 1],EV$3)+SUMIFS(tblActuals35415[Team 1 GD],tblActuals35415[Team 1],$CU10,tblActuals35415[Team 2],EV$3)</f>
        <v>0</v>
      </c>
      <c r="EW10" s="56">
        <f>SUMIFS(tblActuals35415[Team 2 GD],tblActuals35415[Team 2],$CU10,tblActuals35415[Team 1],EW$3)+SUMIFS(tblActuals35415[Team 1 GD],tblActuals35415[Team 1],$CU10,tblActuals35415[Team 2],EW$3)</f>
        <v>0</v>
      </c>
      <c r="EX10" s="56">
        <f>SUMIFS(tblActuals35415[Team 2 GD],tblActuals35415[Team 2],$CU10,tblActuals35415[Team 1],EX$3)+SUMIFS(tblActuals35415[Team 1 GD],tblActuals35415[Team 1],$CU10,tblActuals35415[Team 2],EX$3)</f>
        <v>0</v>
      </c>
      <c r="EY10" s="56">
        <f>SUMIFS(tblActuals35415[Team 2 GD],tblActuals35415[Team 2],$CU10,tblActuals35415[Team 1],EY$3)+SUMIFS(tblActuals35415[Team 1 GD],tblActuals35415[Team 1],$CU10,tblActuals35415[Team 2],EY$3)</f>
        <v>0</v>
      </c>
      <c r="EZ10" s="56">
        <f>SUMIFS(tblActuals35415[Team 2 GD],tblActuals35415[Team 2],$CU10,tblActuals35415[Team 1],EZ$3)+SUMIFS(tblActuals35415[Team 1 GD],tblActuals35415[Team 1],$CU10,tblActuals35415[Team 2],EZ$3)</f>
        <v>0</v>
      </c>
      <c r="FA10" s="56">
        <f>SUMIFS(tblActuals35415[Team 2 GD],tblActuals35415[Team 2],$CU10,tblActuals35415[Team 1],FA$3)+SUMIFS(tblActuals35415[Team 1 GD],tblActuals35415[Team 1],$CU10,tblActuals35415[Team 2],FA$3)</f>
        <v>0</v>
      </c>
      <c r="FB10" s="57"/>
      <c r="FC10" s="57"/>
      <c r="FD10" s="57"/>
      <c r="FE10" s="57"/>
      <c r="FF10" s="57"/>
      <c r="FG10" s="57"/>
      <c r="FH10" s="57"/>
      <c r="FI10" s="57"/>
      <c r="FJ10" s="4"/>
      <c r="FK10" s="4" t="s">
        <v>126</v>
      </c>
      <c r="FL10" s="56">
        <f>SUMIFS(tblActuals35415[Team 2 Goals],tblActuals35415[Team 2],$CU10,tblActuals35415[Team 1],FL$3)+SUMIFS(tblActuals35415[Team 1 Goals],tblActuals35415[Team 1],$CU10,tblActuals35415[Team 2],FL$3)</f>
        <v>0</v>
      </c>
      <c r="FM10" s="56">
        <f>SUMIFS(tblActuals35415[Team 2 Goals],tblActuals35415[Team 2],$CU10,tblActuals35415[Team 1],FM$3)+SUMIFS(tblActuals35415[Team 1 Goals],tblActuals35415[Team 1],$CU10,tblActuals35415[Team 2],FM$3)</f>
        <v>0</v>
      </c>
      <c r="FN10" s="56">
        <f>SUMIFS(tblActuals35415[Team 2 Goals],tblActuals35415[Team 2],$CU10,tblActuals35415[Team 1],FN$3)+SUMIFS(tblActuals35415[Team 1 Goals],tblActuals35415[Team 1],$CU10,tblActuals35415[Team 2],FN$3)</f>
        <v>0</v>
      </c>
      <c r="FO10" s="56">
        <f>SUMIFS(tblActuals35415[Team 2 Goals],tblActuals35415[Team 2],$CU10,tblActuals35415[Team 1],FO$3)+SUMIFS(tblActuals35415[Team 1 Goals],tblActuals35415[Team 1],$CU10,tblActuals35415[Team 2],FO$3)</f>
        <v>0</v>
      </c>
      <c r="FP10" s="56">
        <f>SUMIFS(tblActuals35415[Team 2 Goals],tblActuals35415[Team 2],$CU10,tblActuals35415[Team 1],FP$3)+SUMIFS(tblActuals35415[Team 1 Goals],tblActuals35415[Team 1],$CU10,tblActuals35415[Team 2],FP$3)</f>
        <v>0</v>
      </c>
      <c r="FQ10" s="56">
        <f>SUMIFS(tblActuals35415[Team 2 Goals],tblActuals35415[Team 2],$CU10,tblActuals35415[Team 1],FQ$3)+SUMIFS(tblActuals35415[Team 1 Goals],tblActuals35415[Team 1],$CU10,tblActuals35415[Team 2],FQ$3)</f>
        <v>0</v>
      </c>
      <c r="FR10" s="56">
        <f>SUMIFS(tblActuals35415[Team 2 Goals],tblActuals35415[Team 2],$CU10,tblActuals35415[Team 1],FR$3)+SUMIFS(tblActuals35415[Team 1 Goals],tblActuals35415[Team 1],$CU10,tblActuals35415[Team 2],FR$3)</f>
        <v>0</v>
      </c>
      <c r="FS10" s="56">
        <f>SUMIFS(tblActuals35415[Team 2 Goals],tblActuals35415[Team 2],$CU10,tblActuals35415[Team 1],FS$3)+SUMIFS(tblActuals35415[Team 1 Goals],tblActuals35415[Team 1],$CU10,tblActuals35415[Team 2],FS$3)</f>
        <v>0</v>
      </c>
      <c r="FT10" s="56">
        <f>SUMIFS(tblActuals35415[Team 2 Goals],tblActuals35415[Team 2],$CU10,tblActuals35415[Team 1],FT$3)+SUMIFS(tblActuals35415[Team 1 Goals],tblActuals35415[Team 1],$CU10,tblActuals35415[Team 2],FT$3)</f>
        <v>0</v>
      </c>
      <c r="FU10" s="56">
        <f>SUMIFS(tblActuals35415[Team 2 Goals],tblActuals35415[Team 2],$CU10,tblActuals35415[Team 1],FU$3)+SUMIFS(tblActuals35415[Team 1 Goals],tblActuals35415[Team 1],$CU10,tblActuals35415[Team 2],FU$3)</f>
        <v>0</v>
      </c>
      <c r="FV10" s="56">
        <f>SUMIFS(tblActuals35415[Team 2 Goals],tblActuals35415[Team 2],$CU10,tblActuals35415[Team 1],FV$3)+SUMIFS(tblActuals35415[Team 1 Goals],tblActuals35415[Team 1],$CU10,tblActuals35415[Team 2],FV$3)</f>
        <v>0</v>
      </c>
      <c r="FW10" s="56">
        <f>SUMIFS(tblActuals35415[Team 2 Goals],tblActuals35415[Team 2],$CU10,tblActuals35415[Team 1],FW$3)+SUMIFS(tblActuals35415[Team 1 Goals],tblActuals35415[Team 1],$CU10,tblActuals35415[Team 2],FW$3)</f>
        <v>0</v>
      </c>
      <c r="FX10" s="56">
        <f>SUMIFS(tblActuals35415[Team 2 Goals],tblActuals35415[Team 2],$CU10,tblActuals35415[Team 1],FX$3)+SUMIFS(tblActuals35415[Team 1 Goals],tblActuals35415[Team 1],$CU10,tblActuals35415[Team 2],FX$3)</f>
        <v>0</v>
      </c>
      <c r="FY10" s="56">
        <f>SUMIFS(tblActuals35415[Team 2 Goals],tblActuals35415[Team 2],$CU10,tblActuals35415[Team 1],FY$3)+SUMIFS(tblActuals35415[Team 1 Goals],tblActuals35415[Team 1],$CU10,tblActuals35415[Team 2],FY$3)</f>
        <v>0</v>
      </c>
      <c r="FZ10" s="56">
        <f>SUMIFS(tblActuals35415[Team 2 Goals],tblActuals35415[Team 2],$CU10,tblActuals35415[Team 1],FZ$3)+SUMIFS(tblActuals35415[Team 1 Goals],tblActuals35415[Team 1],$CU10,tblActuals35415[Team 2],FZ$3)</f>
        <v>0</v>
      </c>
      <c r="GA10" s="56">
        <f>SUMIFS(tblActuals35415[Team 2 Goals],tblActuals35415[Team 2],$CU10,tblActuals35415[Team 1],GA$3)+SUMIFS(tblActuals35415[Team 1 Goals],tblActuals35415[Team 1],$CU10,tblActuals35415[Team 2],GA$3)</f>
        <v>0</v>
      </c>
      <c r="GB10" s="56">
        <f>SUMIFS(tblActuals35415[Team 2 Goals],tblActuals35415[Team 2],$CU10,tblActuals35415[Team 1],GB$3)+SUMIFS(tblActuals35415[Team 1 Goals],tblActuals35415[Team 1],$CU10,tblActuals35415[Team 2],GB$3)</f>
        <v>0</v>
      </c>
      <c r="GC10" s="56">
        <f>SUMIFS(tblActuals35415[Team 2 Goals],tblActuals35415[Team 2],$CU10,tblActuals35415[Team 1],GC$3)+SUMIFS(tblActuals35415[Team 1 Goals],tblActuals35415[Team 1],$CU10,tblActuals35415[Team 2],GC$3)</f>
        <v>0</v>
      </c>
      <c r="GD10" s="56">
        <f>SUMIFS(tblActuals35415[Team 2 Goals],tblActuals35415[Team 2],$CU10,tblActuals35415[Team 1],GD$3)+SUMIFS(tblActuals35415[Team 1 Goals],tblActuals35415[Team 1],$CU10,tblActuals35415[Team 2],GD$3)</f>
        <v>0</v>
      </c>
      <c r="GE10" s="56">
        <f>SUMIFS(tblActuals35415[Team 2 Goals],tblActuals35415[Team 2],$CU10,tblActuals35415[Team 1],GE$3)+SUMIFS(tblActuals35415[Team 1 Goals],tblActuals35415[Team 1],$CU10,tblActuals35415[Team 2],GE$3)</f>
        <v>0</v>
      </c>
      <c r="GF10" s="56">
        <f>SUMIFS(tblActuals35415[Team 2 Goals],tblActuals35415[Team 2],$CU10,tblActuals35415[Team 1],GF$3)+SUMIFS(tblActuals35415[Team 1 Goals],tblActuals35415[Team 1],$CU10,tblActuals35415[Team 2],GF$3)</f>
        <v>0</v>
      </c>
      <c r="GG10" s="56">
        <f>SUMIFS(tblActuals35415[Team 2 Goals],tblActuals35415[Team 2],$CU10,tblActuals35415[Team 1],GG$3)+SUMIFS(tblActuals35415[Team 1 Goals],tblActuals35415[Team 1],$CU10,tblActuals35415[Team 2],GG$3)</f>
        <v>0</v>
      </c>
      <c r="GH10" s="56">
        <f>SUMIFS(tblActuals35415[Team 2 Goals],tblActuals35415[Team 2],$CU10,tblActuals35415[Team 1],GH$3)+SUMIFS(tblActuals35415[Team 1 Goals],tblActuals35415[Team 1],$CU10,tblActuals35415[Team 2],GH$3)</f>
        <v>0</v>
      </c>
      <c r="GI10" s="56">
        <f>SUMIFS(tblActuals35415[Team 2 Goals],tblActuals35415[Team 2],$CU10,tblActuals35415[Team 1],GI$3)+SUMIFS(tblActuals35415[Team 1 Goals],tblActuals35415[Team 1],$CU10,tblActuals35415[Team 2],GI$3)</f>
        <v>0</v>
      </c>
      <c r="GJ10" s="57"/>
      <c r="GK10" s="57"/>
      <c r="GL10" s="37"/>
      <c r="GM10" s="37"/>
      <c r="GN10" s="37"/>
      <c r="GO10" s="37"/>
      <c r="GP10" s="37"/>
      <c r="GQ10" s="37"/>
      <c r="GR10" s="75"/>
      <c r="GS10" s="156"/>
      <c r="GT10" s="156"/>
      <c r="GU10" s="75"/>
      <c r="GW10" s="75"/>
      <c r="GX10" s="75"/>
      <c r="GY10" s="75"/>
      <c r="GZ10" s="75"/>
      <c r="HB10" s="4" t="str">
        <f t="shared" si="12"/>
        <v>ABEF</v>
      </c>
      <c r="HC10" s="44" t="s">
        <v>1</v>
      </c>
      <c r="HD10" s="44" t="s">
        <v>5</v>
      </c>
      <c r="HE10" s="45"/>
      <c r="HF10" s="45"/>
      <c r="HG10" s="44" t="s">
        <v>12</v>
      </c>
      <c r="HH10" s="44" t="s">
        <v>45</v>
      </c>
      <c r="HI10" s="178"/>
      <c r="HJ10" s="45" t="s">
        <v>153</v>
      </c>
      <c r="HK10" s="45" t="s">
        <v>154</v>
      </c>
      <c r="HL10" s="45" t="s">
        <v>151</v>
      </c>
      <c r="HM10" s="45" t="s">
        <v>149</v>
      </c>
    </row>
    <row r="11" spans="1:221" s="11" customFormat="1" ht="30" customHeight="1" thickBot="1" x14ac:dyDescent="0.25">
      <c r="A11" s="20"/>
      <c r="B11" s="122">
        <v>8</v>
      </c>
      <c r="C11" s="122" t="s">
        <v>7</v>
      </c>
      <c r="D11" s="123">
        <v>45460</v>
      </c>
      <c r="E11" s="122" t="s">
        <v>85</v>
      </c>
      <c r="F11" s="124">
        <v>0.875</v>
      </c>
      <c r="G11" s="125">
        <f t="shared" si="11"/>
        <v>45460.625</v>
      </c>
      <c r="H11" s="122" t="s">
        <v>96</v>
      </c>
      <c r="I11" s="126"/>
      <c r="J11" s="118"/>
      <c r="K11" s="118"/>
      <c r="L11" s="174">
        <f>IF(I11="",0,IFERROR(IF(SCORING.RULES!$C$8="No",1,((VLOOKUP($B11,ACTUALS!$B$4:$L$100,7,FALSE)=$H11)+(VLOOKUP($B11,ACTUALS!$B$4:$L$100,7,FALSE)=S11)))*(M11+N11+O11+P11+Q11),0))+$R11</f>
        <v>0</v>
      </c>
      <c r="M11" s="168">
        <f>IFERROR(IF($B11="","",IF(U11=INDEX(ACTUALS!$AA$4:$AA$100,MATCH($B11,ACTUALS!$B$4:$B$100,0),1),CorrectScore,0)),0)</f>
        <v>0</v>
      </c>
      <c r="N11" s="157" t="str">
        <f>IFERROR(IF(I11="","",IF(INDEX(ACTUALS!$AB$4:$AB$100,MATCH($B11,ACTUALS!$B$4:$B$100,0),1)=(AB11+AC11+AH11+AI11),CorrectNumberofGoals,0)),0)</f>
        <v/>
      </c>
      <c r="O11" s="157"/>
      <c r="P11" s="157">
        <f>IFERROR(IF(B11="","",IF(INDEX(ACTUALS!$L$4:$L$100,MATCH($B11,ACTUALS!$B$4:$B$100,0),1)=W11,CorrectResult,0)),0)</f>
        <v>3</v>
      </c>
      <c r="Q11" s="157"/>
      <c r="R11" s="157"/>
      <c r="S11" s="157" t="str">
        <f t="shared" si="0"/>
        <v/>
      </c>
      <c r="T11" s="157"/>
      <c r="U11" s="157" t="str">
        <f t="shared" si="1"/>
        <v/>
      </c>
      <c r="V11" s="157" t="str">
        <f t="shared" si="2"/>
        <v/>
      </c>
      <c r="W11" s="119" t="str">
        <f>IF(tblActuals35415[[#This Row],[SCORE]]="","",IF(AB11=AC11,"Draw",IF(AB11&gt;AC11,X11,Y11)))</f>
        <v/>
      </c>
      <c r="X11" s="120" t="str">
        <f>IF(tblActuals35415[[#This Row],[TEAMS]]="","",LEFT(H11,FIND(" -",H11,1)-1))</f>
        <v>Austria</v>
      </c>
      <c r="Y11" s="120" t="str">
        <f>IF(tblActuals35415[[#This Row],[TEAMS]]="","",MID(H11,FIND("-",H11,1)+2,LEN(H11)-FIND("-",H11,1)+2))</f>
        <v>France</v>
      </c>
      <c r="Z11" s="120" t="str">
        <f>IF(tblActuals35415[[#This Row],[Team 1 Goals]]&gt;tblActuals35415[[#This Row],[Team 2 Goals]],tblActuals35415[[#This Row],[Team 1]],IF(tblActuals35415[[#This Row],[Team 2 Goals]]&gt;tblActuals35415[[#This Row],[Team 1 Goals]],tblActuals35415[[#This Row],[Team 2]],""))</f>
        <v/>
      </c>
      <c r="AA11" s="120" t="str">
        <f>IF(tblActuals35415[[#This Row],[Winner]]=tblActuals35415[[#This Row],[Team 1]],tblActuals35415[[#This Row],[Team 2]],IF(tblActuals35415[[#This Row],[Winner]]=tblActuals35415[[#This Row],[Team 2]],tblActuals35415[[#This Row],[Team 1]],""))</f>
        <v/>
      </c>
      <c r="AB11" s="120" t="str">
        <f>IF(tblActuals35415[[#This Row],[SCORE]]="","",LEFT(I11,FIND(":",I11,1)-1)*1)</f>
        <v/>
      </c>
      <c r="AC11" s="120" t="str">
        <f>IF(tblActuals35415[[#This Row],[SCORE]]="","",MID(I11,FIND(":",I11,1)+1,LEN(I11)-FIND(":",I11,1)+1)*1)</f>
        <v/>
      </c>
      <c r="AD11" s="120" t="str">
        <f>IF(OR(tblActuals35415[[#This Row],[Team 1 Goals]]="",tblActuals35415[[#This Row],[Team 2 Goals]]=""),"",tblActuals35415[[#This Row],[Team 1 Goals]]-tblActuals35415[[#This Row],[Team 2 Goals]])</f>
        <v/>
      </c>
      <c r="AE11" s="120" t="str">
        <f>IF(OR(tblActuals35415[[#This Row],[Team 1 Goals]]="",tblActuals35415[[#This Row],[Team 2 Goals]]=""),"",tblActuals35415[[#This Row],[Team 2 Goals]]-tblActuals35415[[#This Row],[Team 1 Goals]])</f>
        <v/>
      </c>
      <c r="AF11" s="120" t="str">
        <f>IF(tblActuals35415[[#This Row],[SCORE]]="","",IF(tblActuals35415[[#This Row],[WINNER / RESULT]]="Draw",1,IF(tblActuals35415[[#This Row],[WINNER / RESULT]]=tblActuals35415[[#This Row],[Team 1]],3,0)))</f>
        <v/>
      </c>
      <c r="AG11" s="120" t="str">
        <f>IF(tblActuals35415[[#This Row],[SCORE]]="","",IF(tblActuals35415[[#This Row],[WINNER / RESULT]]="Draw",1,IF(tblActuals35415[[#This Row],[WINNER / RESULT]]=tblActuals35415[[#This Row],[Team 2]],3,0)))</f>
        <v/>
      </c>
      <c r="AH11" s="121"/>
      <c r="AI11" s="121"/>
      <c r="AJ11" s="121"/>
      <c r="AK11" s="121"/>
      <c r="AL11" s="120" t="e">
        <f>tblActuals35415[[#This Row],[Team 1 Goals]]+tblActuals35415[[#This Row],[Team 1 ET Goals]]&amp;":"&amp;tblActuals35415[[#This Row],[Team 2 Goals]]+tblActuals35415[[#This Row],[Team 2 ET Goals]]</f>
        <v>#VALUE!</v>
      </c>
      <c r="AM11" s="120" t="e">
        <f>+tblActuals35415[[#This Row],[Team 1 Goals]]+tblActuals35415[[#This Row],[Team 2 Goals]]</f>
        <v>#VALUE!</v>
      </c>
      <c r="AN11" s="161">
        <f t="shared" si="3"/>
        <v>45460</v>
      </c>
      <c r="AP11" s="38" t="s">
        <v>84</v>
      </c>
      <c r="AT11" s="78"/>
      <c r="AU11" s="179" t="s">
        <v>52</v>
      </c>
      <c r="AV11" s="180"/>
      <c r="AW11" s="133" t="s">
        <v>46</v>
      </c>
      <c r="AX11" s="134" t="s">
        <v>57</v>
      </c>
      <c r="AY11" s="135" t="s">
        <v>11</v>
      </c>
      <c r="AZ11" s="75"/>
      <c r="BA11" s="42"/>
      <c r="BB11" s="4"/>
      <c r="BC11" s="4" t="s">
        <v>5</v>
      </c>
      <c r="BD11" s="4" t="s">
        <v>126</v>
      </c>
      <c r="BE11" s="4">
        <f>COUNTIF(tblActuals35415[Winner],BD11)</f>
        <v>0</v>
      </c>
      <c r="BF11" s="4">
        <f>COUNTIFS(tblActuals35415[Team 2],BD11,tblActuals35415[WINNER / RESULT],"Draw")+COUNTIFS(tblActuals35415[Team 1],BD11,tblActuals35415[WINNER / RESULT],"Draw")</f>
        <v>0</v>
      </c>
      <c r="BG11" s="4">
        <f>COUNTIF(tblActuals35415[Loser],BD11)</f>
        <v>0</v>
      </c>
      <c r="BH11" s="4">
        <f>BF11+(3*BE11)</f>
        <v>0</v>
      </c>
      <c r="BI11" s="4">
        <f>SUMIFS(tblActuals35415[Team 1 Goals],tblActuals35415[Team 1],BD11)+SUMIFS(tblActuals35415[Team 2 Goals],tblActuals35415[Team 2],BD11)</f>
        <v>0</v>
      </c>
      <c r="BJ11" s="4">
        <f>SUMIFS(tblActuals35415[Team 2 Goals],tblActuals35415[Team 1],BD11)+SUMIFS(tblActuals35415[Team 1 Goals],tblActuals35415[Team 2],BD11)</f>
        <v>0</v>
      </c>
      <c r="BK11" s="4">
        <f>BI11-BJ11</f>
        <v>0</v>
      </c>
      <c r="BL11" s="4">
        <f ca="1">RANK(BY11,$BY$9:$BY$12,1)</f>
        <v>3</v>
      </c>
      <c r="BM11" s="4" t="str">
        <f t="shared" si="4"/>
        <v/>
      </c>
      <c r="BN11" s="4" t="str">
        <f ca="1">IF(BM11="",BL11&amp;BC11,BM11&amp;BC11)</f>
        <v>3B</v>
      </c>
      <c r="BO11" s="4">
        <f>RANK(BH11,$BH$9:$BH$12,0)</f>
        <v>1</v>
      </c>
      <c r="BP11" s="4" cm="1">
        <f t="array" aca="1" ref="BP11" ca="1">SUMPRODUCT((OFFSET($CV$3:$EA$3,MATCH($BD11,$CU$4:$CU$35,0),0))*((IF($BO9=$BO11,$CV$3:$EA$3=$BD9,0))+(IF($BO12=$BO11,$CV$3:$EA$3=$BD12,0))+(IF($BO10=$BO11,$CV$3:$EA$3=$BD10,0))))</f>
        <v>0</v>
      </c>
      <c r="BQ11" s="4" cm="1">
        <f t="array" aca="1" ref="BQ11" ca="1">SUMPRODUCT((OFFSET($ED$3:$FI$3,MATCH($BD11,$EC$4:$EC$35,0),0))*((IF($BO9=$BO11,$ED$3:$FI$3=$BD9,0))+(IF($BO12=$BO11,$ED$3:$FI$3=$BD12,0))+(IF($BO10=$BO11,$ED$3:$FI$3=$BD10,0))))</f>
        <v>0</v>
      </c>
      <c r="BR11" s="4" cm="1">
        <f t="array" aca="1" ref="BR11" ca="1">SUMPRODUCT((OFFSET($FL$3:$GQ$3,MATCH($BD11,$FK$4:$FK$35,0),0))*((IF($BO9=$BO11,$FL$3:$GQ$3=$BD9,0))+(IF($BO12=$BO11,$FL$3:$GQ$3=$BD12,0))+(IF($BO10=$BO11,$FL$3:$GQ$3=$BD10,0))))</f>
        <v>0</v>
      </c>
      <c r="BS11" s="4" cm="1">
        <f t="array" aca="1" ref="BS11" ca="1">SUMPRODUCT((OFFSET($CV$3:$EA$3,MATCH($BD11,$CU$4:$CU$35,0),0))*((IF($BO9&lt;&gt;$BO11,$CV$3:$EA$3=$BD9,0))+(IF($BO12&lt;&gt;$BO11,$CV$3:$EA$3=$BD12,0))+(IF($BO10&lt;&gt;$BO11,$CV$3:$EA$3=$BD10,0))))</f>
        <v>0</v>
      </c>
      <c r="BT11" s="4" cm="1">
        <f t="array" aca="1" ref="BT11" ca="1">SUMPRODUCT((OFFSET($ED$3:$FI$3,MATCH($BD11,$EC$4:$EC$35,0),0))*((IF($BO9&lt;&gt;$BO11,$ED$3:$FI$3=$BD9,0))+(IF($BO12&lt;&gt;$BO11,$ED$3:$FI$3=$BD12,0))+(IF($BO10&lt;&gt;$BO11,$ED$3:$FI$3=$BD10,0))))</f>
        <v>0</v>
      </c>
      <c r="BU11" s="4" cm="1">
        <f t="array" aca="1" ref="BU11" ca="1">SUMPRODUCT((OFFSET($FL$3:$GQ$3,MATCH($BD11,$FK$4:$FK$35,0),0))*((IF($BO9&lt;&gt;$BO11,$FL$3:$GQ$3=$BD9,0))+(IF($BO12&lt;&gt;$BO11,$FL$3:$GQ$3=$BD12,0))+(IF($BO10&lt;&gt;$BO11,$FL$3:$GQ$3=$BD10,0))))</f>
        <v>0</v>
      </c>
      <c r="BV11" s="4">
        <f>BK11</f>
        <v>0</v>
      </c>
      <c r="BW11" s="4">
        <f>BI11</f>
        <v>0</v>
      </c>
      <c r="BX11" s="4">
        <f ca="1">(BP11/10)+(BQ11/100)+(BR11/1000)+(BT11/10000)+(BU11/100000)+(BV11/1000000)+(BW11/10000000)+(ROW(BS10)/100000000)</f>
        <v>9.9999999999999995E-8</v>
      </c>
      <c r="BY11" s="4">
        <f ca="1">+BO11-BX11</f>
        <v>0.99999990000000005</v>
      </c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U11" s="4" t="s">
        <v>127</v>
      </c>
      <c r="CV11" s="56">
        <f>SUMIFS(tblActuals35415[Team 2 Points],tblActuals35415[Team 2],$CU11,tblActuals35415[Team 1],CV$3)+SUMIFS(tblActuals35415[Team 1 Points],tblActuals35415[Team 1],$CU11,tblActuals35415[Team 2],CV$3)</f>
        <v>0</v>
      </c>
      <c r="CW11" s="56">
        <f>SUMIFS(tblActuals35415[Team 2 Points],tblActuals35415[Team 2],$CU11,tblActuals35415[Team 1],CW$3)+SUMIFS(tblActuals35415[Team 1 Points],tblActuals35415[Team 1],$CU11,tblActuals35415[Team 2],CW$3)</f>
        <v>0</v>
      </c>
      <c r="CX11" s="56">
        <f>SUMIFS(tblActuals35415[Team 2 Points],tblActuals35415[Team 2],$CU11,tblActuals35415[Team 1],CX$3)+SUMIFS(tblActuals35415[Team 1 Points],tblActuals35415[Team 1],$CU11,tblActuals35415[Team 2],CX$3)</f>
        <v>0</v>
      </c>
      <c r="CY11" s="56">
        <f>SUMIFS(tblActuals35415[Team 2 Points],tblActuals35415[Team 2],$CU11,tblActuals35415[Team 1],CY$3)+SUMIFS(tblActuals35415[Team 1 Points],tblActuals35415[Team 1],$CU11,tblActuals35415[Team 2],CY$3)</f>
        <v>0</v>
      </c>
      <c r="CZ11" s="56">
        <f>SUMIFS(tblActuals35415[Team 2 Points],tblActuals35415[Team 2],$CU11,tblActuals35415[Team 1],CZ$3)+SUMIFS(tblActuals35415[Team 1 Points],tblActuals35415[Team 1],$CU11,tblActuals35415[Team 2],CZ$3)</f>
        <v>0</v>
      </c>
      <c r="DA11" s="56">
        <f>SUMIFS(tblActuals35415[Team 2 Points],tblActuals35415[Team 2],$CU11,tblActuals35415[Team 1],DA$3)+SUMIFS(tblActuals35415[Team 1 Points],tblActuals35415[Team 1],$CU11,tblActuals35415[Team 2],DA$3)</f>
        <v>0</v>
      </c>
      <c r="DB11" s="56">
        <f>SUMIFS(tblActuals35415[Team 2 Points],tblActuals35415[Team 2],$CU11,tblActuals35415[Team 1],DB$3)+SUMIFS(tblActuals35415[Team 1 Points],tblActuals35415[Team 1],$CU11,tblActuals35415[Team 2],DB$3)</f>
        <v>0</v>
      </c>
      <c r="DC11" s="56">
        <f>SUMIFS(tblActuals35415[Team 2 Points],tblActuals35415[Team 2],$CU11,tblActuals35415[Team 1],DC$3)+SUMIFS(tblActuals35415[Team 1 Points],tblActuals35415[Team 1],$CU11,tblActuals35415[Team 2],DC$3)</f>
        <v>0</v>
      </c>
      <c r="DD11" s="56">
        <f>SUMIFS(tblActuals35415[Team 2 Points],tblActuals35415[Team 2],$CU11,tblActuals35415[Team 1],DD$3)+SUMIFS(tblActuals35415[Team 1 Points],tblActuals35415[Team 1],$CU11,tblActuals35415[Team 2],DD$3)</f>
        <v>0</v>
      </c>
      <c r="DE11" s="56">
        <f>SUMIFS(tblActuals35415[Team 2 Points],tblActuals35415[Team 2],$CU11,tblActuals35415[Team 1],DE$3)+SUMIFS(tblActuals35415[Team 1 Points],tblActuals35415[Team 1],$CU11,tblActuals35415[Team 2],DE$3)</f>
        <v>0</v>
      </c>
      <c r="DF11" s="56">
        <f>SUMIFS(tblActuals35415[Team 2 Points],tblActuals35415[Team 2],$CU11,tblActuals35415[Team 1],DF$3)+SUMIFS(tblActuals35415[Team 1 Points],tblActuals35415[Team 1],$CU11,tblActuals35415[Team 2],DF$3)</f>
        <v>0</v>
      </c>
      <c r="DG11" s="56">
        <f>SUMIFS(tblActuals35415[Team 2 Points],tblActuals35415[Team 2],$CU11,tblActuals35415[Team 1],DG$3)+SUMIFS(tblActuals35415[Team 1 Points],tblActuals35415[Team 1],$CU11,tblActuals35415[Team 2],DG$3)</f>
        <v>0</v>
      </c>
      <c r="DH11" s="56">
        <f>SUMIFS(tblActuals35415[Team 2 Points],tblActuals35415[Team 2],$CU11,tblActuals35415[Team 1],DH$3)+SUMIFS(tblActuals35415[Team 1 Points],tblActuals35415[Team 1],$CU11,tblActuals35415[Team 2],DH$3)</f>
        <v>0</v>
      </c>
      <c r="DI11" s="56">
        <f>SUMIFS(tblActuals35415[Team 2 Points],tblActuals35415[Team 2],$CU11,tblActuals35415[Team 1],DI$3)+SUMIFS(tblActuals35415[Team 1 Points],tblActuals35415[Team 1],$CU11,tblActuals35415[Team 2],DI$3)</f>
        <v>0</v>
      </c>
      <c r="DJ11" s="56">
        <f>SUMIFS(tblActuals35415[Team 2 Points],tblActuals35415[Team 2],$CU11,tblActuals35415[Team 1],DJ$3)+SUMIFS(tblActuals35415[Team 1 Points],tblActuals35415[Team 1],$CU11,tblActuals35415[Team 2],DJ$3)</f>
        <v>0</v>
      </c>
      <c r="DK11" s="56">
        <f>SUMIFS(tblActuals35415[Team 2 Points],tblActuals35415[Team 2],$CU11,tblActuals35415[Team 1],DK$3)+SUMIFS(tblActuals35415[Team 1 Points],tblActuals35415[Team 1],$CU11,tblActuals35415[Team 2],DK$3)</f>
        <v>0</v>
      </c>
      <c r="DL11" s="56">
        <f>SUMIFS(tblActuals35415[Team 2 Points],tblActuals35415[Team 2],$CU11,tblActuals35415[Team 1],DL$3)+SUMIFS(tblActuals35415[Team 1 Points],tblActuals35415[Team 1],$CU11,tblActuals35415[Team 2],DL$3)</f>
        <v>0</v>
      </c>
      <c r="DM11" s="56">
        <f>SUMIFS(tblActuals35415[Team 2 Points],tblActuals35415[Team 2],$CU11,tblActuals35415[Team 1],DM$3)+SUMIFS(tblActuals35415[Team 1 Points],tblActuals35415[Team 1],$CU11,tblActuals35415[Team 2],DM$3)</f>
        <v>0</v>
      </c>
      <c r="DN11" s="56">
        <f>SUMIFS(tblActuals35415[Team 2 Points],tblActuals35415[Team 2],$CU11,tblActuals35415[Team 1],DN$3)+SUMIFS(tblActuals35415[Team 1 Points],tblActuals35415[Team 1],$CU11,tblActuals35415[Team 2],DN$3)</f>
        <v>0</v>
      </c>
      <c r="DO11" s="56">
        <f>SUMIFS(tblActuals35415[Team 2 Points],tblActuals35415[Team 2],$CU11,tblActuals35415[Team 1],DO$3)+SUMIFS(tblActuals35415[Team 1 Points],tblActuals35415[Team 1],$CU11,tblActuals35415[Team 2],DO$3)</f>
        <v>0</v>
      </c>
      <c r="DP11" s="56">
        <f>SUMIFS(tblActuals35415[Team 2 Points],tblActuals35415[Team 2],$CU11,tblActuals35415[Team 1],DP$3)+SUMIFS(tblActuals35415[Team 1 Points],tblActuals35415[Team 1],$CU11,tblActuals35415[Team 2],DP$3)</f>
        <v>0</v>
      </c>
      <c r="DQ11" s="56">
        <f>SUMIFS(tblActuals35415[Team 2 Points],tblActuals35415[Team 2],$CU11,tblActuals35415[Team 1],DQ$3)+SUMIFS(tblActuals35415[Team 1 Points],tblActuals35415[Team 1],$CU11,tblActuals35415[Team 2],DQ$3)</f>
        <v>0</v>
      </c>
      <c r="DR11" s="56">
        <f>SUMIFS(tblActuals35415[Team 2 Points],tblActuals35415[Team 2],$CU11,tblActuals35415[Team 1],DR$3)+SUMIFS(tblActuals35415[Team 1 Points],tblActuals35415[Team 1],$CU11,tblActuals35415[Team 2],DR$3)</f>
        <v>0</v>
      </c>
      <c r="DS11" s="56">
        <f>SUMIFS(tblActuals35415[Team 2 Points],tblActuals35415[Team 2],$CU11,tblActuals35415[Team 1],DS$3)+SUMIFS(tblActuals35415[Team 1 Points],tblActuals35415[Team 1],$CU11,tblActuals35415[Team 2],DS$3)</f>
        <v>0</v>
      </c>
      <c r="DT11" s="57"/>
      <c r="DU11" s="57"/>
      <c r="DV11" s="57"/>
      <c r="DW11" s="57"/>
      <c r="DX11" s="57"/>
      <c r="DY11" s="57"/>
      <c r="DZ11" s="57"/>
      <c r="EA11" s="57"/>
      <c r="EB11" s="4"/>
      <c r="EC11" s="4" t="s">
        <v>127</v>
      </c>
      <c r="ED11" s="56">
        <f>SUMIFS(tblActuals35415[Team 2 GD],tblActuals35415[Team 2],$CU11,tblActuals35415[Team 1],ED$3)+SUMIFS(tblActuals35415[Team 1 GD],tblActuals35415[Team 1],$CU11,tblActuals35415[Team 2],ED$3)</f>
        <v>0</v>
      </c>
      <c r="EE11" s="56">
        <f>SUMIFS(tblActuals35415[Team 2 GD],tblActuals35415[Team 2],$CU11,tblActuals35415[Team 1],EE$3)+SUMIFS(tblActuals35415[Team 1 GD],tblActuals35415[Team 1],$CU11,tblActuals35415[Team 2],EE$3)</f>
        <v>0</v>
      </c>
      <c r="EF11" s="56">
        <f>SUMIFS(tblActuals35415[Team 2 GD],tblActuals35415[Team 2],$CU11,tblActuals35415[Team 1],EF$3)+SUMIFS(tblActuals35415[Team 1 GD],tblActuals35415[Team 1],$CU11,tblActuals35415[Team 2],EF$3)</f>
        <v>0</v>
      </c>
      <c r="EG11" s="56">
        <f>SUMIFS(tblActuals35415[Team 2 GD],tblActuals35415[Team 2],$CU11,tblActuals35415[Team 1],EG$3)+SUMIFS(tblActuals35415[Team 1 GD],tblActuals35415[Team 1],$CU11,tblActuals35415[Team 2],EG$3)</f>
        <v>0</v>
      </c>
      <c r="EH11" s="56">
        <f>SUMIFS(tblActuals35415[Team 2 GD],tblActuals35415[Team 2],$CU11,tblActuals35415[Team 1],EH$3)+SUMIFS(tblActuals35415[Team 1 GD],tblActuals35415[Team 1],$CU11,tblActuals35415[Team 2],EH$3)</f>
        <v>0</v>
      </c>
      <c r="EI11" s="56">
        <f>SUMIFS(tblActuals35415[Team 2 GD],tblActuals35415[Team 2],$CU11,tblActuals35415[Team 1],EI$3)+SUMIFS(tblActuals35415[Team 1 GD],tblActuals35415[Team 1],$CU11,tblActuals35415[Team 2],EI$3)</f>
        <v>0</v>
      </c>
      <c r="EJ11" s="56">
        <f>SUMIFS(tblActuals35415[Team 2 GD],tblActuals35415[Team 2],$CU11,tblActuals35415[Team 1],EJ$3)+SUMIFS(tblActuals35415[Team 1 GD],tblActuals35415[Team 1],$CU11,tblActuals35415[Team 2],EJ$3)</f>
        <v>0</v>
      </c>
      <c r="EK11" s="56">
        <f>SUMIFS(tblActuals35415[Team 2 GD],tblActuals35415[Team 2],$CU11,tblActuals35415[Team 1],EK$3)+SUMIFS(tblActuals35415[Team 1 GD],tblActuals35415[Team 1],$CU11,tblActuals35415[Team 2],EK$3)</f>
        <v>0</v>
      </c>
      <c r="EL11" s="56">
        <f>SUMIFS(tblActuals35415[Team 2 GD],tblActuals35415[Team 2],$CU11,tblActuals35415[Team 1],EL$3)+SUMIFS(tblActuals35415[Team 1 GD],tblActuals35415[Team 1],$CU11,tblActuals35415[Team 2],EL$3)</f>
        <v>0</v>
      </c>
      <c r="EM11" s="56">
        <f>SUMIFS(tblActuals35415[Team 2 GD],tblActuals35415[Team 2],$CU11,tblActuals35415[Team 1],EM$3)+SUMIFS(tblActuals35415[Team 1 GD],tblActuals35415[Team 1],$CU11,tblActuals35415[Team 2],EM$3)</f>
        <v>0</v>
      </c>
      <c r="EN11" s="56">
        <f>SUMIFS(tblActuals35415[Team 2 GD],tblActuals35415[Team 2],$CU11,tblActuals35415[Team 1],EN$3)+SUMIFS(tblActuals35415[Team 1 GD],tblActuals35415[Team 1],$CU11,tblActuals35415[Team 2],EN$3)</f>
        <v>0</v>
      </c>
      <c r="EO11" s="56">
        <f>SUMIFS(tblActuals35415[Team 2 GD],tblActuals35415[Team 2],$CU11,tblActuals35415[Team 1],EO$3)+SUMIFS(tblActuals35415[Team 1 GD],tblActuals35415[Team 1],$CU11,tblActuals35415[Team 2],EO$3)</f>
        <v>0</v>
      </c>
      <c r="EP11" s="56">
        <f>SUMIFS(tblActuals35415[Team 2 GD],tblActuals35415[Team 2],$CU11,tblActuals35415[Team 1],EP$3)+SUMIFS(tblActuals35415[Team 1 GD],tblActuals35415[Team 1],$CU11,tblActuals35415[Team 2],EP$3)</f>
        <v>0</v>
      </c>
      <c r="EQ11" s="56">
        <f>SUMIFS(tblActuals35415[Team 2 GD],tblActuals35415[Team 2],$CU11,tblActuals35415[Team 1],EQ$3)+SUMIFS(tblActuals35415[Team 1 GD],tblActuals35415[Team 1],$CU11,tblActuals35415[Team 2],EQ$3)</f>
        <v>0</v>
      </c>
      <c r="ER11" s="56">
        <f>SUMIFS(tblActuals35415[Team 2 GD],tblActuals35415[Team 2],$CU11,tblActuals35415[Team 1],ER$3)+SUMIFS(tblActuals35415[Team 1 GD],tblActuals35415[Team 1],$CU11,tblActuals35415[Team 2],ER$3)</f>
        <v>0</v>
      </c>
      <c r="ES11" s="56">
        <f>SUMIFS(tblActuals35415[Team 2 GD],tblActuals35415[Team 2],$CU11,tblActuals35415[Team 1],ES$3)+SUMIFS(tblActuals35415[Team 1 GD],tblActuals35415[Team 1],$CU11,tblActuals35415[Team 2],ES$3)</f>
        <v>0</v>
      </c>
      <c r="ET11" s="56">
        <f>SUMIFS(tblActuals35415[Team 2 GD],tblActuals35415[Team 2],$CU11,tblActuals35415[Team 1],ET$3)+SUMIFS(tblActuals35415[Team 1 GD],tblActuals35415[Team 1],$CU11,tblActuals35415[Team 2],ET$3)</f>
        <v>0</v>
      </c>
      <c r="EU11" s="56">
        <f>SUMIFS(tblActuals35415[Team 2 GD],tblActuals35415[Team 2],$CU11,tblActuals35415[Team 1],EU$3)+SUMIFS(tblActuals35415[Team 1 GD],tblActuals35415[Team 1],$CU11,tblActuals35415[Team 2],EU$3)</f>
        <v>0</v>
      </c>
      <c r="EV11" s="56">
        <f>SUMIFS(tblActuals35415[Team 2 GD],tblActuals35415[Team 2],$CU11,tblActuals35415[Team 1],EV$3)+SUMIFS(tblActuals35415[Team 1 GD],tblActuals35415[Team 1],$CU11,tblActuals35415[Team 2],EV$3)</f>
        <v>0</v>
      </c>
      <c r="EW11" s="56">
        <f>SUMIFS(tblActuals35415[Team 2 GD],tblActuals35415[Team 2],$CU11,tblActuals35415[Team 1],EW$3)+SUMIFS(tblActuals35415[Team 1 GD],tblActuals35415[Team 1],$CU11,tblActuals35415[Team 2],EW$3)</f>
        <v>0</v>
      </c>
      <c r="EX11" s="56">
        <f>SUMIFS(tblActuals35415[Team 2 GD],tblActuals35415[Team 2],$CU11,tblActuals35415[Team 1],EX$3)+SUMIFS(tblActuals35415[Team 1 GD],tblActuals35415[Team 1],$CU11,tblActuals35415[Team 2],EX$3)</f>
        <v>0</v>
      </c>
      <c r="EY11" s="56">
        <f>SUMIFS(tblActuals35415[Team 2 GD],tblActuals35415[Team 2],$CU11,tblActuals35415[Team 1],EY$3)+SUMIFS(tblActuals35415[Team 1 GD],tblActuals35415[Team 1],$CU11,tblActuals35415[Team 2],EY$3)</f>
        <v>0</v>
      </c>
      <c r="EZ11" s="56">
        <f>SUMIFS(tblActuals35415[Team 2 GD],tblActuals35415[Team 2],$CU11,tblActuals35415[Team 1],EZ$3)+SUMIFS(tblActuals35415[Team 1 GD],tblActuals35415[Team 1],$CU11,tblActuals35415[Team 2],EZ$3)</f>
        <v>0</v>
      </c>
      <c r="FA11" s="56">
        <f>SUMIFS(tblActuals35415[Team 2 GD],tblActuals35415[Team 2],$CU11,tblActuals35415[Team 1],FA$3)+SUMIFS(tblActuals35415[Team 1 GD],tblActuals35415[Team 1],$CU11,tblActuals35415[Team 2],FA$3)</f>
        <v>0</v>
      </c>
      <c r="FB11" s="57"/>
      <c r="FC11" s="57"/>
      <c r="FD11" s="57"/>
      <c r="FE11" s="57"/>
      <c r="FF11" s="57"/>
      <c r="FG11" s="57"/>
      <c r="FH11" s="57"/>
      <c r="FI11" s="57"/>
      <c r="FJ11" s="4"/>
      <c r="FK11" s="4" t="s">
        <v>127</v>
      </c>
      <c r="FL11" s="56">
        <f>SUMIFS(tblActuals35415[Team 2 Goals],tblActuals35415[Team 2],$CU11,tblActuals35415[Team 1],FL$3)+SUMIFS(tblActuals35415[Team 1 Goals],tblActuals35415[Team 1],$CU11,tblActuals35415[Team 2],FL$3)</f>
        <v>0</v>
      </c>
      <c r="FM11" s="56">
        <f>SUMIFS(tblActuals35415[Team 2 Goals],tblActuals35415[Team 2],$CU11,tblActuals35415[Team 1],FM$3)+SUMIFS(tblActuals35415[Team 1 Goals],tblActuals35415[Team 1],$CU11,tblActuals35415[Team 2],FM$3)</f>
        <v>0</v>
      </c>
      <c r="FN11" s="56">
        <f>SUMIFS(tblActuals35415[Team 2 Goals],tblActuals35415[Team 2],$CU11,tblActuals35415[Team 1],FN$3)+SUMIFS(tblActuals35415[Team 1 Goals],tblActuals35415[Team 1],$CU11,tblActuals35415[Team 2],FN$3)</f>
        <v>0</v>
      </c>
      <c r="FO11" s="56">
        <f>SUMIFS(tblActuals35415[Team 2 Goals],tblActuals35415[Team 2],$CU11,tblActuals35415[Team 1],FO$3)+SUMIFS(tblActuals35415[Team 1 Goals],tblActuals35415[Team 1],$CU11,tblActuals35415[Team 2],FO$3)</f>
        <v>0</v>
      </c>
      <c r="FP11" s="56">
        <f>SUMIFS(tblActuals35415[Team 2 Goals],tblActuals35415[Team 2],$CU11,tblActuals35415[Team 1],FP$3)+SUMIFS(tblActuals35415[Team 1 Goals],tblActuals35415[Team 1],$CU11,tblActuals35415[Team 2],FP$3)</f>
        <v>0</v>
      </c>
      <c r="FQ11" s="56">
        <f>SUMIFS(tblActuals35415[Team 2 Goals],tblActuals35415[Team 2],$CU11,tblActuals35415[Team 1],FQ$3)+SUMIFS(tblActuals35415[Team 1 Goals],tblActuals35415[Team 1],$CU11,tblActuals35415[Team 2],FQ$3)</f>
        <v>0</v>
      </c>
      <c r="FR11" s="56">
        <f>SUMIFS(tblActuals35415[Team 2 Goals],tblActuals35415[Team 2],$CU11,tblActuals35415[Team 1],FR$3)+SUMIFS(tblActuals35415[Team 1 Goals],tblActuals35415[Team 1],$CU11,tblActuals35415[Team 2],FR$3)</f>
        <v>0</v>
      </c>
      <c r="FS11" s="56">
        <f>SUMIFS(tblActuals35415[Team 2 Goals],tblActuals35415[Team 2],$CU11,tblActuals35415[Team 1],FS$3)+SUMIFS(tblActuals35415[Team 1 Goals],tblActuals35415[Team 1],$CU11,tblActuals35415[Team 2],FS$3)</f>
        <v>0</v>
      </c>
      <c r="FT11" s="56">
        <f>SUMIFS(tblActuals35415[Team 2 Goals],tblActuals35415[Team 2],$CU11,tblActuals35415[Team 1],FT$3)+SUMIFS(tblActuals35415[Team 1 Goals],tblActuals35415[Team 1],$CU11,tblActuals35415[Team 2],FT$3)</f>
        <v>0</v>
      </c>
      <c r="FU11" s="56">
        <f>SUMIFS(tblActuals35415[Team 2 Goals],tblActuals35415[Team 2],$CU11,tblActuals35415[Team 1],FU$3)+SUMIFS(tblActuals35415[Team 1 Goals],tblActuals35415[Team 1],$CU11,tblActuals35415[Team 2],FU$3)</f>
        <v>0</v>
      </c>
      <c r="FV11" s="56">
        <f>SUMIFS(tblActuals35415[Team 2 Goals],tblActuals35415[Team 2],$CU11,tblActuals35415[Team 1],FV$3)+SUMIFS(tblActuals35415[Team 1 Goals],tblActuals35415[Team 1],$CU11,tblActuals35415[Team 2],FV$3)</f>
        <v>0</v>
      </c>
      <c r="FW11" s="56">
        <f>SUMIFS(tblActuals35415[Team 2 Goals],tblActuals35415[Team 2],$CU11,tblActuals35415[Team 1],FW$3)+SUMIFS(tblActuals35415[Team 1 Goals],tblActuals35415[Team 1],$CU11,tblActuals35415[Team 2],FW$3)</f>
        <v>0</v>
      </c>
      <c r="FX11" s="56">
        <f>SUMIFS(tblActuals35415[Team 2 Goals],tblActuals35415[Team 2],$CU11,tblActuals35415[Team 1],FX$3)+SUMIFS(tblActuals35415[Team 1 Goals],tblActuals35415[Team 1],$CU11,tblActuals35415[Team 2],FX$3)</f>
        <v>0</v>
      </c>
      <c r="FY11" s="56">
        <f>SUMIFS(tblActuals35415[Team 2 Goals],tblActuals35415[Team 2],$CU11,tblActuals35415[Team 1],FY$3)+SUMIFS(tblActuals35415[Team 1 Goals],tblActuals35415[Team 1],$CU11,tblActuals35415[Team 2],FY$3)</f>
        <v>0</v>
      </c>
      <c r="FZ11" s="56">
        <f>SUMIFS(tblActuals35415[Team 2 Goals],tblActuals35415[Team 2],$CU11,tblActuals35415[Team 1],FZ$3)+SUMIFS(tblActuals35415[Team 1 Goals],tblActuals35415[Team 1],$CU11,tblActuals35415[Team 2],FZ$3)</f>
        <v>0</v>
      </c>
      <c r="GA11" s="56">
        <f>SUMIFS(tblActuals35415[Team 2 Goals],tblActuals35415[Team 2],$CU11,tblActuals35415[Team 1],GA$3)+SUMIFS(tblActuals35415[Team 1 Goals],tblActuals35415[Team 1],$CU11,tblActuals35415[Team 2],GA$3)</f>
        <v>0</v>
      </c>
      <c r="GB11" s="56">
        <f>SUMIFS(tblActuals35415[Team 2 Goals],tblActuals35415[Team 2],$CU11,tblActuals35415[Team 1],GB$3)+SUMIFS(tblActuals35415[Team 1 Goals],tblActuals35415[Team 1],$CU11,tblActuals35415[Team 2],GB$3)</f>
        <v>0</v>
      </c>
      <c r="GC11" s="56">
        <f>SUMIFS(tblActuals35415[Team 2 Goals],tblActuals35415[Team 2],$CU11,tblActuals35415[Team 1],GC$3)+SUMIFS(tblActuals35415[Team 1 Goals],tblActuals35415[Team 1],$CU11,tblActuals35415[Team 2],GC$3)</f>
        <v>0</v>
      </c>
      <c r="GD11" s="56">
        <f>SUMIFS(tblActuals35415[Team 2 Goals],tblActuals35415[Team 2],$CU11,tblActuals35415[Team 1],GD$3)+SUMIFS(tblActuals35415[Team 1 Goals],tblActuals35415[Team 1],$CU11,tblActuals35415[Team 2],GD$3)</f>
        <v>0</v>
      </c>
      <c r="GE11" s="56">
        <f>SUMIFS(tblActuals35415[Team 2 Goals],tblActuals35415[Team 2],$CU11,tblActuals35415[Team 1],GE$3)+SUMIFS(tblActuals35415[Team 1 Goals],tblActuals35415[Team 1],$CU11,tblActuals35415[Team 2],GE$3)</f>
        <v>0</v>
      </c>
      <c r="GF11" s="56">
        <f>SUMIFS(tblActuals35415[Team 2 Goals],tblActuals35415[Team 2],$CU11,tblActuals35415[Team 1],GF$3)+SUMIFS(tblActuals35415[Team 1 Goals],tblActuals35415[Team 1],$CU11,tblActuals35415[Team 2],GF$3)</f>
        <v>0</v>
      </c>
      <c r="GG11" s="56">
        <f>SUMIFS(tblActuals35415[Team 2 Goals],tblActuals35415[Team 2],$CU11,tblActuals35415[Team 1],GG$3)+SUMIFS(tblActuals35415[Team 1 Goals],tblActuals35415[Team 1],$CU11,tblActuals35415[Team 2],GG$3)</f>
        <v>0</v>
      </c>
      <c r="GH11" s="56">
        <f>SUMIFS(tblActuals35415[Team 2 Goals],tblActuals35415[Team 2],$CU11,tblActuals35415[Team 1],GH$3)+SUMIFS(tblActuals35415[Team 1 Goals],tblActuals35415[Team 1],$CU11,tblActuals35415[Team 2],GH$3)</f>
        <v>0</v>
      </c>
      <c r="GI11" s="56">
        <f>SUMIFS(tblActuals35415[Team 2 Goals],tblActuals35415[Team 2],$CU11,tblActuals35415[Team 1],GI$3)+SUMIFS(tblActuals35415[Team 1 Goals],tblActuals35415[Team 1],$CU11,tblActuals35415[Team 2],GI$3)</f>
        <v>0</v>
      </c>
      <c r="GJ11" s="57"/>
      <c r="GK11" s="57"/>
      <c r="GL11" s="37"/>
      <c r="GM11" s="37"/>
      <c r="GN11" s="37"/>
      <c r="GO11" s="37"/>
      <c r="GP11" s="37"/>
      <c r="GQ11" s="37"/>
      <c r="GR11" s="75"/>
      <c r="GS11" s="156"/>
      <c r="GT11" s="156"/>
      <c r="GU11" s="75"/>
      <c r="GV11" s="75"/>
      <c r="GW11" s="75"/>
      <c r="GX11" s="75"/>
      <c r="GY11" s="75"/>
      <c r="GZ11" s="75"/>
      <c r="HB11" s="4" t="str">
        <f t="shared" si="12"/>
        <v>ACDE</v>
      </c>
      <c r="HC11" s="44" t="s">
        <v>1</v>
      </c>
      <c r="HD11" s="45"/>
      <c r="HE11" s="44" t="s">
        <v>6</v>
      </c>
      <c r="HF11" s="44" t="s">
        <v>7</v>
      </c>
      <c r="HG11" s="44" t="s">
        <v>12</v>
      </c>
      <c r="HH11" s="45"/>
      <c r="HI11" s="178"/>
      <c r="HJ11" s="45" t="s">
        <v>153</v>
      </c>
      <c r="HK11" s="45" t="s">
        <v>150</v>
      </c>
      <c r="HL11" s="45" t="s">
        <v>152</v>
      </c>
      <c r="HM11" s="45" t="s">
        <v>149</v>
      </c>
    </row>
    <row r="12" spans="1:221" s="11" customFormat="1" ht="30" customHeight="1" x14ac:dyDescent="0.2">
      <c r="A12" s="20"/>
      <c r="B12" s="122">
        <v>9</v>
      </c>
      <c r="C12" s="122" t="s">
        <v>12</v>
      </c>
      <c r="D12" s="123">
        <v>45460</v>
      </c>
      <c r="E12" s="122" t="s">
        <v>86</v>
      </c>
      <c r="F12" s="124">
        <v>0.75</v>
      </c>
      <c r="G12" s="125">
        <f t="shared" si="11"/>
        <v>45460.5</v>
      </c>
      <c r="H12" s="122" t="s">
        <v>97</v>
      </c>
      <c r="I12" s="126"/>
      <c r="J12" s="118"/>
      <c r="K12" s="118"/>
      <c r="L12" s="174">
        <f>IF(I12="",0,IFERROR(IF(SCORING.RULES!$C$8="No",1,((VLOOKUP($B12,ACTUALS!$B$4:$L$100,7,FALSE)=$H12)+(VLOOKUP($B12,ACTUALS!$B$4:$L$100,7,FALSE)=S12)))*(M12+N12+O12+P12+Q12),0))+$R12</f>
        <v>0</v>
      </c>
      <c r="M12" s="168">
        <f>IFERROR(IF($B12="","",IF(U12=INDEX(ACTUALS!$AA$4:$AA$100,MATCH($B12,ACTUALS!$B$4:$B$100,0),1),CorrectScore,0)),0)</f>
        <v>0</v>
      </c>
      <c r="N12" s="157" t="str">
        <f>IFERROR(IF(I12="","",IF(INDEX(ACTUALS!$AB$4:$AB$100,MATCH($B12,ACTUALS!$B$4:$B$100,0),1)=(AB12+AC12+AH12+AI12),CorrectNumberofGoals,0)),0)</f>
        <v/>
      </c>
      <c r="O12" s="157"/>
      <c r="P12" s="157">
        <f>IFERROR(IF(B12="","",IF(INDEX(ACTUALS!$L$4:$L$100,MATCH($B12,ACTUALS!$B$4:$B$100,0),1)=W12,CorrectResult,0)),0)</f>
        <v>3</v>
      </c>
      <c r="Q12" s="157"/>
      <c r="R12" s="157"/>
      <c r="S12" s="157" t="str">
        <f t="shared" si="0"/>
        <v/>
      </c>
      <c r="T12" s="157"/>
      <c r="U12" s="157" t="str">
        <f t="shared" si="1"/>
        <v/>
      </c>
      <c r="V12" s="157" t="str">
        <f t="shared" si="2"/>
        <v/>
      </c>
      <c r="W12" s="119" t="str">
        <f>IF(tblActuals35415[[#This Row],[SCORE]]="","",IF(AB12=AC12,"Draw",IF(AB12&gt;AC12,X12,Y12)))</f>
        <v/>
      </c>
      <c r="X12" s="120" t="str">
        <f>IF(tblActuals35415[[#This Row],[TEAMS]]="","",LEFT(H12,FIND(" -",H12,1)-1))</f>
        <v>Belgium</v>
      </c>
      <c r="Y12" s="120" t="str">
        <f>IF(tblActuals35415[[#This Row],[TEAMS]]="","",MID(H12,FIND("-",H12,1)+2,LEN(H12)-FIND("-",H12,1)+2))</f>
        <v>Slovakia</v>
      </c>
      <c r="Z12" s="120" t="str">
        <f>IF(tblActuals35415[[#This Row],[Team 1 Goals]]&gt;tblActuals35415[[#This Row],[Team 2 Goals]],tblActuals35415[[#This Row],[Team 1]],IF(tblActuals35415[[#This Row],[Team 2 Goals]]&gt;tblActuals35415[[#This Row],[Team 1 Goals]],tblActuals35415[[#This Row],[Team 2]],""))</f>
        <v/>
      </c>
      <c r="AA12" s="120" t="str">
        <f>IF(tblActuals35415[[#This Row],[Winner]]=tblActuals35415[[#This Row],[Team 1]],tblActuals35415[[#This Row],[Team 2]],IF(tblActuals35415[[#This Row],[Winner]]=tblActuals35415[[#This Row],[Team 2]],tblActuals35415[[#This Row],[Team 1]],""))</f>
        <v/>
      </c>
      <c r="AB12" s="120" t="str">
        <f>IF(tblActuals35415[[#This Row],[SCORE]]="","",LEFT(I12,FIND(":",I12,1)-1)*1)</f>
        <v/>
      </c>
      <c r="AC12" s="120" t="str">
        <f>IF(tblActuals35415[[#This Row],[SCORE]]="","",MID(I12,FIND(":",I12,1)+1,LEN(I12)-FIND(":",I12,1)+1)*1)</f>
        <v/>
      </c>
      <c r="AD12" s="120" t="str">
        <f>IF(OR(tblActuals35415[[#This Row],[Team 1 Goals]]="",tblActuals35415[[#This Row],[Team 2 Goals]]=""),"",tblActuals35415[[#This Row],[Team 1 Goals]]-tblActuals35415[[#This Row],[Team 2 Goals]])</f>
        <v/>
      </c>
      <c r="AE12" s="120" t="str">
        <f>IF(OR(tblActuals35415[[#This Row],[Team 1 Goals]]="",tblActuals35415[[#This Row],[Team 2 Goals]]=""),"",tblActuals35415[[#This Row],[Team 2 Goals]]-tblActuals35415[[#This Row],[Team 1 Goals]])</f>
        <v/>
      </c>
      <c r="AF12" s="120" t="str">
        <f>IF(tblActuals35415[[#This Row],[SCORE]]="","",IF(tblActuals35415[[#This Row],[WINNER / RESULT]]="Draw",1,IF(tblActuals35415[[#This Row],[WINNER / RESULT]]=tblActuals35415[[#This Row],[Team 1]],3,0)))</f>
        <v/>
      </c>
      <c r="AG12" s="120" t="str">
        <f>IF(tblActuals35415[[#This Row],[SCORE]]="","",IF(tblActuals35415[[#This Row],[WINNER / RESULT]]="Draw",1,IF(tblActuals35415[[#This Row],[WINNER / RESULT]]=tblActuals35415[[#This Row],[Team 2]],3,0)))</f>
        <v/>
      </c>
      <c r="AH12" s="121"/>
      <c r="AI12" s="121"/>
      <c r="AJ12" s="121"/>
      <c r="AK12" s="121"/>
      <c r="AL12" s="120" t="e">
        <f>tblActuals35415[[#This Row],[Team 1 Goals]]+tblActuals35415[[#This Row],[Team 1 ET Goals]]&amp;":"&amp;tblActuals35415[[#This Row],[Team 2 Goals]]+tblActuals35415[[#This Row],[Team 2 ET Goals]]</f>
        <v>#VALUE!</v>
      </c>
      <c r="AM12" s="120" t="e">
        <f>+tblActuals35415[[#This Row],[Team 1 Goals]]+tblActuals35415[[#This Row],[Team 2 Goals]]</f>
        <v>#VALUE!</v>
      </c>
      <c r="AN12" s="161">
        <f t="shared" si="3"/>
        <v>45460</v>
      </c>
      <c r="AP12" s="38" t="s">
        <v>87</v>
      </c>
      <c r="AT12" s="77" t="s">
        <v>5</v>
      </c>
      <c r="AU12" s="136">
        <v>1</v>
      </c>
      <c r="AV12" s="137" t="str">
        <f ca="1">IFERROR(INDEX(BD:BD,MATCH("1"&amp;AT12,BN:BN,0),1),"")</f>
        <v>Albania</v>
      </c>
      <c r="AW12" s="137" t="str">
        <f ca="1">IF(AV12="","",VLOOKUP(AV12,BD:BI,2,FALSE)&amp;"-"&amp;VLOOKUP(AV12,BD:BI,3,FALSE)&amp;"-"&amp;VLOOKUP(AV12,BD:BI,4,FALSE))</f>
        <v>0-0-0</v>
      </c>
      <c r="AX12" s="137">
        <f ca="1">IF(AV12="","",VLOOKUP(AV12,BD:BK,8,FALSE))</f>
        <v>0</v>
      </c>
      <c r="AY12" s="138">
        <f ca="1">IF(AV12="","",VLOOKUP(AV12,BD:BN,5,FALSE))</f>
        <v>0</v>
      </c>
      <c r="AZ12" s="75"/>
      <c r="BA12" s="42"/>
      <c r="BB12" s="4"/>
      <c r="BC12" s="4" t="s">
        <v>5</v>
      </c>
      <c r="BD12" s="4" t="s">
        <v>28</v>
      </c>
      <c r="BE12" s="4">
        <f>COUNTIF(tblActuals35415[Winner],BD12)</f>
        <v>0</v>
      </c>
      <c r="BF12" s="4">
        <f>COUNTIFS(tblActuals35415[Team 2],BD12,tblActuals35415[WINNER / RESULT],"Draw")+COUNTIFS(tblActuals35415[Team 1],BD12,tblActuals35415[WINNER / RESULT],"Draw")</f>
        <v>0</v>
      </c>
      <c r="BG12" s="4">
        <f>COUNTIF(tblActuals35415[Loser],BD12)</f>
        <v>0</v>
      </c>
      <c r="BH12" s="4">
        <f>BF12+(3*BE12)</f>
        <v>0</v>
      </c>
      <c r="BI12" s="4">
        <f>SUMIFS(tblActuals35415[Team 1 Goals],tblActuals35415[Team 1],BD12)+SUMIFS(tblActuals35415[Team 2 Goals],tblActuals35415[Team 2],BD12)</f>
        <v>0</v>
      </c>
      <c r="BJ12" s="4">
        <f>SUMIFS(tblActuals35415[Team 2 Goals],tblActuals35415[Team 1],BD12)+SUMIFS(tblActuals35415[Team 1 Goals],tblActuals35415[Team 2],BD12)</f>
        <v>0</v>
      </c>
      <c r="BK12" s="4">
        <f>BI12-BJ12</f>
        <v>0</v>
      </c>
      <c r="BL12" s="4">
        <f ca="1">RANK(BY12,$BY$9:$BY$12,1)</f>
        <v>4</v>
      </c>
      <c r="BM12" s="4" t="str">
        <f t="shared" si="4"/>
        <v/>
      </c>
      <c r="BN12" s="4" t="str">
        <f ca="1">IF(BM12="",BL12&amp;BC12,BM12&amp;BC12)</f>
        <v>4B</v>
      </c>
      <c r="BO12" s="4">
        <f>RANK(BH12,$BH$9:$BH$12,0)</f>
        <v>1</v>
      </c>
      <c r="BP12" s="4" cm="1">
        <f t="array" aca="1" ref="BP12" ca="1">SUMPRODUCT((OFFSET($CV$3:$EA$3,MATCH($BD12,$CU$4:$CU$35,0),0))*((IF($BO10=$BO12,$CV$3:$EA$3=$BD10,0))+(IF($BO9=$BO12,$CV$3:$EA$3=$BD9,0))+(IF($BO11=$BO12,$CV$3:$EA$3=$BD11,0))))</f>
        <v>0</v>
      </c>
      <c r="BQ12" s="4" cm="1">
        <f t="array" aca="1" ref="BQ12" ca="1">SUMPRODUCT((OFFSET($ED$3:$FI$3,MATCH($BD12,$EC$4:$EC$35,0),0))*((IF($BO10=$BO12,$ED$3:$FI$3=$BD10,0))+(IF($BO9=$BO12,$ED$3:$FI$3=$BD9,0))+(IF($BO11=$BO12,$ED$3:$FI$3=$BD11,0))))</f>
        <v>0</v>
      </c>
      <c r="BR12" s="4" cm="1">
        <f t="array" aca="1" ref="BR12" ca="1">SUMPRODUCT((OFFSET($FL$3:$GQ$3,MATCH($BD12,$FK$4:$FK$35,0),0))*((IF($BO10=$BO12,$FL$3:$GQ$3=$BD10,0))+(IF($BO9=$BO12,$FL$3:$GQ$3=$BD9,0))+(IF($BO11=$BO12,$FL$3:$GQ$3=$BD11,0))))</f>
        <v>0</v>
      </c>
      <c r="BS12" s="4" cm="1">
        <f t="array" aca="1" ref="BS12" ca="1">SUMPRODUCT((OFFSET($CV$3:$EA$3,MATCH($BD12,$CU$4:$CU$35,0),0))*((IF($BO10&lt;&gt;$BO12,$CV$3:$EA$3=$BD10,0))+(IF($BO9&lt;&gt;$BO12,$CV$3:$EA$3=$BD9,0))+(IF($BO11&lt;&gt;$BO12,$CV$3:$EA$3=$BD11,0))))</f>
        <v>0</v>
      </c>
      <c r="BT12" s="4" cm="1">
        <f t="array" aca="1" ref="BT12" ca="1">SUMPRODUCT((OFFSET($ED$3:$FI$3,MATCH($BD12,$EC$4:$EC$35,0),0))*((IF($BO10&lt;&gt;$BO12,$ED$3:$FI$3=$BD10,0))+(IF($BO9&lt;&gt;$BO12,$ED$3:$FI$3=$BD9,0))+(IF($BO11&lt;&gt;$BO12,$ED$3:$FI$3=$BD11,0))))</f>
        <v>0</v>
      </c>
      <c r="BU12" s="4" cm="1">
        <f t="array" aca="1" ref="BU12" ca="1">SUMPRODUCT((OFFSET($FL$3:$GQ$3,MATCH($BD12,$FK$4:$FK$35,0),0))*((IF($BO10&lt;&gt;$BO12,$FL$3:$GQ$3=$BD10,0))+(IF($BO9&lt;&gt;$BO12,$FL$3:$GQ$3=$BD9,0))+(IF($BO11&lt;&gt;$BO12,$FL$3:$GQ$3=$BD11,0))))</f>
        <v>0</v>
      </c>
      <c r="BV12" s="4">
        <f>BK12</f>
        <v>0</v>
      </c>
      <c r="BW12" s="4">
        <f>BI12</f>
        <v>0</v>
      </c>
      <c r="BX12" s="4">
        <f ca="1">(BP12/10)+(BQ12/100)+(BR12/1000)+(BT12/10000)+(BU12/100000)+(BV12/1000000)+(BW12/10000000)+(ROW(BS9)/100000000)</f>
        <v>8.9999999999999999E-8</v>
      </c>
      <c r="BY12" s="4">
        <f ca="1">+BO12-BX12</f>
        <v>0.99999990999999999</v>
      </c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U12" s="4" t="s">
        <v>128</v>
      </c>
      <c r="CV12" s="56">
        <f>SUMIFS(tblActuals35415[Team 2 Points],tblActuals35415[Team 2],$CU12,tblActuals35415[Team 1],CV$3)+SUMIFS(tblActuals35415[Team 1 Points],tblActuals35415[Team 1],$CU12,tblActuals35415[Team 2],CV$3)</f>
        <v>0</v>
      </c>
      <c r="CW12" s="56">
        <f>SUMIFS(tblActuals35415[Team 2 Points],tblActuals35415[Team 2],$CU12,tblActuals35415[Team 1],CW$3)+SUMIFS(tblActuals35415[Team 1 Points],tblActuals35415[Team 1],$CU12,tblActuals35415[Team 2],CW$3)</f>
        <v>0</v>
      </c>
      <c r="CX12" s="56">
        <f>SUMIFS(tblActuals35415[Team 2 Points],tblActuals35415[Team 2],$CU12,tblActuals35415[Team 1],CX$3)+SUMIFS(tblActuals35415[Team 1 Points],tblActuals35415[Team 1],$CU12,tblActuals35415[Team 2],CX$3)</f>
        <v>0</v>
      </c>
      <c r="CY12" s="56">
        <f>SUMIFS(tblActuals35415[Team 2 Points],tblActuals35415[Team 2],$CU12,tblActuals35415[Team 1],CY$3)+SUMIFS(tblActuals35415[Team 1 Points],tblActuals35415[Team 1],$CU12,tblActuals35415[Team 2],CY$3)</f>
        <v>0</v>
      </c>
      <c r="CZ12" s="56">
        <f>SUMIFS(tblActuals35415[Team 2 Points],tblActuals35415[Team 2],$CU12,tblActuals35415[Team 1],CZ$3)+SUMIFS(tblActuals35415[Team 1 Points],tblActuals35415[Team 1],$CU12,tblActuals35415[Team 2],CZ$3)</f>
        <v>0</v>
      </c>
      <c r="DA12" s="56">
        <f>SUMIFS(tblActuals35415[Team 2 Points],tblActuals35415[Team 2],$CU12,tblActuals35415[Team 1],DA$3)+SUMIFS(tblActuals35415[Team 1 Points],tblActuals35415[Team 1],$CU12,tblActuals35415[Team 2],DA$3)</f>
        <v>0</v>
      </c>
      <c r="DB12" s="56">
        <f>SUMIFS(tblActuals35415[Team 2 Points],tblActuals35415[Team 2],$CU12,tblActuals35415[Team 1],DB$3)+SUMIFS(tblActuals35415[Team 1 Points],tblActuals35415[Team 1],$CU12,tblActuals35415[Team 2],DB$3)</f>
        <v>0</v>
      </c>
      <c r="DC12" s="56">
        <f>SUMIFS(tblActuals35415[Team 2 Points],tblActuals35415[Team 2],$CU12,tblActuals35415[Team 1],DC$3)+SUMIFS(tblActuals35415[Team 1 Points],tblActuals35415[Team 1],$CU12,tblActuals35415[Team 2],DC$3)</f>
        <v>0</v>
      </c>
      <c r="DD12" s="56">
        <f>SUMIFS(tblActuals35415[Team 2 Points],tblActuals35415[Team 2],$CU12,tblActuals35415[Team 1],DD$3)+SUMIFS(tblActuals35415[Team 1 Points],tblActuals35415[Team 1],$CU12,tblActuals35415[Team 2],DD$3)</f>
        <v>0</v>
      </c>
      <c r="DE12" s="56">
        <f>SUMIFS(tblActuals35415[Team 2 Points],tblActuals35415[Team 2],$CU12,tblActuals35415[Team 1],DE$3)+SUMIFS(tblActuals35415[Team 1 Points],tblActuals35415[Team 1],$CU12,tblActuals35415[Team 2],DE$3)</f>
        <v>0</v>
      </c>
      <c r="DF12" s="56">
        <f>SUMIFS(tblActuals35415[Team 2 Points],tblActuals35415[Team 2],$CU12,tblActuals35415[Team 1],DF$3)+SUMIFS(tblActuals35415[Team 1 Points],tblActuals35415[Team 1],$CU12,tblActuals35415[Team 2],DF$3)</f>
        <v>0</v>
      </c>
      <c r="DG12" s="56">
        <f>SUMIFS(tblActuals35415[Team 2 Points],tblActuals35415[Team 2],$CU12,tblActuals35415[Team 1],DG$3)+SUMIFS(tblActuals35415[Team 1 Points],tblActuals35415[Team 1],$CU12,tblActuals35415[Team 2],DG$3)</f>
        <v>0</v>
      </c>
      <c r="DH12" s="56">
        <f>SUMIFS(tblActuals35415[Team 2 Points],tblActuals35415[Team 2],$CU12,tblActuals35415[Team 1],DH$3)+SUMIFS(tblActuals35415[Team 1 Points],tblActuals35415[Team 1],$CU12,tblActuals35415[Team 2],DH$3)</f>
        <v>0</v>
      </c>
      <c r="DI12" s="56">
        <f>SUMIFS(tblActuals35415[Team 2 Points],tblActuals35415[Team 2],$CU12,tblActuals35415[Team 1],DI$3)+SUMIFS(tblActuals35415[Team 1 Points],tblActuals35415[Team 1],$CU12,tblActuals35415[Team 2],DI$3)</f>
        <v>0</v>
      </c>
      <c r="DJ12" s="56">
        <f>SUMIFS(tblActuals35415[Team 2 Points],tblActuals35415[Team 2],$CU12,tblActuals35415[Team 1],DJ$3)+SUMIFS(tblActuals35415[Team 1 Points],tblActuals35415[Team 1],$CU12,tblActuals35415[Team 2],DJ$3)</f>
        <v>0</v>
      </c>
      <c r="DK12" s="56">
        <f>SUMIFS(tblActuals35415[Team 2 Points],tblActuals35415[Team 2],$CU12,tblActuals35415[Team 1],DK$3)+SUMIFS(tblActuals35415[Team 1 Points],tblActuals35415[Team 1],$CU12,tblActuals35415[Team 2],DK$3)</f>
        <v>0</v>
      </c>
      <c r="DL12" s="56">
        <f>SUMIFS(tblActuals35415[Team 2 Points],tblActuals35415[Team 2],$CU12,tblActuals35415[Team 1],DL$3)+SUMIFS(tblActuals35415[Team 1 Points],tblActuals35415[Team 1],$CU12,tblActuals35415[Team 2],DL$3)</f>
        <v>0</v>
      </c>
      <c r="DM12" s="56">
        <f>SUMIFS(tblActuals35415[Team 2 Points],tblActuals35415[Team 2],$CU12,tblActuals35415[Team 1],DM$3)+SUMIFS(tblActuals35415[Team 1 Points],tblActuals35415[Team 1],$CU12,tblActuals35415[Team 2],DM$3)</f>
        <v>0</v>
      </c>
      <c r="DN12" s="56">
        <f>SUMIFS(tblActuals35415[Team 2 Points],tblActuals35415[Team 2],$CU12,tblActuals35415[Team 1],DN$3)+SUMIFS(tblActuals35415[Team 1 Points],tblActuals35415[Team 1],$CU12,tblActuals35415[Team 2],DN$3)</f>
        <v>0</v>
      </c>
      <c r="DO12" s="56">
        <f>SUMIFS(tblActuals35415[Team 2 Points],tblActuals35415[Team 2],$CU12,tblActuals35415[Team 1],DO$3)+SUMIFS(tblActuals35415[Team 1 Points],tblActuals35415[Team 1],$CU12,tblActuals35415[Team 2],DO$3)</f>
        <v>0</v>
      </c>
      <c r="DP12" s="56">
        <f>SUMIFS(tblActuals35415[Team 2 Points],tblActuals35415[Team 2],$CU12,tblActuals35415[Team 1],DP$3)+SUMIFS(tblActuals35415[Team 1 Points],tblActuals35415[Team 1],$CU12,tblActuals35415[Team 2],DP$3)</f>
        <v>0</v>
      </c>
      <c r="DQ12" s="56">
        <f>SUMIFS(tblActuals35415[Team 2 Points],tblActuals35415[Team 2],$CU12,tblActuals35415[Team 1],DQ$3)+SUMIFS(tblActuals35415[Team 1 Points],tblActuals35415[Team 1],$CU12,tblActuals35415[Team 2],DQ$3)</f>
        <v>0</v>
      </c>
      <c r="DR12" s="56">
        <f>SUMIFS(tblActuals35415[Team 2 Points],tblActuals35415[Team 2],$CU12,tblActuals35415[Team 1],DR$3)+SUMIFS(tblActuals35415[Team 1 Points],tblActuals35415[Team 1],$CU12,tblActuals35415[Team 2],DR$3)</f>
        <v>0</v>
      </c>
      <c r="DS12" s="56">
        <f>SUMIFS(tblActuals35415[Team 2 Points],tblActuals35415[Team 2],$CU12,tblActuals35415[Team 1],DS$3)+SUMIFS(tblActuals35415[Team 1 Points],tblActuals35415[Team 1],$CU12,tblActuals35415[Team 2],DS$3)</f>
        <v>0</v>
      </c>
      <c r="DT12" s="57"/>
      <c r="DU12" s="57"/>
      <c r="DV12" s="57"/>
      <c r="DW12" s="57"/>
      <c r="DX12" s="57"/>
      <c r="DY12" s="57"/>
      <c r="DZ12" s="57"/>
      <c r="EA12" s="57"/>
      <c r="EB12" s="4"/>
      <c r="EC12" s="4" t="s">
        <v>128</v>
      </c>
      <c r="ED12" s="56">
        <f>SUMIFS(tblActuals35415[Team 2 GD],tblActuals35415[Team 2],$CU12,tblActuals35415[Team 1],ED$3)+SUMIFS(tblActuals35415[Team 1 GD],tblActuals35415[Team 1],$CU12,tblActuals35415[Team 2],ED$3)</f>
        <v>0</v>
      </c>
      <c r="EE12" s="56">
        <f>SUMIFS(tblActuals35415[Team 2 GD],tblActuals35415[Team 2],$CU12,tblActuals35415[Team 1],EE$3)+SUMIFS(tblActuals35415[Team 1 GD],tblActuals35415[Team 1],$CU12,tblActuals35415[Team 2],EE$3)</f>
        <v>0</v>
      </c>
      <c r="EF12" s="56">
        <f>SUMIFS(tblActuals35415[Team 2 GD],tblActuals35415[Team 2],$CU12,tblActuals35415[Team 1],EF$3)+SUMIFS(tblActuals35415[Team 1 GD],tblActuals35415[Team 1],$CU12,tblActuals35415[Team 2],EF$3)</f>
        <v>0</v>
      </c>
      <c r="EG12" s="56">
        <f>SUMIFS(tblActuals35415[Team 2 GD],tblActuals35415[Team 2],$CU12,tblActuals35415[Team 1],EG$3)+SUMIFS(tblActuals35415[Team 1 GD],tblActuals35415[Team 1],$CU12,tblActuals35415[Team 2],EG$3)</f>
        <v>0</v>
      </c>
      <c r="EH12" s="56">
        <f>SUMIFS(tblActuals35415[Team 2 GD],tblActuals35415[Team 2],$CU12,tblActuals35415[Team 1],EH$3)+SUMIFS(tblActuals35415[Team 1 GD],tblActuals35415[Team 1],$CU12,tblActuals35415[Team 2],EH$3)</f>
        <v>0</v>
      </c>
      <c r="EI12" s="56">
        <f>SUMIFS(tblActuals35415[Team 2 GD],tblActuals35415[Team 2],$CU12,tblActuals35415[Team 1],EI$3)+SUMIFS(tblActuals35415[Team 1 GD],tblActuals35415[Team 1],$CU12,tblActuals35415[Team 2],EI$3)</f>
        <v>0</v>
      </c>
      <c r="EJ12" s="56">
        <f>SUMIFS(tblActuals35415[Team 2 GD],tblActuals35415[Team 2],$CU12,tblActuals35415[Team 1],EJ$3)+SUMIFS(tblActuals35415[Team 1 GD],tblActuals35415[Team 1],$CU12,tblActuals35415[Team 2],EJ$3)</f>
        <v>0</v>
      </c>
      <c r="EK12" s="56">
        <f>SUMIFS(tblActuals35415[Team 2 GD],tblActuals35415[Team 2],$CU12,tblActuals35415[Team 1],EK$3)+SUMIFS(tblActuals35415[Team 1 GD],tblActuals35415[Team 1],$CU12,tblActuals35415[Team 2],EK$3)</f>
        <v>0</v>
      </c>
      <c r="EL12" s="56">
        <f>SUMIFS(tblActuals35415[Team 2 GD],tblActuals35415[Team 2],$CU12,tblActuals35415[Team 1],EL$3)+SUMIFS(tblActuals35415[Team 1 GD],tblActuals35415[Team 1],$CU12,tblActuals35415[Team 2],EL$3)</f>
        <v>0</v>
      </c>
      <c r="EM12" s="56">
        <f>SUMIFS(tblActuals35415[Team 2 GD],tblActuals35415[Team 2],$CU12,tblActuals35415[Team 1],EM$3)+SUMIFS(tblActuals35415[Team 1 GD],tblActuals35415[Team 1],$CU12,tblActuals35415[Team 2],EM$3)</f>
        <v>0</v>
      </c>
      <c r="EN12" s="56">
        <f>SUMIFS(tblActuals35415[Team 2 GD],tblActuals35415[Team 2],$CU12,tblActuals35415[Team 1],EN$3)+SUMIFS(tblActuals35415[Team 1 GD],tblActuals35415[Team 1],$CU12,tblActuals35415[Team 2],EN$3)</f>
        <v>0</v>
      </c>
      <c r="EO12" s="56">
        <f>SUMIFS(tblActuals35415[Team 2 GD],tblActuals35415[Team 2],$CU12,tblActuals35415[Team 1],EO$3)+SUMIFS(tblActuals35415[Team 1 GD],tblActuals35415[Team 1],$CU12,tblActuals35415[Team 2],EO$3)</f>
        <v>0</v>
      </c>
      <c r="EP12" s="56">
        <f>SUMIFS(tblActuals35415[Team 2 GD],tblActuals35415[Team 2],$CU12,tblActuals35415[Team 1],EP$3)+SUMIFS(tblActuals35415[Team 1 GD],tblActuals35415[Team 1],$CU12,tblActuals35415[Team 2],EP$3)</f>
        <v>0</v>
      </c>
      <c r="EQ12" s="56">
        <f>SUMIFS(tblActuals35415[Team 2 GD],tblActuals35415[Team 2],$CU12,tblActuals35415[Team 1],EQ$3)+SUMIFS(tblActuals35415[Team 1 GD],tblActuals35415[Team 1],$CU12,tblActuals35415[Team 2],EQ$3)</f>
        <v>0</v>
      </c>
      <c r="ER12" s="56">
        <f>SUMIFS(tblActuals35415[Team 2 GD],tblActuals35415[Team 2],$CU12,tblActuals35415[Team 1],ER$3)+SUMIFS(tblActuals35415[Team 1 GD],tblActuals35415[Team 1],$CU12,tblActuals35415[Team 2],ER$3)</f>
        <v>0</v>
      </c>
      <c r="ES12" s="56">
        <f>SUMIFS(tblActuals35415[Team 2 GD],tblActuals35415[Team 2],$CU12,tblActuals35415[Team 1],ES$3)+SUMIFS(tblActuals35415[Team 1 GD],tblActuals35415[Team 1],$CU12,tblActuals35415[Team 2],ES$3)</f>
        <v>0</v>
      </c>
      <c r="ET12" s="56">
        <f>SUMIFS(tblActuals35415[Team 2 GD],tblActuals35415[Team 2],$CU12,tblActuals35415[Team 1],ET$3)+SUMIFS(tblActuals35415[Team 1 GD],tblActuals35415[Team 1],$CU12,tblActuals35415[Team 2],ET$3)</f>
        <v>0</v>
      </c>
      <c r="EU12" s="56">
        <f>SUMIFS(tblActuals35415[Team 2 GD],tblActuals35415[Team 2],$CU12,tblActuals35415[Team 1],EU$3)+SUMIFS(tblActuals35415[Team 1 GD],tblActuals35415[Team 1],$CU12,tblActuals35415[Team 2],EU$3)</f>
        <v>0</v>
      </c>
      <c r="EV12" s="56">
        <f>SUMIFS(tblActuals35415[Team 2 GD],tblActuals35415[Team 2],$CU12,tblActuals35415[Team 1],EV$3)+SUMIFS(tblActuals35415[Team 1 GD],tblActuals35415[Team 1],$CU12,tblActuals35415[Team 2],EV$3)</f>
        <v>0</v>
      </c>
      <c r="EW12" s="56">
        <f>SUMIFS(tblActuals35415[Team 2 GD],tblActuals35415[Team 2],$CU12,tblActuals35415[Team 1],EW$3)+SUMIFS(tblActuals35415[Team 1 GD],tblActuals35415[Team 1],$CU12,tblActuals35415[Team 2],EW$3)</f>
        <v>0</v>
      </c>
      <c r="EX12" s="56">
        <f>SUMIFS(tblActuals35415[Team 2 GD],tblActuals35415[Team 2],$CU12,tblActuals35415[Team 1],EX$3)+SUMIFS(tblActuals35415[Team 1 GD],tblActuals35415[Team 1],$CU12,tblActuals35415[Team 2],EX$3)</f>
        <v>0</v>
      </c>
      <c r="EY12" s="56">
        <f>SUMIFS(tblActuals35415[Team 2 GD],tblActuals35415[Team 2],$CU12,tblActuals35415[Team 1],EY$3)+SUMIFS(tblActuals35415[Team 1 GD],tblActuals35415[Team 1],$CU12,tblActuals35415[Team 2],EY$3)</f>
        <v>0</v>
      </c>
      <c r="EZ12" s="56">
        <f>SUMIFS(tblActuals35415[Team 2 GD],tblActuals35415[Team 2],$CU12,tblActuals35415[Team 1],EZ$3)+SUMIFS(tblActuals35415[Team 1 GD],tblActuals35415[Team 1],$CU12,tblActuals35415[Team 2],EZ$3)</f>
        <v>0</v>
      </c>
      <c r="FA12" s="56">
        <f>SUMIFS(tblActuals35415[Team 2 GD],tblActuals35415[Team 2],$CU12,tblActuals35415[Team 1],FA$3)+SUMIFS(tblActuals35415[Team 1 GD],tblActuals35415[Team 1],$CU12,tblActuals35415[Team 2],FA$3)</f>
        <v>0</v>
      </c>
      <c r="FB12" s="57"/>
      <c r="FC12" s="57"/>
      <c r="FD12" s="57"/>
      <c r="FE12" s="57"/>
      <c r="FF12" s="57"/>
      <c r="FG12" s="57"/>
      <c r="FH12" s="57"/>
      <c r="FI12" s="57"/>
      <c r="FJ12" s="4"/>
      <c r="FK12" s="4" t="s">
        <v>128</v>
      </c>
      <c r="FL12" s="56">
        <f>SUMIFS(tblActuals35415[Team 2 Goals],tblActuals35415[Team 2],$CU12,tblActuals35415[Team 1],FL$3)+SUMIFS(tblActuals35415[Team 1 Goals],tblActuals35415[Team 1],$CU12,tblActuals35415[Team 2],FL$3)</f>
        <v>0</v>
      </c>
      <c r="FM12" s="56">
        <f>SUMIFS(tblActuals35415[Team 2 Goals],tblActuals35415[Team 2],$CU12,tblActuals35415[Team 1],FM$3)+SUMIFS(tblActuals35415[Team 1 Goals],tblActuals35415[Team 1],$CU12,tblActuals35415[Team 2],FM$3)</f>
        <v>0</v>
      </c>
      <c r="FN12" s="56">
        <f>SUMIFS(tblActuals35415[Team 2 Goals],tblActuals35415[Team 2],$CU12,tblActuals35415[Team 1],FN$3)+SUMIFS(tblActuals35415[Team 1 Goals],tblActuals35415[Team 1],$CU12,tblActuals35415[Team 2],FN$3)</f>
        <v>0</v>
      </c>
      <c r="FO12" s="56">
        <f>SUMIFS(tblActuals35415[Team 2 Goals],tblActuals35415[Team 2],$CU12,tblActuals35415[Team 1],FO$3)+SUMIFS(tblActuals35415[Team 1 Goals],tblActuals35415[Team 1],$CU12,tblActuals35415[Team 2],FO$3)</f>
        <v>0</v>
      </c>
      <c r="FP12" s="56">
        <f>SUMIFS(tblActuals35415[Team 2 Goals],tblActuals35415[Team 2],$CU12,tblActuals35415[Team 1],FP$3)+SUMIFS(tblActuals35415[Team 1 Goals],tblActuals35415[Team 1],$CU12,tblActuals35415[Team 2],FP$3)</f>
        <v>0</v>
      </c>
      <c r="FQ12" s="56">
        <f>SUMIFS(tblActuals35415[Team 2 Goals],tblActuals35415[Team 2],$CU12,tblActuals35415[Team 1],FQ$3)+SUMIFS(tblActuals35415[Team 1 Goals],tblActuals35415[Team 1],$CU12,tblActuals35415[Team 2],FQ$3)</f>
        <v>0</v>
      </c>
      <c r="FR12" s="56">
        <f>SUMIFS(tblActuals35415[Team 2 Goals],tblActuals35415[Team 2],$CU12,tblActuals35415[Team 1],FR$3)+SUMIFS(tblActuals35415[Team 1 Goals],tblActuals35415[Team 1],$CU12,tblActuals35415[Team 2],FR$3)</f>
        <v>0</v>
      </c>
      <c r="FS12" s="56">
        <f>SUMIFS(tblActuals35415[Team 2 Goals],tblActuals35415[Team 2],$CU12,tblActuals35415[Team 1],FS$3)+SUMIFS(tblActuals35415[Team 1 Goals],tblActuals35415[Team 1],$CU12,tblActuals35415[Team 2],FS$3)</f>
        <v>0</v>
      </c>
      <c r="FT12" s="56">
        <f>SUMIFS(tblActuals35415[Team 2 Goals],tblActuals35415[Team 2],$CU12,tblActuals35415[Team 1],FT$3)+SUMIFS(tblActuals35415[Team 1 Goals],tblActuals35415[Team 1],$CU12,tblActuals35415[Team 2],FT$3)</f>
        <v>0</v>
      </c>
      <c r="FU12" s="56">
        <f>SUMIFS(tblActuals35415[Team 2 Goals],tblActuals35415[Team 2],$CU12,tblActuals35415[Team 1],FU$3)+SUMIFS(tblActuals35415[Team 1 Goals],tblActuals35415[Team 1],$CU12,tblActuals35415[Team 2],FU$3)</f>
        <v>0</v>
      </c>
      <c r="FV12" s="56">
        <f>SUMIFS(tblActuals35415[Team 2 Goals],tblActuals35415[Team 2],$CU12,tblActuals35415[Team 1],FV$3)+SUMIFS(tblActuals35415[Team 1 Goals],tblActuals35415[Team 1],$CU12,tblActuals35415[Team 2],FV$3)</f>
        <v>0</v>
      </c>
      <c r="FW12" s="56">
        <f>SUMIFS(tblActuals35415[Team 2 Goals],tblActuals35415[Team 2],$CU12,tblActuals35415[Team 1],FW$3)+SUMIFS(tblActuals35415[Team 1 Goals],tblActuals35415[Team 1],$CU12,tblActuals35415[Team 2],FW$3)</f>
        <v>0</v>
      </c>
      <c r="FX12" s="56">
        <f>SUMIFS(tblActuals35415[Team 2 Goals],tblActuals35415[Team 2],$CU12,tblActuals35415[Team 1],FX$3)+SUMIFS(tblActuals35415[Team 1 Goals],tblActuals35415[Team 1],$CU12,tblActuals35415[Team 2],FX$3)</f>
        <v>0</v>
      </c>
      <c r="FY12" s="56">
        <f>SUMIFS(tblActuals35415[Team 2 Goals],tblActuals35415[Team 2],$CU12,tblActuals35415[Team 1],FY$3)+SUMIFS(tblActuals35415[Team 1 Goals],tblActuals35415[Team 1],$CU12,tblActuals35415[Team 2],FY$3)</f>
        <v>0</v>
      </c>
      <c r="FZ12" s="56">
        <f>SUMIFS(tblActuals35415[Team 2 Goals],tblActuals35415[Team 2],$CU12,tblActuals35415[Team 1],FZ$3)+SUMIFS(tblActuals35415[Team 1 Goals],tblActuals35415[Team 1],$CU12,tblActuals35415[Team 2],FZ$3)</f>
        <v>0</v>
      </c>
      <c r="GA12" s="56">
        <f>SUMIFS(tblActuals35415[Team 2 Goals],tblActuals35415[Team 2],$CU12,tblActuals35415[Team 1],GA$3)+SUMIFS(tblActuals35415[Team 1 Goals],tblActuals35415[Team 1],$CU12,tblActuals35415[Team 2],GA$3)</f>
        <v>0</v>
      </c>
      <c r="GB12" s="56">
        <f>SUMIFS(tblActuals35415[Team 2 Goals],tblActuals35415[Team 2],$CU12,tblActuals35415[Team 1],GB$3)+SUMIFS(tblActuals35415[Team 1 Goals],tblActuals35415[Team 1],$CU12,tblActuals35415[Team 2],GB$3)</f>
        <v>0</v>
      </c>
      <c r="GC12" s="56">
        <f>SUMIFS(tblActuals35415[Team 2 Goals],tblActuals35415[Team 2],$CU12,tblActuals35415[Team 1],GC$3)+SUMIFS(tblActuals35415[Team 1 Goals],tblActuals35415[Team 1],$CU12,tblActuals35415[Team 2],GC$3)</f>
        <v>0</v>
      </c>
      <c r="GD12" s="56">
        <f>SUMIFS(tblActuals35415[Team 2 Goals],tblActuals35415[Team 2],$CU12,tblActuals35415[Team 1],GD$3)+SUMIFS(tblActuals35415[Team 1 Goals],tblActuals35415[Team 1],$CU12,tblActuals35415[Team 2],GD$3)</f>
        <v>0</v>
      </c>
      <c r="GE12" s="56">
        <f>SUMIFS(tblActuals35415[Team 2 Goals],tblActuals35415[Team 2],$CU12,tblActuals35415[Team 1],GE$3)+SUMIFS(tblActuals35415[Team 1 Goals],tblActuals35415[Team 1],$CU12,tblActuals35415[Team 2],GE$3)</f>
        <v>0</v>
      </c>
      <c r="GF12" s="56">
        <f>SUMIFS(tblActuals35415[Team 2 Goals],tblActuals35415[Team 2],$CU12,tblActuals35415[Team 1],GF$3)+SUMIFS(tblActuals35415[Team 1 Goals],tblActuals35415[Team 1],$CU12,tblActuals35415[Team 2],GF$3)</f>
        <v>0</v>
      </c>
      <c r="GG12" s="56">
        <f>SUMIFS(tblActuals35415[Team 2 Goals],tblActuals35415[Team 2],$CU12,tblActuals35415[Team 1],GG$3)+SUMIFS(tblActuals35415[Team 1 Goals],tblActuals35415[Team 1],$CU12,tblActuals35415[Team 2],GG$3)</f>
        <v>0</v>
      </c>
      <c r="GH12" s="56">
        <f>SUMIFS(tblActuals35415[Team 2 Goals],tblActuals35415[Team 2],$CU12,tblActuals35415[Team 1],GH$3)+SUMIFS(tblActuals35415[Team 1 Goals],tblActuals35415[Team 1],$CU12,tblActuals35415[Team 2],GH$3)</f>
        <v>0</v>
      </c>
      <c r="GI12" s="56">
        <f>SUMIFS(tblActuals35415[Team 2 Goals],tblActuals35415[Team 2],$CU12,tblActuals35415[Team 1],GI$3)+SUMIFS(tblActuals35415[Team 1 Goals],tblActuals35415[Team 1],$CU12,tblActuals35415[Team 2],GI$3)</f>
        <v>0</v>
      </c>
      <c r="GJ12" s="57"/>
      <c r="GK12" s="57"/>
      <c r="GL12" s="37"/>
      <c r="GM12" s="37"/>
      <c r="GN12" s="37"/>
      <c r="GO12" s="37"/>
      <c r="GP12" s="37"/>
      <c r="GQ12" s="37"/>
      <c r="GR12" s="75"/>
      <c r="GS12" s="156"/>
      <c r="GT12" s="156"/>
      <c r="GU12" s="75"/>
      <c r="GV12" s="75"/>
      <c r="GW12" s="75"/>
      <c r="GX12" s="75"/>
      <c r="GY12" s="75"/>
      <c r="GZ12" s="75"/>
      <c r="HB12" s="4" t="str">
        <f t="shared" si="12"/>
        <v>ACDF</v>
      </c>
      <c r="HC12" s="44" t="s">
        <v>1</v>
      </c>
      <c r="HD12" s="45"/>
      <c r="HE12" s="44" t="s">
        <v>6</v>
      </c>
      <c r="HF12" s="44" t="s">
        <v>7</v>
      </c>
      <c r="HG12" s="45"/>
      <c r="HH12" s="44" t="s">
        <v>45</v>
      </c>
      <c r="HI12" s="178"/>
      <c r="HJ12" s="45" t="s">
        <v>154</v>
      </c>
      <c r="HK12" s="45" t="s">
        <v>150</v>
      </c>
      <c r="HL12" s="45" t="s">
        <v>152</v>
      </c>
      <c r="HM12" s="45" t="s">
        <v>149</v>
      </c>
    </row>
    <row r="13" spans="1:221" s="11" customFormat="1" ht="30" customHeight="1" x14ac:dyDescent="0.2">
      <c r="A13" s="20"/>
      <c r="B13" s="122">
        <v>10</v>
      </c>
      <c r="C13" s="122" t="s">
        <v>12</v>
      </c>
      <c r="D13" s="123">
        <v>45460</v>
      </c>
      <c r="E13" s="122" t="s">
        <v>78</v>
      </c>
      <c r="F13" s="124">
        <v>0.625</v>
      </c>
      <c r="G13" s="125">
        <f t="shared" si="11"/>
        <v>45460.375</v>
      </c>
      <c r="H13" s="122" t="s">
        <v>98</v>
      </c>
      <c r="I13" s="126"/>
      <c r="J13" s="118"/>
      <c r="K13" s="118"/>
      <c r="L13" s="174">
        <f>IF(I13="",0,IFERROR(IF(SCORING.RULES!$C$8="No",1,((VLOOKUP($B13,ACTUALS!$B$4:$L$100,7,FALSE)=$H13)+(VLOOKUP($B13,ACTUALS!$B$4:$L$100,7,FALSE)=S13)))*(M13+N13+O13+P13+Q13),0))+$R13</f>
        <v>0</v>
      </c>
      <c r="M13" s="168">
        <f>IFERROR(IF($B13="","",IF(U13=INDEX(ACTUALS!$AA$4:$AA$100,MATCH($B13,ACTUALS!$B$4:$B$100,0),1),CorrectScore,0)),0)</f>
        <v>0</v>
      </c>
      <c r="N13" s="157" t="str">
        <f>IFERROR(IF(I13="","",IF(INDEX(ACTUALS!$AB$4:$AB$100,MATCH($B13,ACTUALS!$B$4:$B$100,0),1)=(AB13+AC13+AH13+AI13),CorrectNumberofGoals,0)),0)</f>
        <v/>
      </c>
      <c r="O13" s="157"/>
      <c r="P13" s="157">
        <f>IFERROR(IF(B13="","",IF(INDEX(ACTUALS!$L$4:$L$100,MATCH($B13,ACTUALS!$B$4:$B$100,0),1)=W13,CorrectResult,0)),0)</f>
        <v>3</v>
      </c>
      <c r="Q13" s="157"/>
      <c r="R13" s="157"/>
      <c r="S13" s="157" t="str">
        <f t="shared" si="0"/>
        <v/>
      </c>
      <c r="T13" s="157"/>
      <c r="U13" s="157" t="str">
        <f t="shared" si="1"/>
        <v/>
      </c>
      <c r="V13" s="157" t="str">
        <f t="shared" si="2"/>
        <v/>
      </c>
      <c r="W13" s="119" t="str">
        <f>IF(tblActuals35415[[#This Row],[SCORE]]="","",IF(AB13=AC13,"Draw",IF(AB13&gt;AC13,X13,Y13)))</f>
        <v/>
      </c>
      <c r="X13" s="120" t="str">
        <f>IF(tblActuals35415[[#This Row],[TEAMS]]="","",LEFT(H13,FIND(" -",H13,1)-1))</f>
        <v>Romania</v>
      </c>
      <c r="Y13" s="120" t="str">
        <f>IF(tblActuals35415[[#This Row],[TEAMS]]="","",MID(H13,FIND("-",H13,1)+2,LEN(H13)-FIND("-",H13,1)+2))</f>
        <v>Ukraine</v>
      </c>
      <c r="Z13" s="120" t="str">
        <f>IF(tblActuals35415[[#This Row],[Team 1 Goals]]&gt;tblActuals35415[[#This Row],[Team 2 Goals]],tblActuals35415[[#This Row],[Team 1]],IF(tblActuals35415[[#This Row],[Team 2 Goals]]&gt;tblActuals35415[[#This Row],[Team 1 Goals]],tblActuals35415[[#This Row],[Team 2]],""))</f>
        <v/>
      </c>
      <c r="AA13" s="120" t="str">
        <f>IF(tblActuals35415[[#This Row],[Winner]]=tblActuals35415[[#This Row],[Team 1]],tblActuals35415[[#This Row],[Team 2]],IF(tblActuals35415[[#This Row],[Winner]]=tblActuals35415[[#This Row],[Team 2]],tblActuals35415[[#This Row],[Team 1]],""))</f>
        <v/>
      </c>
      <c r="AB13" s="120" t="str">
        <f>IF(tblActuals35415[[#This Row],[SCORE]]="","",LEFT(I13,FIND(":",I13,1)-1)*1)</f>
        <v/>
      </c>
      <c r="AC13" s="120" t="str">
        <f>IF(tblActuals35415[[#This Row],[SCORE]]="","",MID(I13,FIND(":",I13,1)+1,LEN(I13)-FIND(":",I13,1)+1)*1)</f>
        <v/>
      </c>
      <c r="AD13" s="120" t="str">
        <f>IF(OR(tblActuals35415[[#This Row],[Team 1 Goals]]="",tblActuals35415[[#This Row],[Team 2 Goals]]=""),"",tblActuals35415[[#This Row],[Team 1 Goals]]-tblActuals35415[[#This Row],[Team 2 Goals]])</f>
        <v/>
      </c>
      <c r="AE13" s="120" t="str">
        <f>IF(OR(tblActuals35415[[#This Row],[Team 1 Goals]]="",tblActuals35415[[#This Row],[Team 2 Goals]]=""),"",tblActuals35415[[#This Row],[Team 2 Goals]]-tblActuals35415[[#This Row],[Team 1 Goals]])</f>
        <v/>
      </c>
      <c r="AF13" s="120" t="str">
        <f>IF(tblActuals35415[[#This Row],[SCORE]]="","",IF(tblActuals35415[[#This Row],[WINNER / RESULT]]="Draw",1,IF(tblActuals35415[[#This Row],[WINNER / RESULT]]=tblActuals35415[[#This Row],[Team 1]],3,0)))</f>
        <v/>
      </c>
      <c r="AG13" s="120" t="str">
        <f>IF(tblActuals35415[[#This Row],[SCORE]]="","",IF(tblActuals35415[[#This Row],[WINNER / RESULT]]="Draw",1,IF(tblActuals35415[[#This Row],[WINNER / RESULT]]=tblActuals35415[[#This Row],[Team 2]],3,0)))</f>
        <v/>
      </c>
      <c r="AH13" s="121"/>
      <c r="AI13" s="121"/>
      <c r="AJ13" s="121"/>
      <c r="AK13" s="121"/>
      <c r="AL13" s="120" t="e">
        <f>tblActuals35415[[#This Row],[Team 1 Goals]]+tblActuals35415[[#This Row],[Team 1 ET Goals]]&amp;":"&amp;tblActuals35415[[#This Row],[Team 2 Goals]]+tblActuals35415[[#This Row],[Team 2 ET Goals]]</f>
        <v>#VALUE!</v>
      </c>
      <c r="AM13" s="120" t="e">
        <f>+tblActuals35415[[#This Row],[Team 1 Goals]]+tblActuals35415[[#This Row],[Team 2 Goals]]</f>
        <v>#VALUE!</v>
      </c>
      <c r="AN13" s="161">
        <f t="shared" si="3"/>
        <v>45460</v>
      </c>
      <c r="AP13" s="38" t="s">
        <v>78</v>
      </c>
      <c r="AT13" s="77" t="s">
        <v>5</v>
      </c>
      <c r="AU13" s="139">
        <v>2</v>
      </c>
      <c r="AV13" s="140" t="str">
        <f ca="1">IFERROR(INDEX(BD:BD,MATCH("2"&amp;AT13,BN:BN,0),1),"")</f>
        <v>Croatia</v>
      </c>
      <c r="AW13" s="140" t="str">
        <f ca="1">IF(AV13="","",VLOOKUP(AV13,BD:BI,2,FALSE)&amp;"-"&amp;VLOOKUP(AV13,BD:BI,3,FALSE)&amp;"-"&amp;VLOOKUP(AV13,BD:BI,4,FALSE))</f>
        <v>0-0-0</v>
      </c>
      <c r="AX13" s="140">
        <f ca="1">IF(AV13="","",VLOOKUP(AV13,BD:BK,8,FALSE))</f>
        <v>0</v>
      </c>
      <c r="AY13" s="141">
        <f ca="1">IF(AV13="","",VLOOKUP(AV13,BD:BN,5,FALSE))</f>
        <v>0</v>
      </c>
      <c r="AZ13" s="75"/>
      <c r="BA13" s="42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 t="str">
        <f t="shared" si="4"/>
        <v/>
      </c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U13" s="4" t="s">
        <v>25</v>
      </c>
      <c r="CV13" s="56">
        <f>SUMIFS(tblActuals35415[Team 2 Points],tblActuals35415[Team 2],$CU13,tblActuals35415[Team 1],CV$3)+SUMIFS(tblActuals35415[Team 1 Points],tblActuals35415[Team 1],$CU13,tblActuals35415[Team 2],CV$3)</f>
        <v>0</v>
      </c>
      <c r="CW13" s="56">
        <f>SUMIFS(tblActuals35415[Team 2 Points],tblActuals35415[Team 2],$CU13,tblActuals35415[Team 1],CW$3)+SUMIFS(tblActuals35415[Team 1 Points],tblActuals35415[Team 1],$CU13,tblActuals35415[Team 2],CW$3)</f>
        <v>0</v>
      </c>
      <c r="CX13" s="56">
        <f>SUMIFS(tblActuals35415[Team 2 Points],tblActuals35415[Team 2],$CU13,tblActuals35415[Team 1],CX$3)+SUMIFS(tblActuals35415[Team 1 Points],tblActuals35415[Team 1],$CU13,tblActuals35415[Team 2],CX$3)</f>
        <v>0</v>
      </c>
      <c r="CY13" s="56">
        <f>SUMIFS(tblActuals35415[Team 2 Points],tblActuals35415[Team 2],$CU13,tblActuals35415[Team 1],CY$3)+SUMIFS(tblActuals35415[Team 1 Points],tblActuals35415[Team 1],$CU13,tblActuals35415[Team 2],CY$3)</f>
        <v>0</v>
      </c>
      <c r="CZ13" s="56">
        <f>SUMIFS(tblActuals35415[Team 2 Points],tblActuals35415[Team 2],$CU13,tblActuals35415[Team 1],CZ$3)+SUMIFS(tblActuals35415[Team 1 Points],tblActuals35415[Team 1],$CU13,tblActuals35415[Team 2],CZ$3)</f>
        <v>0</v>
      </c>
      <c r="DA13" s="56">
        <f>SUMIFS(tblActuals35415[Team 2 Points],tblActuals35415[Team 2],$CU13,tblActuals35415[Team 1],DA$3)+SUMIFS(tblActuals35415[Team 1 Points],tblActuals35415[Team 1],$CU13,tblActuals35415[Team 2],DA$3)</f>
        <v>0</v>
      </c>
      <c r="DB13" s="56">
        <f>SUMIFS(tblActuals35415[Team 2 Points],tblActuals35415[Team 2],$CU13,tblActuals35415[Team 1],DB$3)+SUMIFS(tblActuals35415[Team 1 Points],tblActuals35415[Team 1],$CU13,tblActuals35415[Team 2],DB$3)</f>
        <v>0</v>
      </c>
      <c r="DC13" s="56">
        <f>SUMIFS(tblActuals35415[Team 2 Points],tblActuals35415[Team 2],$CU13,tblActuals35415[Team 1],DC$3)+SUMIFS(tblActuals35415[Team 1 Points],tblActuals35415[Team 1],$CU13,tblActuals35415[Team 2],DC$3)</f>
        <v>0</v>
      </c>
      <c r="DD13" s="56">
        <f>SUMIFS(tblActuals35415[Team 2 Points],tblActuals35415[Team 2],$CU13,tblActuals35415[Team 1],DD$3)+SUMIFS(tblActuals35415[Team 1 Points],tblActuals35415[Team 1],$CU13,tblActuals35415[Team 2],DD$3)</f>
        <v>0</v>
      </c>
      <c r="DE13" s="56">
        <f>SUMIFS(tblActuals35415[Team 2 Points],tblActuals35415[Team 2],$CU13,tblActuals35415[Team 1],DE$3)+SUMIFS(tblActuals35415[Team 1 Points],tblActuals35415[Team 1],$CU13,tblActuals35415[Team 2],DE$3)</f>
        <v>0</v>
      </c>
      <c r="DF13" s="56">
        <f>SUMIFS(tblActuals35415[Team 2 Points],tblActuals35415[Team 2],$CU13,tblActuals35415[Team 1],DF$3)+SUMIFS(tblActuals35415[Team 1 Points],tblActuals35415[Team 1],$CU13,tblActuals35415[Team 2],DF$3)</f>
        <v>0</v>
      </c>
      <c r="DG13" s="56">
        <f>SUMIFS(tblActuals35415[Team 2 Points],tblActuals35415[Team 2],$CU13,tblActuals35415[Team 1],DG$3)+SUMIFS(tblActuals35415[Team 1 Points],tblActuals35415[Team 1],$CU13,tblActuals35415[Team 2],DG$3)</f>
        <v>0</v>
      </c>
      <c r="DH13" s="56">
        <f>SUMIFS(tblActuals35415[Team 2 Points],tblActuals35415[Team 2],$CU13,tblActuals35415[Team 1],DH$3)+SUMIFS(tblActuals35415[Team 1 Points],tblActuals35415[Team 1],$CU13,tblActuals35415[Team 2],DH$3)</f>
        <v>0</v>
      </c>
      <c r="DI13" s="56">
        <f>SUMIFS(tblActuals35415[Team 2 Points],tblActuals35415[Team 2],$CU13,tblActuals35415[Team 1],DI$3)+SUMIFS(tblActuals35415[Team 1 Points],tblActuals35415[Team 1],$CU13,tblActuals35415[Team 2],DI$3)</f>
        <v>0</v>
      </c>
      <c r="DJ13" s="56">
        <f>SUMIFS(tblActuals35415[Team 2 Points],tblActuals35415[Team 2],$CU13,tblActuals35415[Team 1],DJ$3)+SUMIFS(tblActuals35415[Team 1 Points],tblActuals35415[Team 1],$CU13,tblActuals35415[Team 2],DJ$3)</f>
        <v>0</v>
      </c>
      <c r="DK13" s="56">
        <f>SUMIFS(tblActuals35415[Team 2 Points],tblActuals35415[Team 2],$CU13,tblActuals35415[Team 1],DK$3)+SUMIFS(tblActuals35415[Team 1 Points],tblActuals35415[Team 1],$CU13,tblActuals35415[Team 2],DK$3)</f>
        <v>0</v>
      </c>
      <c r="DL13" s="56">
        <f>SUMIFS(tblActuals35415[Team 2 Points],tblActuals35415[Team 2],$CU13,tblActuals35415[Team 1],DL$3)+SUMIFS(tblActuals35415[Team 1 Points],tblActuals35415[Team 1],$CU13,tblActuals35415[Team 2],DL$3)</f>
        <v>0</v>
      </c>
      <c r="DM13" s="56">
        <f>SUMIFS(tblActuals35415[Team 2 Points],tblActuals35415[Team 2],$CU13,tblActuals35415[Team 1],DM$3)+SUMIFS(tblActuals35415[Team 1 Points],tblActuals35415[Team 1],$CU13,tblActuals35415[Team 2],DM$3)</f>
        <v>0</v>
      </c>
      <c r="DN13" s="56">
        <f>SUMIFS(tblActuals35415[Team 2 Points],tblActuals35415[Team 2],$CU13,tblActuals35415[Team 1],DN$3)+SUMIFS(tblActuals35415[Team 1 Points],tblActuals35415[Team 1],$CU13,tblActuals35415[Team 2],DN$3)</f>
        <v>0</v>
      </c>
      <c r="DO13" s="56">
        <f>SUMIFS(tblActuals35415[Team 2 Points],tblActuals35415[Team 2],$CU13,tblActuals35415[Team 1],DO$3)+SUMIFS(tblActuals35415[Team 1 Points],tblActuals35415[Team 1],$CU13,tblActuals35415[Team 2],DO$3)</f>
        <v>0</v>
      </c>
      <c r="DP13" s="56">
        <f>SUMIFS(tblActuals35415[Team 2 Points],tblActuals35415[Team 2],$CU13,tblActuals35415[Team 1],DP$3)+SUMIFS(tblActuals35415[Team 1 Points],tblActuals35415[Team 1],$CU13,tblActuals35415[Team 2],DP$3)</f>
        <v>0</v>
      </c>
      <c r="DQ13" s="56">
        <f>SUMIFS(tblActuals35415[Team 2 Points],tblActuals35415[Team 2],$CU13,tblActuals35415[Team 1],DQ$3)+SUMIFS(tblActuals35415[Team 1 Points],tblActuals35415[Team 1],$CU13,tblActuals35415[Team 2],DQ$3)</f>
        <v>0</v>
      </c>
      <c r="DR13" s="56">
        <f>SUMIFS(tblActuals35415[Team 2 Points],tblActuals35415[Team 2],$CU13,tblActuals35415[Team 1],DR$3)+SUMIFS(tblActuals35415[Team 1 Points],tblActuals35415[Team 1],$CU13,tblActuals35415[Team 2],DR$3)</f>
        <v>0</v>
      </c>
      <c r="DS13" s="56">
        <f>SUMIFS(tblActuals35415[Team 2 Points],tblActuals35415[Team 2],$CU13,tblActuals35415[Team 1],DS$3)+SUMIFS(tblActuals35415[Team 1 Points],tblActuals35415[Team 1],$CU13,tblActuals35415[Team 2],DS$3)</f>
        <v>0</v>
      </c>
      <c r="DT13" s="57"/>
      <c r="DU13" s="57"/>
      <c r="DV13" s="57"/>
      <c r="DW13" s="57"/>
      <c r="DX13" s="57"/>
      <c r="DY13" s="57"/>
      <c r="DZ13" s="57"/>
      <c r="EA13" s="57"/>
      <c r="EB13" s="4"/>
      <c r="EC13" s="4" t="s">
        <v>25</v>
      </c>
      <c r="ED13" s="56">
        <f>SUMIFS(tblActuals35415[Team 2 GD],tblActuals35415[Team 2],$CU13,tblActuals35415[Team 1],ED$3)+SUMIFS(tblActuals35415[Team 1 GD],tblActuals35415[Team 1],$CU13,tblActuals35415[Team 2],ED$3)</f>
        <v>0</v>
      </c>
      <c r="EE13" s="56">
        <f>SUMIFS(tblActuals35415[Team 2 GD],tblActuals35415[Team 2],$CU13,tblActuals35415[Team 1],EE$3)+SUMIFS(tblActuals35415[Team 1 GD],tblActuals35415[Team 1],$CU13,tblActuals35415[Team 2],EE$3)</f>
        <v>0</v>
      </c>
      <c r="EF13" s="56">
        <f>SUMIFS(tblActuals35415[Team 2 GD],tblActuals35415[Team 2],$CU13,tblActuals35415[Team 1],EF$3)+SUMIFS(tblActuals35415[Team 1 GD],tblActuals35415[Team 1],$CU13,tblActuals35415[Team 2],EF$3)</f>
        <v>0</v>
      </c>
      <c r="EG13" s="56">
        <f>SUMIFS(tblActuals35415[Team 2 GD],tblActuals35415[Team 2],$CU13,tblActuals35415[Team 1],EG$3)+SUMIFS(tblActuals35415[Team 1 GD],tblActuals35415[Team 1],$CU13,tblActuals35415[Team 2],EG$3)</f>
        <v>0</v>
      </c>
      <c r="EH13" s="56">
        <f>SUMIFS(tblActuals35415[Team 2 GD],tblActuals35415[Team 2],$CU13,tblActuals35415[Team 1],EH$3)+SUMIFS(tblActuals35415[Team 1 GD],tblActuals35415[Team 1],$CU13,tblActuals35415[Team 2],EH$3)</f>
        <v>0</v>
      </c>
      <c r="EI13" s="56">
        <f>SUMIFS(tblActuals35415[Team 2 GD],tblActuals35415[Team 2],$CU13,tblActuals35415[Team 1],EI$3)+SUMIFS(tblActuals35415[Team 1 GD],tblActuals35415[Team 1],$CU13,tblActuals35415[Team 2],EI$3)</f>
        <v>0</v>
      </c>
      <c r="EJ13" s="56">
        <f>SUMIFS(tblActuals35415[Team 2 GD],tblActuals35415[Team 2],$CU13,tblActuals35415[Team 1],EJ$3)+SUMIFS(tblActuals35415[Team 1 GD],tblActuals35415[Team 1],$CU13,tblActuals35415[Team 2],EJ$3)</f>
        <v>0</v>
      </c>
      <c r="EK13" s="56">
        <f>SUMIFS(tblActuals35415[Team 2 GD],tblActuals35415[Team 2],$CU13,tblActuals35415[Team 1],EK$3)+SUMIFS(tblActuals35415[Team 1 GD],tblActuals35415[Team 1],$CU13,tblActuals35415[Team 2],EK$3)</f>
        <v>0</v>
      </c>
      <c r="EL13" s="56">
        <f>SUMIFS(tblActuals35415[Team 2 GD],tblActuals35415[Team 2],$CU13,tblActuals35415[Team 1],EL$3)+SUMIFS(tblActuals35415[Team 1 GD],tblActuals35415[Team 1],$CU13,tblActuals35415[Team 2],EL$3)</f>
        <v>0</v>
      </c>
      <c r="EM13" s="56">
        <f>SUMIFS(tblActuals35415[Team 2 GD],tblActuals35415[Team 2],$CU13,tblActuals35415[Team 1],EM$3)+SUMIFS(tblActuals35415[Team 1 GD],tblActuals35415[Team 1],$CU13,tblActuals35415[Team 2],EM$3)</f>
        <v>0</v>
      </c>
      <c r="EN13" s="56">
        <f>SUMIFS(tblActuals35415[Team 2 GD],tblActuals35415[Team 2],$CU13,tblActuals35415[Team 1],EN$3)+SUMIFS(tblActuals35415[Team 1 GD],tblActuals35415[Team 1],$CU13,tblActuals35415[Team 2],EN$3)</f>
        <v>0</v>
      </c>
      <c r="EO13" s="56">
        <f>SUMIFS(tblActuals35415[Team 2 GD],tblActuals35415[Team 2],$CU13,tblActuals35415[Team 1],EO$3)+SUMIFS(tblActuals35415[Team 1 GD],tblActuals35415[Team 1],$CU13,tblActuals35415[Team 2],EO$3)</f>
        <v>0</v>
      </c>
      <c r="EP13" s="56">
        <f>SUMIFS(tblActuals35415[Team 2 GD],tblActuals35415[Team 2],$CU13,tblActuals35415[Team 1],EP$3)+SUMIFS(tblActuals35415[Team 1 GD],tblActuals35415[Team 1],$CU13,tblActuals35415[Team 2],EP$3)</f>
        <v>0</v>
      </c>
      <c r="EQ13" s="56">
        <f>SUMIFS(tblActuals35415[Team 2 GD],tblActuals35415[Team 2],$CU13,tblActuals35415[Team 1],EQ$3)+SUMIFS(tblActuals35415[Team 1 GD],tblActuals35415[Team 1],$CU13,tblActuals35415[Team 2],EQ$3)</f>
        <v>0</v>
      </c>
      <c r="ER13" s="56">
        <f>SUMIFS(tblActuals35415[Team 2 GD],tblActuals35415[Team 2],$CU13,tblActuals35415[Team 1],ER$3)+SUMIFS(tblActuals35415[Team 1 GD],tblActuals35415[Team 1],$CU13,tblActuals35415[Team 2],ER$3)</f>
        <v>0</v>
      </c>
      <c r="ES13" s="56">
        <f>SUMIFS(tblActuals35415[Team 2 GD],tblActuals35415[Team 2],$CU13,tblActuals35415[Team 1],ES$3)+SUMIFS(tblActuals35415[Team 1 GD],tblActuals35415[Team 1],$CU13,tblActuals35415[Team 2],ES$3)</f>
        <v>0</v>
      </c>
      <c r="ET13" s="56">
        <f>SUMIFS(tblActuals35415[Team 2 GD],tblActuals35415[Team 2],$CU13,tblActuals35415[Team 1],ET$3)+SUMIFS(tblActuals35415[Team 1 GD],tblActuals35415[Team 1],$CU13,tblActuals35415[Team 2],ET$3)</f>
        <v>0</v>
      </c>
      <c r="EU13" s="56">
        <f>SUMIFS(tblActuals35415[Team 2 GD],tblActuals35415[Team 2],$CU13,tblActuals35415[Team 1],EU$3)+SUMIFS(tblActuals35415[Team 1 GD],tblActuals35415[Team 1],$CU13,tblActuals35415[Team 2],EU$3)</f>
        <v>0</v>
      </c>
      <c r="EV13" s="56">
        <f>SUMIFS(tblActuals35415[Team 2 GD],tblActuals35415[Team 2],$CU13,tblActuals35415[Team 1],EV$3)+SUMIFS(tblActuals35415[Team 1 GD],tblActuals35415[Team 1],$CU13,tblActuals35415[Team 2],EV$3)</f>
        <v>0</v>
      </c>
      <c r="EW13" s="56">
        <f>SUMIFS(tblActuals35415[Team 2 GD],tblActuals35415[Team 2],$CU13,tblActuals35415[Team 1],EW$3)+SUMIFS(tblActuals35415[Team 1 GD],tblActuals35415[Team 1],$CU13,tblActuals35415[Team 2],EW$3)</f>
        <v>0</v>
      </c>
      <c r="EX13" s="56">
        <f>SUMIFS(tblActuals35415[Team 2 GD],tblActuals35415[Team 2],$CU13,tblActuals35415[Team 1],EX$3)+SUMIFS(tblActuals35415[Team 1 GD],tblActuals35415[Team 1],$CU13,tblActuals35415[Team 2],EX$3)</f>
        <v>0</v>
      </c>
      <c r="EY13" s="56">
        <f>SUMIFS(tblActuals35415[Team 2 GD],tblActuals35415[Team 2],$CU13,tblActuals35415[Team 1],EY$3)+SUMIFS(tblActuals35415[Team 1 GD],tblActuals35415[Team 1],$CU13,tblActuals35415[Team 2],EY$3)</f>
        <v>0</v>
      </c>
      <c r="EZ13" s="56">
        <f>SUMIFS(tblActuals35415[Team 2 GD],tblActuals35415[Team 2],$CU13,tblActuals35415[Team 1],EZ$3)+SUMIFS(tblActuals35415[Team 1 GD],tblActuals35415[Team 1],$CU13,tblActuals35415[Team 2],EZ$3)</f>
        <v>0</v>
      </c>
      <c r="FA13" s="56">
        <f>SUMIFS(tblActuals35415[Team 2 GD],tblActuals35415[Team 2],$CU13,tblActuals35415[Team 1],FA$3)+SUMIFS(tblActuals35415[Team 1 GD],tblActuals35415[Team 1],$CU13,tblActuals35415[Team 2],FA$3)</f>
        <v>0</v>
      </c>
      <c r="FB13" s="57"/>
      <c r="FC13" s="57"/>
      <c r="FD13" s="57"/>
      <c r="FE13" s="57"/>
      <c r="FF13" s="57"/>
      <c r="FG13" s="57"/>
      <c r="FH13" s="57"/>
      <c r="FI13" s="57"/>
      <c r="FJ13" s="4"/>
      <c r="FK13" s="4" t="s">
        <v>25</v>
      </c>
      <c r="FL13" s="56">
        <f>SUMIFS(tblActuals35415[Team 2 Goals],tblActuals35415[Team 2],$CU13,tblActuals35415[Team 1],FL$3)+SUMIFS(tblActuals35415[Team 1 Goals],tblActuals35415[Team 1],$CU13,tblActuals35415[Team 2],FL$3)</f>
        <v>0</v>
      </c>
      <c r="FM13" s="56">
        <f>SUMIFS(tblActuals35415[Team 2 Goals],tblActuals35415[Team 2],$CU13,tblActuals35415[Team 1],FM$3)+SUMIFS(tblActuals35415[Team 1 Goals],tblActuals35415[Team 1],$CU13,tblActuals35415[Team 2],FM$3)</f>
        <v>0</v>
      </c>
      <c r="FN13" s="56">
        <f>SUMIFS(tblActuals35415[Team 2 Goals],tblActuals35415[Team 2],$CU13,tblActuals35415[Team 1],FN$3)+SUMIFS(tblActuals35415[Team 1 Goals],tblActuals35415[Team 1],$CU13,tblActuals35415[Team 2],FN$3)</f>
        <v>0</v>
      </c>
      <c r="FO13" s="56">
        <f>SUMIFS(tblActuals35415[Team 2 Goals],tblActuals35415[Team 2],$CU13,tblActuals35415[Team 1],FO$3)+SUMIFS(tblActuals35415[Team 1 Goals],tblActuals35415[Team 1],$CU13,tblActuals35415[Team 2],FO$3)</f>
        <v>0</v>
      </c>
      <c r="FP13" s="56">
        <f>SUMIFS(tblActuals35415[Team 2 Goals],tblActuals35415[Team 2],$CU13,tblActuals35415[Team 1],FP$3)+SUMIFS(tblActuals35415[Team 1 Goals],tblActuals35415[Team 1],$CU13,tblActuals35415[Team 2],FP$3)</f>
        <v>0</v>
      </c>
      <c r="FQ13" s="56">
        <f>SUMIFS(tblActuals35415[Team 2 Goals],tblActuals35415[Team 2],$CU13,tblActuals35415[Team 1],FQ$3)+SUMIFS(tblActuals35415[Team 1 Goals],tblActuals35415[Team 1],$CU13,tblActuals35415[Team 2],FQ$3)</f>
        <v>0</v>
      </c>
      <c r="FR13" s="56">
        <f>SUMIFS(tblActuals35415[Team 2 Goals],tblActuals35415[Team 2],$CU13,tblActuals35415[Team 1],FR$3)+SUMIFS(tblActuals35415[Team 1 Goals],tblActuals35415[Team 1],$CU13,tblActuals35415[Team 2],FR$3)</f>
        <v>0</v>
      </c>
      <c r="FS13" s="56">
        <f>SUMIFS(tblActuals35415[Team 2 Goals],tblActuals35415[Team 2],$CU13,tblActuals35415[Team 1],FS$3)+SUMIFS(tblActuals35415[Team 1 Goals],tblActuals35415[Team 1],$CU13,tblActuals35415[Team 2],FS$3)</f>
        <v>0</v>
      </c>
      <c r="FT13" s="56">
        <f>SUMIFS(tblActuals35415[Team 2 Goals],tblActuals35415[Team 2],$CU13,tblActuals35415[Team 1],FT$3)+SUMIFS(tblActuals35415[Team 1 Goals],tblActuals35415[Team 1],$CU13,tblActuals35415[Team 2],FT$3)</f>
        <v>0</v>
      </c>
      <c r="FU13" s="56">
        <f>SUMIFS(tblActuals35415[Team 2 Goals],tblActuals35415[Team 2],$CU13,tblActuals35415[Team 1],FU$3)+SUMIFS(tblActuals35415[Team 1 Goals],tblActuals35415[Team 1],$CU13,tblActuals35415[Team 2],FU$3)</f>
        <v>0</v>
      </c>
      <c r="FV13" s="56">
        <f>SUMIFS(tblActuals35415[Team 2 Goals],tblActuals35415[Team 2],$CU13,tblActuals35415[Team 1],FV$3)+SUMIFS(tblActuals35415[Team 1 Goals],tblActuals35415[Team 1],$CU13,tblActuals35415[Team 2],FV$3)</f>
        <v>0</v>
      </c>
      <c r="FW13" s="56">
        <f>SUMIFS(tblActuals35415[Team 2 Goals],tblActuals35415[Team 2],$CU13,tblActuals35415[Team 1],FW$3)+SUMIFS(tblActuals35415[Team 1 Goals],tblActuals35415[Team 1],$CU13,tblActuals35415[Team 2],FW$3)</f>
        <v>0</v>
      </c>
      <c r="FX13" s="56">
        <f>SUMIFS(tblActuals35415[Team 2 Goals],tblActuals35415[Team 2],$CU13,tblActuals35415[Team 1],FX$3)+SUMIFS(tblActuals35415[Team 1 Goals],tblActuals35415[Team 1],$CU13,tblActuals35415[Team 2],FX$3)</f>
        <v>0</v>
      </c>
      <c r="FY13" s="56">
        <f>SUMIFS(tblActuals35415[Team 2 Goals],tblActuals35415[Team 2],$CU13,tblActuals35415[Team 1],FY$3)+SUMIFS(tblActuals35415[Team 1 Goals],tblActuals35415[Team 1],$CU13,tblActuals35415[Team 2],FY$3)</f>
        <v>0</v>
      </c>
      <c r="FZ13" s="56">
        <f>SUMIFS(tblActuals35415[Team 2 Goals],tblActuals35415[Team 2],$CU13,tblActuals35415[Team 1],FZ$3)+SUMIFS(tblActuals35415[Team 1 Goals],tblActuals35415[Team 1],$CU13,tblActuals35415[Team 2],FZ$3)</f>
        <v>0</v>
      </c>
      <c r="GA13" s="56">
        <f>SUMIFS(tblActuals35415[Team 2 Goals],tblActuals35415[Team 2],$CU13,tblActuals35415[Team 1],GA$3)+SUMIFS(tblActuals35415[Team 1 Goals],tblActuals35415[Team 1],$CU13,tblActuals35415[Team 2],GA$3)</f>
        <v>0</v>
      </c>
      <c r="GB13" s="56">
        <f>SUMIFS(tblActuals35415[Team 2 Goals],tblActuals35415[Team 2],$CU13,tblActuals35415[Team 1],GB$3)+SUMIFS(tblActuals35415[Team 1 Goals],tblActuals35415[Team 1],$CU13,tblActuals35415[Team 2],GB$3)</f>
        <v>0</v>
      </c>
      <c r="GC13" s="56">
        <f>SUMIFS(tblActuals35415[Team 2 Goals],tblActuals35415[Team 2],$CU13,tblActuals35415[Team 1],GC$3)+SUMIFS(tblActuals35415[Team 1 Goals],tblActuals35415[Team 1],$CU13,tblActuals35415[Team 2],GC$3)</f>
        <v>0</v>
      </c>
      <c r="GD13" s="56">
        <f>SUMIFS(tblActuals35415[Team 2 Goals],tblActuals35415[Team 2],$CU13,tblActuals35415[Team 1],GD$3)+SUMIFS(tblActuals35415[Team 1 Goals],tblActuals35415[Team 1],$CU13,tblActuals35415[Team 2],GD$3)</f>
        <v>0</v>
      </c>
      <c r="GE13" s="56">
        <f>SUMIFS(tblActuals35415[Team 2 Goals],tblActuals35415[Team 2],$CU13,tblActuals35415[Team 1],GE$3)+SUMIFS(tblActuals35415[Team 1 Goals],tblActuals35415[Team 1],$CU13,tblActuals35415[Team 2],GE$3)</f>
        <v>0</v>
      </c>
      <c r="GF13" s="56">
        <f>SUMIFS(tblActuals35415[Team 2 Goals],tblActuals35415[Team 2],$CU13,tblActuals35415[Team 1],GF$3)+SUMIFS(tblActuals35415[Team 1 Goals],tblActuals35415[Team 1],$CU13,tblActuals35415[Team 2],GF$3)</f>
        <v>0</v>
      </c>
      <c r="GG13" s="56">
        <f>SUMIFS(tblActuals35415[Team 2 Goals],tblActuals35415[Team 2],$CU13,tblActuals35415[Team 1],GG$3)+SUMIFS(tblActuals35415[Team 1 Goals],tblActuals35415[Team 1],$CU13,tblActuals35415[Team 2],GG$3)</f>
        <v>0</v>
      </c>
      <c r="GH13" s="56">
        <f>SUMIFS(tblActuals35415[Team 2 Goals],tblActuals35415[Team 2],$CU13,tblActuals35415[Team 1],GH$3)+SUMIFS(tblActuals35415[Team 1 Goals],tblActuals35415[Team 1],$CU13,tblActuals35415[Team 2],GH$3)</f>
        <v>0</v>
      </c>
      <c r="GI13" s="56">
        <f>SUMIFS(tblActuals35415[Team 2 Goals],tblActuals35415[Team 2],$CU13,tblActuals35415[Team 1],GI$3)+SUMIFS(tblActuals35415[Team 1 Goals],tblActuals35415[Team 1],$CU13,tblActuals35415[Team 2],GI$3)</f>
        <v>0</v>
      </c>
      <c r="GJ13" s="57"/>
      <c r="GK13" s="57"/>
      <c r="GL13" s="37"/>
      <c r="GM13" s="37"/>
      <c r="GN13" s="37"/>
      <c r="GO13" s="37"/>
      <c r="GP13" s="37"/>
      <c r="GQ13" s="37"/>
      <c r="GR13" s="75"/>
      <c r="GS13" s="156"/>
      <c r="GT13" s="156"/>
      <c r="GU13" s="75"/>
      <c r="GV13" s="75"/>
      <c r="GW13" s="75"/>
      <c r="GX13" s="75"/>
      <c r="GY13" s="75"/>
      <c r="GZ13" s="75"/>
      <c r="HB13" s="4" t="str">
        <f t="shared" si="12"/>
        <v>ACEF</v>
      </c>
      <c r="HC13" s="44" t="s">
        <v>1</v>
      </c>
      <c r="HD13" s="45"/>
      <c r="HE13" s="44" t="s">
        <v>6</v>
      </c>
      <c r="HF13" s="45"/>
      <c r="HG13" s="44" t="s">
        <v>12</v>
      </c>
      <c r="HH13" s="44" t="s">
        <v>45</v>
      </c>
      <c r="HI13" s="178"/>
      <c r="HJ13" s="45" t="s">
        <v>153</v>
      </c>
      <c r="HK13" s="45" t="s">
        <v>154</v>
      </c>
      <c r="HL13" s="45" t="s">
        <v>152</v>
      </c>
      <c r="HM13" s="45" t="s">
        <v>149</v>
      </c>
    </row>
    <row r="14" spans="1:221" s="11" customFormat="1" ht="30" customHeight="1" x14ac:dyDescent="0.2">
      <c r="A14" s="20"/>
      <c r="B14" s="122">
        <v>11</v>
      </c>
      <c r="C14" s="122" t="s">
        <v>45</v>
      </c>
      <c r="D14" s="123">
        <v>45461</v>
      </c>
      <c r="E14" s="122" t="s">
        <v>81</v>
      </c>
      <c r="F14" s="124">
        <v>0.75</v>
      </c>
      <c r="G14" s="125">
        <f t="shared" si="11"/>
        <v>45461.5</v>
      </c>
      <c r="H14" s="122" t="s">
        <v>99</v>
      </c>
      <c r="I14" s="126"/>
      <c r="J14" s="118"/>
      <c r="K14" s="118"/>
      <c r="L14" s="174">
        <f>IF(I14="",0,IFERROR(IF(SCORING.RULES!$C$8="No",1,((VLOOKUP($B14,ACTUALS!$B$4:$L$100,7,FALSE)=$H14)+(VLOOKUP($B14,ACTUALS!$B$4:$L$100,7,FALSE)=S14)))*(M14+N14+O14+P14+Q14),0))+$R14</f>
        <v>0</v>
      </c>
      <c r="M14" s="168">
        <f>IFERROR(IF($B14="","",IF(U14=INDEX(ACTUALS!$AA$4:$AA$100,MATCH($B14,ACTUALS!$B$4:$B$100,0),1),CorrectScore,0)),0)</f>
        <v>0</v>
      </c>
      <c r="N14" s="157" t="str">
        <f>IFERROR(IF(I14="","",IF(INDEX(ACTUALS!$AB$4:$AB$100,MATCH($B14,ACTUALS!$B$4:$B$100,0),1)=(AB14+AC14+AH14+AI14),CorrectNumberofGoals,0)),0)</f>
        <v/>
      </c>
      <c r="O14" s="157"/>
      <c r="P14" s="157">
        <f>IFERROR(IF(B14="","",IF(INDEX(ACTUALS!$L$4:$L$100,MATCH($B14,ACTUALS!$B$4:$B$100,0),1)=W14,CorrectResult,0)),0)</f>
        <v>3</v>
      </c>
      <c r="Q14" s="157"/>
      <c r="R14" s="157"/>
      <c r="S14" s="157" t="str">
        <f t="shared" si="0"/>
        <v/>
      </c>
      <c r="T14" s="157"/>
      <c r="U14" s="157" t="str">
        <f t="shared" si="1"/>
        <v/>
      </c>
      <c r="V14" s="157" t="str">
        <f t="shared" si="2"/>
        <v/>
      </c>
      <c r="W14" s="119" t="str">
        <f>IF(tblActuals35415[[#This Row],[SCORE]]="","",IF(AB14=AC14,"Draw",IF(AB14&gt;AC14,X14,Y14)))</f>
        <v/>
      </c>
      <c r="X14" s="120" t="str">
        <f>IF(tblActuals35415[[#This Row],[TEAMS]]="","",LEFT(H14,FIND(" -",H14,1)-1))</f>
        <v>Turkey</v>
      </c>
      <c r="Y14" s="120" t="str">
        <f>IF(tblActuals35415[[#This Row],[TEAMS]]="","",MID(H14,FIND("-",H14,1)+2,LEN(H14)-FIND("-",H14,1)+2))</f>
        <v>Georgia</v>
      </c>
      <c r="Z14" s="120" t="str">
        <f>IF(tblActuals35415[[#This Row],[Team 1 Goals]]&gt;tblActuals35415[[#This Row],[Team 2 Goals]],tblActuals35415[[#This Row],[Team 1]],IF(tblActuals35415[[#This Row],[Team 2 Goals]]&gt;tblActuals35415[[#This Row],[Team 1 Goals]],tblActuals35415[[#This Row],[Team 2]],""))</f>
        <v/>
      </c>
      <c r="AA14" s="120" t="str">
        <f>IF(tblActuals35415[[#This Row],[Winner]]=tblActuals35415[[#This Row],[Team 1]],tblActuals35415[[#This Row],[Team 2]],IF(tblActuals35415[[#This Row],[Winner]]=tblActuals35415[[#This Row],[Team 2]],tblActuals35415[[#This Row],[Team 1]],""))</f>
        <v/>
      </c>
      <c r="AB14" s="120" t="str">
        <f>IF(tblActuals35415[[#This Row],[SCORE]]="","",LEFT(I14,FIND(":",I14,1)-1)*1)</f>
        <v/>
      </c>
      <c r="AC14" s="120" t="str">
        <f>IF(tblActuals35415[[#This Row],[SCORE]]="","",MID(I14,FIND(":",I14,1)+1,LEN(I14)-FIND(":",I14,1)+1)*1)</f>
        <v/>
      </c>
      <c r="AD14" s="120" t="str">
        <f>IF(OR(tblActuals35415[[#This Row],[Team 1 Goals]]="",tblActuals35415[[#This Row],[Team 2 Goals]]=""),"",tblActuals35415[[#This Row],[Team 1 Goals]]-tblActuals35415[[#This Row],[Team 2 Goals]])</f>
        <v/>
      </c>
      <c r="AE14" s="120" t="str">
        <f>IF(OR(tblActuals35415[[#This Row],[Team 1 Goals]]="",tblActuals35415[[#This Row],[Team 2 Goals]]=""),"",tblActuals35415[[#This Row],[Team 2 Goals]]-tblActuals35415[[#This Row],[Team 1 Goals]])</f>
        <v/>
      </c>
      <c r="AF14" s="120" t="str">
        <f>IF(tblActuals35415[[#This Row],[SCORE]]="","",IF(tblActuals35415[[#This Row],[WINNER / RESULT]]="Draw",1,IF(tblActuals35415[[#This Row],[WINNER / RESULT]]=tblActuals35415[[#This Row],[Team 1]],3,0)))</f>
        <v/>
      </c>
      <c r="AG14" s="120" t="str">
        <f>IF(tblActuals35415[[#This Row],[SCORE]]="","",IF(tblActuals35415[[#This Row],[WINNER / RESULT]]="Draw",1,IF(tblActuals35415[[#This Row],[WINNER / RESULT]]=tblActuals35415[[#This Row],[Team 2]],3,0)))</f>
        <v/>
      </c>
      <c r="AH14" s="121"/>
      <c r="AI14" s="121"/>
      <c r="AJ14" s="121"/>
      <c r="AK14" s="121"/>
      <c r="AL14" s="120" t="e">
        <f>tblActuals35415[[#This Row],[Team 1 Goals]]+tblActuals35415[[#This Row],[Team 1 ET Goals]]&amp;":"&amp;tblActuals35415[[#This Row],[Team 2 Goals]]+tblActuals35415[[#This Row],[Team 2 ET Goals]]</f>
        <v>#VALUE!</v>
      </c>
      <c r="AM14" s="120" t="e">
        <f>+tblActuals35415[[#This Row],[Team 1 Goals]]+tblActuals35415[[#This Row],[Team 2 Goals]]</f>
        <v>#VALUE!</v>
      </c>
      <c r="AN14" s="161">
        <f t="shared" si="3"/>
        <v>45461</v>
      </c>
      <c r="AP14" s="38" t="s">
        <v>83</v>
      </c>
      <c r="AT14" s="77" t="s">
        <v>5</v>
      </c>
      <c r="AU14" s="142">
        <v>3</v>
      </c>
      <c r="AV14" s="143" t="str">
        <f ca="1">IFERROR(INDEX(BD:BD,MATCH("3"&amp;AT14,BN:BN,0),1),"")</f>
        <v>Italy</v>
      </c>
      <c r="AW14" s="143" t="str">
        <f ca="1">IF(AV14="","",VLOOKUP(AV14,BD:BI,2,FALSE)&amp;"-"&amp;VLOOKUP(AV14,BD:BI,3,FALSE)&amp;"-"&amp;VLOOKUP(AV14,BD:BI,4,FALSE))</f>
        <v>0-0-0</v>
      </c>
      <c r="AX14" s="143">
        <f ca="1">IF(AV14="","",VLOOKUP(AV14,BD:BK,8,FALSE))</f>
        <v>0</v>
      </c>
      <c r="AY14" s="144">
        <f ca="1">IF(AV14="","",VLOOKUP(AV14,BD:BN,5,FALSE))</f>
        <v>0</v>
      </c>
      <c r="AZ14" s="75" t="str">
        <f ca="1">IF(INDEX($AU$43:$AU$48,MATCH(AV14,$AV$43:$AV$48,0),1)&lt;=4,"X","")</f>
        <v/>
      </c>
      <c r="BA14" s="4"/>
      <c r="BB14" s="4"/>
      <c r="BC14" s="4" t="s">
        <v>6</v>
      </c>
      <c r="BD14" s="4" t="s">
        <v>25</v>
      </c>
      <c r="BE14" s="4">
        <f>COUNTIF(tblActuals35415[Winner],BD14)</f>
        <v>0</v>
      </c>
      <c r="BF14" s="4">
        <f>COUNTIFS(tblActuals35415[Team 2],BD14,tblActuals35415[WINNER / RESULT],"Draw")+COUNTIFS(tblActuals35415[Team 1],BD14,tblActuals35415[WINNER / RESULT],"Draw")</f>
        <v>0</v>
      </c>
      <c r="BG14" s="4">
        <f>COUNTIF(tblActuals35415[Loser],BD14)</f>
        <v>0</v>
      </c>
      <c r="BH14" s="4">
        <f>BF14+(3*BE14)</f>
        <v>0</v>
      </c>
      <c r="BI14" s="4">
        <f>SUMIFS(tblActuals35415[Team 1 Goals],tblActuals35415[Team 1],BD14)+SUMIFS(tblActuals35415[Team 2 Goals],tblActuals35415[Team 2],BD14)</f>
        <v>0</v>
      </c>
      <c r="BJ14" s="4">
        <f>SUMIFS(tblActuals35415[Team 2 Goals],tblActuals35415[Team 1],BD14)+SUMIFS(tblActuals35415[Team 1 Goals],tblActuals35415[Team 2],BD14)</f>
        <v>0</v>
      </c>
      <c r="BK14" s="4">
        <f>BI14-BJ14</f>
        <v>0</v>
      </c>
      <c r="BL14" s="4">
        <f ca="1">RANK(BY14,$BY$14:$BY$17,1)</f>
        <v>1</v>
      </c>
      <c r="BM14" s="4" t="str">
        <f t="shared" si="4"/>
        <v/>
      </c>
      <c r="BN14" s="4" t="str">
        <f ca="1">IF(BM14="",BL14&amp;BC14,BM14&amp;BC14)</f>
        <v>1C</v>
      </c>
      <c r="BO14" s="4">
        <f>RANK(BH14,$BH$14:$BH$17,0)</f>
        <v>1</v>
      </c>
      <c r="BP14" s="4" cm="1">
        <f t="array" aca="1" ref="BP14" ca="1">SUMPRODUCT((OFFSET($CV$3:$EA$3,MATCH($BD14,$CU$4:$CU$35,0),0))*((IF($BO16=$BO14,$CV$3:$EA$3=$BD16,0))+(IF($BO17=$BO14,$CV$3:$EA$3=$BD17,0))+(IF($BO15=$BO14,$CV$3:$EA$3=$BD15,0))))</f>
        <v>0</v>
      </c>
      <c r="BQ14" s="4" cm="1">
        <f t="array" aca="1" ref="BQ14" ca="1">SUMPRODUCT((OFFSET($ED$3:$FI$3,MATCH($BD14,$EC$4:$EC$35,0),0))*((IF($BO16=$BO14,$ED$3:$FI$3=$BD16,0))+(IF($BO17=$BO14,$ED$3:$FI$3=$BD17,0))+(IF($BO15=$BO14,$ED$3:$FI$3=$BD15,0))))</f>
        <v>0</v>
      </c>
      <c r="BR14" s="4" cm="1">
        <f t="array" aca="1" ref="BR14" ca="1">SUMPRODUCT((OFFSET($FL$3:$GQ$3,MATCH($BD14,$FK$4:$FK$35,0),0))*((IF($BO16=$BO14,$FL$3:$GQ$3=$BD16,0))+(IF($BO17=$BO14,$FL$3:$GQ$3=$BD17,0))+(IF($BO15=$BO14,$FL$3:$GQ$3=$BD15,0))))</f>
        <v>0</v>
      </c>
      <c r="BS14" s="4" cm="1">
        <f t="array" aca="1" ref="BS14" ca="1">SUMPRODUCT((OFFSET($CV$3:$EA$3,MATCH($BD14,$CU$4:$CU$35,0),0))*((IF($BO16&lt;&gt;$BO14,$CV$3:$EA$3=$BD16,0))+(IF($BO17&lt;&gt;$BO14,$CV$3:$EA$3=$BD17,0))+(IF($BO15&lt;&gt;$BO14,$CV$3:$EA$3=$BD15,0))))</f>
        <v>0</v>
      </c>
      <c r="BT14" s="4" cm="1">
        <f t="array" aca="1" ref="BT14" ca="1">SUMPRODUCT((OFFSET($ED$3:$FI$3,MATCH($BD14,$EC$4:$EC$35,0),0))*((IF($BO16&lt;&gt;$BO14,$ED$3:$FI$3=$BD16,0))+(IF($BO17&lt;&gt;$BO14,$ED$3:$FI$3=$BD17,0))+(IF($BO15&lt;&gt;$BO14,$ED$3:$FI$3=$BD15,0))))</f>
        <v>0</v>
      </c>
      <c r="BU14" s="4" cm="1">
        <f t="array" aca="1" ref="BU14" ca="1">SUMPRODUCT((OFFSET($FL$3:$GQ$3,MATCH($BD14,$FK$4:$FK$35,0),0))*((IF($BO16&lt;&gt;$BO14,$FL$3:$GQ$3=$BD16,0))+(IF($BO17&lt;&gt;$BO14,$FL$3:$GQ$3=$BD17,0))+(IF($BO15&lt;&gt;$BO14,$FL$3:$GQ$3=$BD15,0))))</f>
        <v>0</v>
      </c>
      <c r="BV14" s="4">
        <f>BK14</f>
        <v>0</v>
      </c>
      <c r="BW14" s="4">
        <f>BI14</f>
        <v>0</v>
      </c>
      <c r="BX14" s="4">
        <f ca="1">(BP14/10)+(BQ14/100)+(BR14/1000)+(BT14/10000)+(BU14/100000)+(BV14/1000000)+(BW14/10000000)+(ROW(BS17)/100000000)</f>
        <v>1.6999999999999999E-7</v>
      </c>
      <c r="BY14" s="4">
        <f ca="1">+BO14-BX14</f>
        <v>0.99999983000000003</v>
      </c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U14" s="4" t="s">
        <v>34</v>
      </c>
      <c r="CV14" s="56">
        <f>SUMIFS(tblActuals35415[Team 2 Points],tblActuals35415[Team 2],$CU14,tblActuals35415[Team 1],CV$3)+SUMIFS(tblActuals35415[Team 1 Points],tblActuals35415[Team 1],$CU14,tblActuals35415[Team 2],CV$3)</f>
        <v>0</v>
      </c>
      <c r="CW14" s="56">
        <f>SUMIFS(tblActuals35415[Team 2 Points],tblActuals35415[Team 2],$CU14,tblActuals35415[Team 1],CW$3)+SUMIFS(tblActuals35415[Team 1 Points],tblActuals35415[Team 1],$CU14,tblActuals35415[Team 2],CW$3)</f>
        <v>0</v>
      </c>
      <c r="CX14" s="56">
        <f>SUMIFS(tblActuals35415[Team 2 Points],tblActuals35415[Team 2],$CU14,tblActuals35415[Team 1],CX$3)+SUMIFS(tblActuals35415[Team 1 Points],tblActuals35415[Team 1],$CU14,tblActuals35415[Team 2],CX$3)</f>
        <v>0</v>
      </c>
      <c r="CY14" s="56">
        <f>SUMIFS(tblActuals35415[Team 2 Points],tblActuals35415[Team 2],$CU14,tblActuals35415[Team 1],CY$3)+SUMIFS(tblActuals35415[Team 1 Points],tblActuals35415[Team 1],$CU14,tblActuals35415[Team 2],CY$3)</f>
        <v>0</v>
      </c>
      <c r="CZ14" s="56">
        <f>SUMIFS(tblActuals35415[Team 2 Points],tblActuals35415[Team 2],$CU14,tblActuals35415[Team 1],CZ$3)+SUMIFS(tblActuals35415[Team 1 Points],tblActuals35415[Team 1],$CU14,tblActuals35415[Team 2],CZ$3)</f>
        <v>0</v>
      </c>
      <c r="DA14" s="56">
        <f>SUMIFS(tblActuals35415[Team 2 Points],tblActuals35415[Team 2],$CU14,tblActuals35415[Team 1],DA$3)+SUMIFS(tblActuals35415[Team 1 Points],tblActuals35415[Team 1],$CU14,tblActuals35415[Team 2],DA$3)</f>
        <v>0</v>
      </c>
      <c r="DB14" s="56">
        <f>SUMIFS(tblActuals35415[Team 2 Points],tblActuals35415[Team 2],$CU14,tblActuals35415[Team 1],DB$3)+SUMIFS(tblActuals35415[Team 1 Points],tblActuals35415[Team 1],$CU14,tblActuals35415[Team 2],DB$3)</f>
        <v>0</v>
      </c>
      <c r="DC14" s="56">
        <f>SUMIFS(tblActuals35415[Team 2 Points],tblActuals35415[Team 2],$CU14,tblActuals35415[Team 1],DC$3)+SUMIFS(tblActuals35415[Team 1 Points],tblActuals35415[Team 1],$CU14,tblActuals35415[Team 2],DC$3)</f>
        <v>0</v>
      </c>
      <c r="DD14" s="56">
        <f>SUMIFS(tblActuals35415[Team 2 Points],tblActuals35415[Team 2],$CU14,tblActuals35415[Team 1],DD$3)+SUMIFS(tblActuals35415[Team 1 Points],tblActuals35415[Team 1],$CU14,tblActuals35415[Team 2],DD$3)</f>
        <v>0</v>
      </c>
      <c r="DE14" s="56">
        <f>SUMIFS(tblActuals35415[Team 2 Points],tblActuals35415[Team 2],$CU14,tblActuals35415[Team 1],DE$3)+SUMIFS(tblActuals35415[Team 1 Points],tblActuals35415[Team 1],$CU14,tblActuals35415[Team 2],DE$3)</f>
        <v>0</v>
      </c>
      <c r="DF14" s="56">
        <f>SUMIFS(tblActuals35415[Team 2 Points],tblActuals35415[Team 2],$CU14,tblActuals35415[Team 1],DF$3)+SUMIFS(tblActuals35415[Team 1 Points],tblActuals35415[Team 1],$CU14,tblActuals35415[Team 2],DF$3)</f>
        <v>0</v>
      </c>
      <c r="DG14" s="56">
        <f>SUMIFS(tblActuals35415[Team 2 Points],tblActuals35415[Team 2],$CU14,tblActuals35415[Team 1],DG$3)+SUMIFS(tblActuals35415[Team 1 Points],tblActuals35415[Team 1],$CU14,tblActuals35415[Team 2],DG$3)</f>
        <v>0</v>
      </c>
      <c r="DH14" s="56">
        <f>SUMIFS(tblActuals35415[Team 2 Points],tblActuals35415[Team 2],$CU14,tblActuals35415[Team 1],DH$3)+SUMIFS(tblActuals35415[Team 1 Points],tblActuals35415[Team 1],$CU14,tblActuals35415[Team 2],DH$3)</f>
        <v>0</v>
      </c>
      <c r="DI14" s="56">
        <f>SUMIFS(tblActuals35415[Team 2 Points],tblActuals35415[Team 2],$CU14,tblActuals35415[Team 1],DI$3)+SUMIFS(tblActuals35415[Team 1 Points],tblActuals35415[Team 1],$CU14,tblActuals35415[Team 2],DI$3)</f>
        <v>0</v>
      </c>
      <c r="DJ14" s="56">
        <f>SUMIFS(tblActuals35415[Team 2 Points],tblActuals35415[Team 2],$CU14,tblActuals35415[Team 1],DJ$3)+SUMIFS(tblActuals35415[Team 1 Points],tblActuals35415[Team 1],$CU14,tblActuals35415[Team 2],DJ$3)</f>
        <v>0</v>
      </c>
      <c r="DK14" s="56">
        <f>SUMIFS(tblActuals35415[Team 2 Points],tblActuals35415[Team 2],$CU14,tblActuals35415[Team 1],DK$3)+SUMIFS(tblActuals35415[Team 1 Points],tblActuals35415[Team 1],$CU14,tblActuals35415[Team 2],DK$3)</f>
        <v>0</v>
      </c>
      <c r="DL14" s="56">
        <f>SUMIFS(tblActuals35415[Team 2 Points],tblActuals35415[Team 2],$CU14,tblActuals35415[Team 1],DL$3)+SUMIFS(tblActuals35415[Team 1 Points],tblActuals35415[Team 1],$CU14,tblActuals35415[Team 2],DL$3)</f>
        <v>0</v>
      </c>
      <c r="DM14" s="56">
        <f>SUMIFS(tblActuals35415[Team 2 Points],tblActuals35415[Team 2],$CU14,tblActuals35415[Team 1],DM$3)+SUMIFS(tblActuals35415[Team 1 Points],tblActuals35415[Team 1],$CU14,tblActuals35415[Team 2],DM$3)</f>
        <v>0</v>
      </c>
      <c r="DN14" s="56">
        <f>SUMIFS(tblActuals35415[Team 2 Points],tblActuals35415[Team 2],$CU14,tblActuals35415[Team 1],DN$3)+SUMIFS(tblActuals35415[Team 1 Points],tblActuals35415[Team 1],$CU14,tblActuals35415[Team 2],DN$3)</f>
        <v>0</v>
      </c>
      <c r="DO14" s="56">
        <f>SUMIFS(tblActuals35415[Team 2 Points],tblActuals35415[Team 2],$CU14,tblActuals35415[Team 1],DO$3)+SUMIFS(tblActuals35415[Team 1 Points],tblActuals35415[Team 1],$CU14,tblActuals35415[Team 2],DO$3)</f>
        <v>0</v>
      </c>
      <c r="DP14" s="56">
        <f>SUMIFS(tblActuals35415[Team 2 Points],tblActuals35415[Team 2],$CU14,tblActuals35415[Team 1],DP$3)+SUMIFS(tblActuals35415[Team 1 Points],tblActuals35415[Team 1],$CU14,tblActuals35415[Team 2],DP$3)</f>
        <v>0</v>
      </c>
      <c r="DQ14" s="56">
        <f>SUMIFS(tblActuals35415[Team 2 Points],tblActuals35415[Team 2],$CU14,tblActuals35415[Team 1],DQ$3)+SUMIFS(tblActuals35415[Team 1 Points],tblActuals35415[Team 1],$CU14,tblActuals35415[Team 2],DQ$3)</f>
        <v>0</v>
      </c>
      <c r="DR14" s="56">
        <f>SUMIFS(tblActuals35415[Team 2 Points],tblActuals35415[Team 2],$CU14,tblActuals35415[Team 1],DR$3)+SUMIFS(tblActuals35415[Team 1 Points],tblActuals35415[Team 1],$CU14,tblActuals35415[Team 2],DR$3)</f>
        <v>0</v>
      </c>
      <c r="DS14" s="56">
        <f>SUMIFS(tblActuals35415[Team 2 Points],tblActuals35415[Team 2],$CU14,tblActuals35415[Team 1],DS$3)+SUMIFS(tblActuals35415[Team 1 Points],tblActuals35415[Team 1],$CU14,tblActuals35415[Team 2],DS$3)</f>
        <v>0</v>
      </c>
      <c r="DT14" s="57"/>
      <c r="DU14" s="57"/>
      <c r="DV14" s="57"/>
      <c r="DW14" s="57"/>
      <c r="DX14" s="57"/>
      <c r="DY14" s="57"/>
      <c r="DZ14" s="57"/>
      <c r="EA14" s="57"/>
      <c r="EB14" s="4"/>
      <c r="EC14" s="4" t="s">
        <v>34</v>
      </c>
      <c r="ED14" s="56">
        <f>SUMIFS(tblActuals35415[Team 2 GD],tblActuals35415[Team 2],$CU14,tblActuals35415[Team 1],ED$3)+SUMIFS(tblActuals35415[Team 1 GD],tblActuals35415[Team 1],$CU14,tblActuals35415[Team 2],ED$3)</f>
        <v>0</v>
      </c>
      <c r="EE14" s="56">
        <f>SUMIFS(tblActuals35415[Team 2 GD],tblActuals35415[Team 2],$CU14,tblActuals35415[Team 1],EE$3)+SUMIFS(tblActuals35415[Team 1 GD],tblActuals35415[Team 1],$CU14,tblActuals35415[Team 2],EE$3)</f>
        <v>0</v>
      </c>
      <c r="EF14" s="56">
        <f>SUMIFS(tblActuals35415[Team 2 GD],tblActuals35415[Team 2],$CU14,tblActuals35415[Team 1],EF$3)+SUMIFS(tblActuals35415[Team 1 GD],tblActuals35415[Team 1],$CU14,tblActuals35415[Team 2],EF$3)</f>
        <v>0</v>
      </c>
      <c r="EG14" s="56">
        <f>SUMIFS(tblActuals35415[Team 2 GD],tblActuals35415[Team 2],$CU14,tblActuals35415[Team 1],EG$3)+SUMIFS(tblActuals35415[Team 1 GD],tblActuals35415[Team 1],$CU14,tblActuals35415[Team 2],EG$3)</f>
        <v>0</v>
      </c>
      <c r="EH14" s="56">
        <f>SUMIFS(tblActuals35415[Team 2 GD],tblActuals35415[Team 2],$CU14,tblActuals35415[Team 1],EH$3)+SUMIFS(tblActuals35415[Team 1 GD],tblActuals35415[Team 1],$CU14,tblActuals35415[Team 2],EH$3)</f>
        <v>0</v>
      </c>
      <c r="EI14" s="56">
        <f>SUMIFS(tblActuals35415[Team 2 GD],tblActuals35415[Team 2],$CU14,tblActuals35415[Team 1],EI$3)+SUMIFS(tblActuals35415[Team 1 GD],tblActuals35415[Team 1],$CU14,tblActuals35415[Team 2],EI$3)</f>
        <v>0</v>
      </c>
      <c r="EJ14" s="56">
        <f>SUMIFS(tblActuals35415[Team 2 GD],tblActuals35415[Team 2],$CU14,tblActuals35415[Team 1],EJ$3)+SUMIFS(tblActuals35415[Team 1 GD],tblActuals35415[Team 1],$CU14,tblActuals35415[Team 2],EJ$3)</f>
        <v>0</v>
      </c>
      <c r="EK14" s="56">
        <f>SUMIFS(tblActuals35415[Team 2 GD],tblActuals35415[Team 2],$CU14,tblActuals35415[Team 1],EK$3)+SUMIFS(tblActuals35415[Team 1 GD],tblActuals35415[Team 1],$CU14,tblActuals35415[Team 2],EK$3)</f>
        <v>0</v>
      </c>
      <c r="EL14" s="56">
        <f>SUMIFS(tblActuals35415[Team 2 GD],tblActuals35415[Team 2],$CU14,tblActuals35415[Team 1],EL$3)+SUMIFS(tblActuals35415[Team 1 GD],tblActuals35415[Team 1],$CU14,tblActuals35415[Team 2],EL$3)</f>
        <v>0</v>
      </c>
      <c r="EM14" s="56">
        <f>SUMIFS(tblActuals35415[Team 2 GD],tblActuals35415[Team 2],$CU14,tblActuals35415[Team 1],EM$3)+SUMIFS(tblActuals35415[Team 1 GD],tblActuals35415[Team 1],$CU14,tblActuals35415[Team 2],EM$3)</f>
        <v>0</v>
      </c>
      <c r="EN14" s="56">
        <f>SUMIFS(tblActuals35415[Team 2 GD],tblActuals35415[Team 2],$CU14,tblActuals35415[Team 1],EN$3)+SUMIFS(tblActuals35415[Team 1 GD],tblActuals35415[Team 1],$CU14,tblActuals35415[Team 2],EN$3)</f>
        <v>0</v>
      </c>
      <c r="EO14" s="56">
        <f>SUMIFS(tblActuals35415[Team 2 GD],tblActuals35415[Team 2],$CU14,tblActuals35415[Team 1],EO$3)+SUMIFS(tblActuals35415[Team 1 GD],tblActuals35415[Team 1],$CU14,tblActuals35415[Team 2],EO$3)</f>
        <v>0</v>
      </c>
      <c r="EP14" s="56">
        <f>SUMIFS(tblActuals35415[Team 2 GD],tblActuals35415[Team 2],$CU14,tblActuals35415[Team 1],EP$3)+SUMIFS(tblActuals35415[Team 1 GD],tblActuals35415[Team 1],$CU14,tblActuals35415[Team 2],EP$3)</f>
        <v>0</v>
      </c>
      <c r="EQ14" s="56">
        <f>SUMIFS(tblActuals35415[Team 2 GD],tblActuals35415[Team 2],$CU14,tblActuals35415[Team 1],EQ$3)+SUMIFS(tblActuals35415[Team 1 GD],tblActuals35415[Team 1],$CU14,tblActuals35415[Team 2],EQ$3)</f>
        <v>0</v>
      </c>
      <c r="ER14" s="56">
        <f>SUMIFS(tblActuals35415[Team 2 GD],tblActuals35415[Team 2],$CU14,tblActuals35415[Team 1],ER$3)+SUMIFS(tblActuals35415[Team 1 GD],tblActuals35415[Team 1],$CU14,tblActuals35415[Team 2],ER$3)</f>
        <v>0</v>
      </c>
      <c r="ES14" s="56">
        <f>SUMIFS(tblActuals35415[Team 2 GD],tblActuals35415[Team 2],$CU14,tblActuals35415[Team 1],ES$3)+SUMIFS(tblActuals35415[Team 1 GD],tblActuals35415[Team 1],$CU14,tblActuals35415[Team 2],ES$3)</f>
        <v>0</v>
      </c>
      <c r="ET14" s="56">
        <f>SUMIFS(tblActuals35415[Team 2 GD],tblActuals35415[Team 2],$CU14,tblActuals35415[Team 1],ET$3)+SUMIFS(tblActuals35415[Team 1 GD],tblActuals35415[Team 1],$CU14,tblActuals35415[Team 2],ET$3)</f>
        <v>0</v>
      </c>
      <c r="EU14" s="56">
        <f>SUMIFS(tblActuals35415[Team 2 GD],tblActuals35415[Team 2],$CU14,tblActuals35415[Team 1],EU$3)+SUMIFS(tblActuals35415[Team 1 GD],tblActuals35415[Team 1],$CU14,tblActuals35415[Team 2],EU$3)</f>
        <v>0</v>
      </c>
      <c r="EV14" s="56">
        <f>SUMIFS(tblActuals35415[Team 2 GD],tblActuals35415[Team 2],$CU14,tblActuals35415[Team 1],EV$3)+SUMIFS(tblActuals35415[Team 1 GD],tblActuals35415[Team 1],$CU14,tblActuals35415[Team 2],EV$3)</f>
        <v>0</v>
      </c>
      <c r="EW14" s="56">
        <f>SUMIFS(tblActuals35415[Team 2 GD],tblActuals35415[Team 2],$CU14,tblActuals35415[Team 1],EW$3)+SUMIFS(tblActuals35415[Team 1 GD],tblActuals35415[Team 1],$CU14,tblActuals35415[Team 2],EW$3)</f>
        <v>0</v>
      </c>
      <c r="EX14" s="56">
        <f>SUMIFS(tblActuals35415[Team 2 GD],tblActuals35415[Team 2],$CU14,tblActuals35415[Team 1],EX$3)+SUMIFS(tblActuals35415[Team 1 GD],tblActuals35415[Team 1],$CU14,tblActuals35415[Team 2],EX$3)</f>
        <v>0</v>
      </c>
      <c r="EY14" s="56">
        <f>SUMIFS(tblActuals35415[Team 2 GD],tblActuals35415[Team 2],$CU14,tblActuals35415[Team 1],EY$3)+SUMIFS(tblActuals35415[Team 1 GD],tblActuals35415[Team 1],$CU14,tblActuals35415[Team 2],EY$3)</f>
        <v>0</v>
      </c>
      <c r="EZ14" s="56">
        <f>SUMIFS(tblActuals35415[Team 2 GD],tblActuals35415[Team 2],$CU14,tblActuals35415[Team 1],EZ$3)+SUMIFS(tblActuals35415[Team 1 GD],tblActuals35415[Team 1],$CU14,tblActuals35415[Team 2],EZ$3)</f>
        <v>0</v>
      </c>
      <c r="FA14" s="56">
        <f>SUMIFS(tblActuals35415[Team 2 GD],tblActuals35415[Team 2],$CU14,tblActuals35415[Team 1],FA$3)+SUMIFS(tblActuals35415[Team 1 GD],tblActuals35415[Team 1],$CU14,tblActuals35415[Team 2],FA$3)</f>
        <v>0</v>
      </c>
      <c r="FB14" s="57"/>
      <c r="FC14" s="57"/>
      <c r="FD14" s="57"/>
      <c r="FE14" s="57"/>
      <c r="FF14" s="57"/>
      <c r="FG14" s="57"/>
      <c r="FH14" s="57"/>
      <c r="FI14" s="57"/>
      <c r="FJ14" s="4"/>
      <c r="FK14" s="4" t="s">
        <v>34</v>
      </c>
      <c r="FL14" s="56">
        <f>SUMIFS(tblActuals35415[Team 2 Goals],tblActuals35415[Team 2],$CU14,tblActuals35415[Team 1],FL$3)+SUMIFS(tblActuals35415[Team 1 Goals],tblActuals35415[Team 1],$CU14,tblActuals35415[Team 2],FL$3)</f>
        <v>0</v>
      </c>
      <c r="FM14" s="56">
        <f>SUMIFS(tblActuals35415[Team 2 Goals],tblActuals35415[Team 2],$CU14,tblActuals35415[Team 1],FM$3)+SUMIFS(tblActuals35415[Team 1 Goals],tblActuals35415[Team 1],$CU14,tblActuals35415[Team 2],FM$3)</f>
        <v>0</v>
      </c>
      <c r="FN14" s="56">
        <f>SUMIFS(tblActuals35415[Team 2 Goals],tblActuals35415[Team 2],$CU14,tblActuals35415[Team 1],FN$3)+SUMIFS(tblActuals35415[Team 1 Goals],tblActuals35415[Team 1],$CU14,tblActuals35415[Team 2],FN$3)</f>
        <v>0</v>
      </c>
      <c r="FO14" s="56">
        <f>SUMIFS(tblActuals35415[Team 2 Goals],tblActuals35415[Team 2],$CU14,tblActuals35415[Team 1],FO$3)+SUMIFS(tblActuals35415[Team 1 Goals],tblActuals35415[Team 1],$CU14,tblActuals35415[Team 2],FO$3)</f>
        <v>0</v>
      </c>
      <c r="FP14" s="56">
        <f>SUMIFS(tblActuals35415[Team 2 Goals],tblActuals35415[Team 2],$CU14,tblActuals35415[Team 1],FP$3)+SUMIFS(tblActuals35415[Team 1 Goals],tblActuals35415[Team 1],$CU14,tblActuals35415[Team 2],FP$3)</f>
        <v>0</v>
      </c>
      <c r="FQ14" s="56">
        <f>SUMIFS(tblActuals35415[Team 2 Goals],tblActuals35415[Team 2],$CU14,tblActuals35415[Team 1],FQ$3)+SUMIFS(tblActuals35415[Team 1 Goals],tblActuals35415[Team 1],$CU14,tblActuals35415[Team 2],FQ$3)</f>
        <v>0</v>
      </c>
      <c r="FR14" s="56">
        <f>SUMIFS(tblActuals35415[Team 2 Goals],tblActuals35415[Team 2],$CU14,tblActuals35415[Team 1],FR$3)+SUMIFS(tblActuals35415[Team 1 Goals],tblActuals35415[Team 1],$CU14,tblActuals35415[Team 2],FR$3)</f>
        <v>0</v>
      </c>
      <c r="FS14" s="56">
        <f>SUMIFS(tblActuals35415[Team 2 Goals],tblActuals35415[Team 2],$CU14,tblActuals35415[Team 1],FS$3)+SUMIFS(tblActuals35415[Team 1 Goals],tblActuals35415[Team 1],$CU14,tblActuals35415[Team 2],FS$3)</f>
        <v>0</v>
      </c>
      <c r="FT14" s="56">
        <f>SUMIFS(tblActuals35415[Team 2 Goals],tblActuals35415[Team 2],$CU14,tblActuals35415[Team 1],FT$3)+SUMIFS(tblActuals35415[Team 1 Goals],tblActuals35415[Team 1],$CU14,tblActuals35415[Team 2],FT$3)</f>
        <v>0</v>
      </c>
      <c r="FU14" s="56">
        <f>SUMIFS(tblActuals35415[Team 2 Goals],tblActuals35415[Team 2],$CU14,tblActuals35415[Team 1],FU$3)+SUMIFS(tblActuals35415[Team 1 Goals],tblActuals35415[Team 1],$CU14,tblActuals35415[Team 2],FU$3)</f>
        <v>0</v>
      </c>
      <c r="FV14" s="56">
        <f>SUMIFS(tblActuals35415[Team 2 Goals],tblActuals35415[Team 2],$CU14,tblActuals35415[Team 1],FV$3)+SUMIFS(tblActuals35415[Team 1 Goals],tblActuals35415[Team 1],$CU14,tblActuals35415[Team 2],FV$3)</f>
        <v>0</v>
      </c>
      <c r="FW14" s="56">
        <f>SUMIFS(tblActuals35415[Team 2 Goals],tblActuals35415[Team 2],$CU14,tblActuals35415[Team 1],FW$3)+SUMIFS(tblActuals35415[Team 1 Goals],tblActuals35415[Team 1],$CU14,tblActuals35415[Team 2],FW$3)</f>
        <v>0</v>
      </c>
      <c r="FX14" s="56">
        <f>SUMIFS(tblActuals35415[Team 2 Goals],tblActuals35415[Team 2],$CU14,tblActuals35415[Team 1],FX$3)+SUMIFS(tblActuals35415[Team 1 Goals],tblActuals35415[Team 1],$CU14,tblActuals35415[Team 2],FX$3)</f>
        <v>0</v>
      </c>
      <c r="FY14" s="56">
        <f>SUMIFS(tblActuals35415[Team 2 Goals],tblActuals35415[Team 2],$CU14,tblActuals35415[Team 1],FY$3)+SUMIFS(tblActuals35415[Team 1 Goals],tblActuals35415[Team 1],$CU14,tblActuals35415[Team 2],FY$3)</f>
        <v>0</v>
      </c>
      <c r="FZ14" s="56">
        <f>SUMIFS(tblActuals35415[Team 2 Goals],tblActuals35415[Team 2],$CU14,tblActuals35415[Team 1],FZ$3)+SUMIFS(tblActuals35415[Team 1 Goals],tblActuals35415[Team 1],$CU14,tblActuals35415[Team 2],FZ$3)</f>
        <v>0</v>
      </c>
      <c r="GA14" s="56">
        <f>SUMIFS(tblActuals35415[Team 2 Goals],tblActuals35415[Team 2],$CU14,tblActuals35415[Team 1],GA$3)+SUMIFS(tblActuals35415[Team 1 Goals],tblActuals35415[Team 1],$CU14,tblActuals35415[Team 2],GA$3)</f>
        <v>0</v>
      </c>
      <c r="GB14" s="56">
        <f>SUMIFS(tblActuals35415[Team 2 Goals],tblActuals35415[Team 2],$CU14,tblActuals35415[Team 1],GB$3)+SUMIFS(tblActuals35415[Team 1 Goals],tblActuals35415[Team 1],$CU14,tblActuals35415[Team 2],GB$3)</f>
        <v>0</v>
      </c>
      <c r="GC14" s="56">
        <f>SUMIFS(tblActuals35415[Team 2 Goals],tblActuals35415[Team 2],$CU14,tblActuals35415[Team 1],GC$3)+SUMIFS(tblActuals35415[Team 1 Goals],tblActuals35415[Team 1],$CU14,tblActuals35415[Team 2],GC$3)</f>
        <v>0</v>
      </c>
      <c r="GD14" s="56">
        <f>SUMIFS(tblActuals35415[Team 2 Goals],tblActuals35415[Team 2],$CU14,tblActuals35415[Team 1],GD$3)+SUMIFS(tblActuals35415[Team 1 Goals],tblActuals35415[Team 1],$CU14,tblActuals35415[Team 2],GD$3)</f>
        <v>0</v>
      </c>
      <c r="GE14" s="56">
        <f>SUMIFS(tblActuals35415[Team 2 Goals],tblActuals35415[Team 2],$CU14,tblActuals35415[Team 1],GE$3)+SUMIFS(tblActuals35415[Team 1 Goals],tblActuals35415[Team 1],$CU14,tblActuals35415[Team 2],GE$3)</f>
        <v>0</v>
      </c>
      <c r="GF14" s="56">
        <f>SUMIFS(tblActuals35415[Team 2 Goals],tblActuals35415[Team 2],$CU14,tblActuals35415[Team 1],GF$3)+SUMIFS(tblActuals35415[Team 1 Goals],tblActuals35415[Team 1],$CU14,tblActuals35415[Team 2],GF$3)</f>
        <v>0</v>
      </c>
      <c r="GG14" s="56">
        <f>SUMIFS(tblActuals35415[Team 2 Goals],tblActuals35415[Team 2],$CU14,tblActuals35415[Team 1],GG$3)+SUMIFS(tblActuals35415[Team 1 Goals],tblActuals35415[Team 1],$CU14,tblActuals35415[Team 2],GG$3)</f>
        <v>0</v>
      </c>
      <c r="GH14" s="56">
        <f>SUMIFS(tblActuals35415[Team 2 Goals],tblActuals35415[Team 2],$CU14,tblActuals35415[Team 1],GH$3)+SUMIFS(tblActuals35415[Team 1 Goals],tblActuals35415[Team 1],$CU14,tblActuals35415[Team 2],GH$3)</f>
        <v>0</v>
      </c>
      <c r="GI14" s="56">
        <f>SUMIFS(tblActuals35415[Team 2 Goals],tblActuals35415[Team 2],$CU14,tblActuals35415[Team 1],GI$3)+SUMIFS(tblActuals35415[Team 1 Goals],tblActuals35415[Team 1],$CU14,tblActuals35415[Team 2],GI$3)</f>
        <v>0</v>
      </c>
      <c r="GJ14" s="57"/>
      <c r="GK14" s="57"/>
      <c r="GL14" s="37"/>
      <c r="GM14" s="37"/>
      <c r="GN14" s="37"/>
      <c r="GO14" s="37"/>
      <c r="GP14" s="37"/>
      <c r="GQ14" s="37"/>
      <c r="GR14" s="75"/>
      <c r="GS14" s="156"/>
      <c r="GT14" s="156"/>
      <c r="GU14" s="75"/>
      <c r="GV14" s="75"/>
      <c r="GW14" s="75"/>
      <c r="GX14" s="75"/>
      <c r="GY14" s="75"/>
      <c r="GZ14" s="75"/>
      <c r="HB14" s="4" t="str">
        <f t="shared" si="12"/>
        <v>ADEF</v>
      </c>
      <c r="HC14" s="44" t="s">
        <v>1</v>
      </c>
      <c r="HD14" s="45"/>
      <c r="HE14" s="45"/>
      <c r="HF14" s="44" t="s">
        <v>7</v>
      </c>
      <c r="HG14" s="44" t="s">
        <v>12</v>
      </c>
      <c r="HH14" s="44" t="s">
        <v>45</v>
      </c>
      <c r="HI14" s="178"/>
      <c r="HJ14" s="45" t="s">
        <v>153</v>
      </c>
      <c r="HK14" s="45" t="s">
        <v>154</v>
      </c>
      <c r="HL14" s="45" t="s">
        <v>150</v>
      </c>
      <c r="HM14" s="45" t="s">
        <v>149</v>
      </c>
    </row>
    <row r="15" spans="1:221" s="11" customFormat="1" ht="30" customHeight="1" thickBot="1" x14ac:dyDescent="0.3">
      <c r="A15" s="20"/>
      <c r="B15" s="122">
        <v>12</v>
      </c>
      <c r="C15" s="122" t="s">
        <v>45</v>
      </c>
      <c r="D15" s="123">
        <v>45461</v>
      </c>
      <c r="E15" s="122" t="s">
        <v>87</v>
      </c>
      <c r="F15" s="124">
        <v>0.875</v>
      </c>
      <c r="G15" s="125">
        <f t="shared" si="11"/>
        <v>45461.625</v>
      </c>
      <c r="H15" s="122" t="s">
        <v>100</v>
      </c>
      <c r="I15" s="126"/>
      <c r="J15" s="118"/>
      <c r="K15" s="118"/>
      <c r="L15" s="174">
        <f>IF(I15="",0,IFERROR(IF(SCORING.RULES!$C$8="No",1,((VLOOKUP($B15,ACTUALS!$B$4:$L$100,7,FALSE)=$H15)+(VLOOKUP($B15,ACTUALS!$B$4:$L$100,7,FALSE)=S15)))*(M15+N15+O15+P15+Q15),0))+$R15</f>
        <v>0</v>
      </c>
      <c r="M15" s="168">
        <f>IFERROR(IF($B15="","",IF(U15=INDEX(ACTUALS!$AA$4:$AA$100,MATCH($B15,ACTUALS!$B$4:$B$100,0),1),CorrectScore,0)),0)</f>
        <v>0</v>
      </c>
      <c r="N15" s="157" t="str">
        <f>IFERROR(IF(I15="","",IF(INDEX(ACTUALS!$AB$4:$AB$100,MATCH($B15,ACTUALS!$B$4:$B$100,0),1)=(AB15+AC15+AH15+AI15),CorrectNumberofGoals,0)),0)</f>
        <v/>
      </c>
      <c r="O15" s="157"/>
      <c r="P15" s="157">
        <f>IFERROR(IF(B15="","",IF(INDEX(ACTUALS!$L$4:$L$100,MATCH($B15,ACTUALS!$B$4:$B$100,0),1)=W15,CorrectResult,0)),0)</f>
        <v>3</v>
      </c>
      <c r="Q15" s="157"/>
      <c r="R15" s="157"/>
      <c r="S15" s="157" t="str">
        <f t="shared" si="0"/>
        <v/>
      </c>
      <c r="T15" s="157"/>
      <c r="U15" s="157" t="str">
        <f t="shared" si="1"/>
        <v/>
      </c>
      <c r="V15" s="157" t="str">
        <f t="shared" si="2"/>
        <v/>
      </c>
      <c r="W15" s="119" t="str">
        <f>IF(tblActuals35415[[#This Row],[SCORE]]="","",IF(AB15=AC15,"Draw",IF(AB15&gt;AC15,X15,Y15)))</f>
        <v/>
      </c>
      <c r="X15" s="120" t="str">
        <f>IF(tblActuals35415[[#This Row],[TEAMS]]="","",LEFT(H15,FIND(" -",H15,1)-1))</f>
        <v>Portugal</v>
      </c>
      <c r="Y15" s="120" t="str">
        <f>IF(tblActuals35415[[#This Row],[TEAMS]]="","",MID(H15,FIND("-",H15,1)+2,LEN(H15)-FIND("-",H15,1)+2))</f>
        <v>Czechia</v>
      </c>
      <c r="Z15" s="120" t="str">
        <f>IF(tblActuals35415[[#This Row],[Team 1 Goals]]&gt;tblActuals35415[[#This Row],[Team 2 Goals]],tblActuals35415[[#This Row],[Team 1]],IF(tblActuals35415[[#This Row],[Team 2 Goals]]&gt;tblActuals35415[[#This Row],[Team 1 Goals]],tblActuals35415[[#This Row],[Team 2]],""))</f>
        <v/>
      </c>
      <c r="AA15" s="120" t="str">
        <f>IF(tblActuals35415[[#This Row],[Winner]]=tblActuals35415[[#This Row],[Team 1]],tblActuals35415[[#This Row],[Team 2]],IF(tblActuals35415[[#This Row],[Winner]]=tblActuals35415[[#This Row],[Team 2]],tblActuals35415[[#This Row],[Team 1]],""))</f>
        <v/>
      </c>
      <c r="AB15" s="120" t="str">
        <f>IF(tblActuals35415[[#This Row],[SCORE]]="","",LEFT(I15,FIND(":",I15,1)-1)*1)</f>
        <v/>
      </c>
      <c r="AC15" s="120" t="str">
        <f>IF(tblActuals35415[[#This Row],[SCORE]]="","",MID(I15,FIND(":",I15,1)+1,LEN(I15)-FIND(":",I15,1)+1)*1)</f>
        <v/>
      </c>
      <c r="AD15" s="120" t="str">
        <f>IF(OR(tblActuals35415[[#This Row],[Team 1 Goals]]="",tblActuals35415[[#This Row],[Team 2 Goals]]=""),"",tblActuals35415[[#This Row],[Team 1 Goals]]-tblActuals35415[[#This Row],[Team 2 Goals]])</f>
        <v/>
      </c>
      <c r="AE15" s="120" t="str">
        <f>IF(OR(tblActuals35415[[#This Row],[Team 1 Goals]]="",tblActuals35415[[#This Row],[Team 2 Goals]]=""),"",tblActuals35415[[#This Row],[Team 2 Goals]]-tblActuals35415[[#This Row],[Team 1 Goals]])</f>
        <v/>
      </c>
      <c r="AF15" s="120" t="str">
        <f>IF(tblActuals35415[[#This Row],[SCORE]]="","",IF(tblActuals35415[[#This Row],[WINNER / RESULT]]="Draw",1,IF(tblActuals35415[[#This Row],[WINNER / RESULT]]=tblActuals35415[[#This Row],[Team 1]],3,0)))</f>
        <v/>
      </c>
      <c r="AG15" s="120" t="str">
        <f>IF(tblActuals35415[[#This Row],[SCORE]]="","",IF(tblActuals35415[[#This Row],[WINNER / RESULT]]="Draw",1,IF(tblActuals35415[[#This Row],[WINNER / RESULT]]=tblActuals35415[[#This Row],[Team 2]],3,0)))</f>
        <v/>
      </c>
      <c r="AH15" s="121"/>
      <c r="AI15" s="121"/>
      <c r="AJ15" s="121"/>
      <c r="AK15" s="121"/>
      <c r="AL15" s="120" t="e">
        <f>tblActuals35415[[#This Row],[Team 1 Goals]]+tblActuals35415[[#This Row],[Team 1 ET Goals]]&amp;":"&amp;tblActuals35415[[#This Row],[Team 2 Goals]]+tblActuals35415[[#This Row],[Team 2 ET Goals]]</f>
        <v>#VALUE!</v>
      </c>
      <c r="AM15" s="120" t="e">
        <f>+tblActuals35415[[#This Row],[Team 1 Goals]]+tblActuals35415[[#This Row],[Team 2 Goals]]</f>
        <v>#VALUE!</v>
      </c>
      <c r="AN15" s="161">
        <f t="shared" si="3"/>
        <v>45461</v>
      </c>
      <c r="AT15" s="77" t="s">
        <v>5</v>
      </c>
      <c r="AU15" s="145">
        <v>4</v>
      </c>
      <c r="AV15" s="146" t="str">
        <f ca="1">IFERROR(INDEX(BD:BD,MATCH("4"&amp;AT15,BN:BN,0),1),"")</f>
        <v>Spain</v>
      </c>
      <c r="AW15" s="146" t="str">
        <f ca="1">IF(AV15="","",VLOOKUP(AV15,BD:BI,2,FALSE)&amp;"-"&amp;VLOOKUP(AV15,BD:BI,3,FALSE)&amp;"-"&amp;VLOOKUP(AV15,BD:BI,4,FALSE))</f>
        <v>0-0-0</v>
      </c>
      <c r="AX15" s="146">
        <f ca="1">IF(AV15="","",VLOOKUP(AV15,BD:BK,8,FALSE))</f>
        <v>0</v>
      </c>
      <c r="AY15" s="147">
        <f ca="1">IF(AV15="","",VLOOKUP(AV15,BD:BN,5,FALSE))</f>
        <v>0</v>
      </c>
      <c r="AZ15" s="75"/>
      <c r="BA15" s="4"/>
      <c r="BB15" s="4"/>
      <c r="BC15" s="4" t="s">
        <v>6</v>
      </c>
      <c r="BD15" s="4" t="s">
        <v>24</v>
      </c>
      <c r="BE15" s="4">
        <f>COUNTIF(tblActuals35415[Winner],BD15)</f>
        <v>0</v>
      </c>
      <c r="BF15" s="4">
        <f>COUNTIFS(tblActuals35415[Team 2],BD15,tblActuals35415[WINNER / RESULT],"Draw")+COUNTIFS(tblActuals35415[Team 1],BD15,tblActuals35415[WINNER / RESULT],"Draw")</f>
        <v>0</v>
      </c>
      <c r="BG15" s="4">
        <f>COUNTIF(tblActuals35415[Loser],BD15)</f>
        <v>0</v>
      </c>
      <c r="BH15" s="4">
        <f>BF15+(3*BE15)</f>
        <v>0</v>
      </c>
      <c r="BI15" s="4">
        <f>SUMIFS(tblActuals35415[Team 1 Goals],tblActuals35415[Team 1],BD15)+SUMIFS(tblActuals35415[Team 2 Goals],tblActuals35415[Team 2],BD15)</f>
        <v>0</v>
      </c>
      <c r="BJ15" s="4">
        <f>SUMIFS(tblActuals35415[Team 2 Goals],tblActuals35415[Team 1],BD15)+SUMIFS(tblActuals35415[Team 1 Goals],tblActuals35415[Team 2],BD15)</f>
        <v>0</v>
      </c>
      <c r="BK15" s="4">
        <f>BI15-BJ15</f>
        <v>0</v>
      </c>
      <c r="BL15" s="4">
        <f ca="1">RANK(BY15,$BY$14:$BY$17,1)</f>
        <v>2</v>
      </c>
      <c r="BM15" s="4" t="str">
        <f t="shared" si="4"/>
        <v/>
      </c>
      <c r="BN15" s="4" t="str">
        <f ca="1">IF(BM15="",BL15&amp;BC15,BM15&amp;BC15)</f>
        <v>2C</v>
      </c>
      <c r="BO15" s="4">
        <f>RANK(BH15,$BH$14:$BH$17,0)</f>
        <v>1</v>
      </c>
      <c r="BP15" s="4" cm="1">
        <f t="array" aca="1" ref="BP15" ca="1">SUMPRODUCT((OFFSET($CV$3:$EA$3,MATCH($BD15,$CU$4:$CU$35,0),0))*((IF($BO16=$BO15,$CV$3:$EA$3=$BD16,0))+(IF($BO17=$BO15,$CV$3:$EA$3=$BD17,0))+(IF($BO14=$BO15,$CV$3:$EA$3=$BD14,0))))</f>
        <v>0</v>
      </c>
      <c r="BQ15" s="4" cm="1">
        <f t="array" aca="1" ref="BQ15" ca="1">SUMPRODUCT((OFFSET($ED$3:$FI$3,MATCH($BD15,$EC$4:$EC$35,0),0))*((IF($BO16=$BO15,$ED$3:$FI$3=$BD16,0))+(IF($BO17=$BO15,$ED$3:$FI$3=$BD17,0))+(IF($BO14=$BO15,$ED$3:$FI$3=$BD14,0))))</f>
        <v>0</v>
      </c>
      <c r="BR15" s="4" cm="1">
        <f t="array" aca="1" ref="BR15" ca="1">SUMPRODUCT((OFFSET($FL$3:$GQ$3,MATCH($BD15,$FK$4:$FK$35,0),0))*((IF($BO16=$BO15,$FL$3:$GQ$3=$BD16,0))+(IF($BO17=$BO15,$FL$3:$GQ$3=$BD17,0))+(IF($BO14=$BO15,$FL$3:$GQ$3=$BD14,0))))</f>
        <v>0</v>
      </c>
      <c r="BS15" s="4" cm="1">
        <f t="array" aca="1" ref="BS15" ca="1">SUMPRODUCT((OFFSET($CV$3:$EA$3,MATCH($BD15,$CU$4:$CU$35,0),0))*((IF($BO16&lt;&gt;$BO15,$CV$3:$EA$3=$BD16,0))+(IF($BO17&lt;&gt;$BO15,$CV$3:$EA$3=$BD17,0))+(IF($BO14&lt;&gt;$BO15,$CV$3:$EA$3=$BD14,0))))</f>
        <v>0</v>
      </c>
      <c r="BT15" s="4" cm="1">
        <f t="array" aca="1" ref="BT15" ca="1">SUMPRODUCT((OFFSET($ED$3:$FI$3,MATCH($BD15,$EC$4:$EC$35,0),0))*((IF($BO16&lt;&gt;$BO15,$ED$3:$FI$3=$BD16,0))+(IF($BO17&lt;&gt;$BO15,$ED$3:$FI$3=$BD17,0))+(IF($BO14&lt;&gt;$BO15,$ED$3:$FI$3=$BD14,0))))</f>
        <v>0</v>
      </c>
      <c r="BU15" s="4" cm="1">
        <f t="array" aca="1" ref="BU15" ca="1">SUMPRODUCT((OFFSET($FL$3:$GQ$3,MATCH($BD15,$FK$4:$FK$35,0),0))*((IF($BO16&lt;&gt;$BO15,$FL$3:$GQ$3=$BD16,0))+(IF($BO17&lt;&gt;$BO15,$FL$3:$GQ$3=$BD17,0))+(IF($BO14&lt;&gt;$BO15,$FL$3:$GQ$3=$BD14,0))))</f>
        <v>0</v>
      </c>
      <c r="BV15" s="4">
        <f>BK15</f>
        <v>0</v>
      </c>
      <c r="BW15" s="4">
        <f>BI15</f>
        <v>0</v>
      </c>
      <c r="BX15" s="4">
        <f ca="1">(BP15/10)+(BQ15/100)+(BR15/1000)+(BT15/10000)+(BU15/100000)+(BV15/1000000)+(BW15/10000000)+(ROW(BS16)/100000000)</f>
        <v>1.6E-7</v>
      </c>
      <c r="BY15" s="4">
        <f ca="1">+BO15-BX15</f>
        <v>0.99999983999999997</v>
      </c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U15" s="4" t="s">
        <v>24</v>
      </c>
      <c r="CV15" s="56">
        <f>SUMIFS(tblActuals35415[Team 2 Points],tblActuals35415[Team 2],$CU15,tblActuals35415[Team 1],CV$3)+SUMIFS(tblActuals35415[Team 1 Points],tblActuals35415[Team 1],$CU15,tblActuals35415[Team 2],CV$3)</f>
        <v>0</v>
      </c>
      <c r="CW15" s="56">
        <f>SUMIFS(tblActuals35415[Team 2 Points],tblActuals35415[Team 2],$CU15,tblActuals35415[Team 1],CW$3)+SUMIFS(tblActuals35415[Team 1 Points],tblActuals35415[Team 1],$CU15,tblActuals35415[Team 2],CW$3)</f>
        <v>0</v>
      </c>
      <c r="CX15" s="56">
        <f>SUMIFS(tblActuals35415[Team 2 Points],tblActuals35415[Team 2],$CU15,tblActuals35415[Team 1],CX$3)+SUMIFS(tblActuals35415[Team 1 Points],tblActuals35415[Team 1],$CU15,tblActuals35415[Team 2],CX$3)</f>
        <v>0</v>
      </c>
      <c r="CY15" s="56">
        <f>SUMIFS(tblActuals35415[Team 2 Points],tblActuals35415[Team 2],$CU15,tblActuals35415[Team 1],CY$3)+SUMIFS(tblActuals35415[Team 1 Points],tblActuals35415[Team 1],$CU15,tblActuals35415[Team 2],CY$3)</f>
        <v>0</v>
      </c>
      <c r="CZ15" s="56">
        <f>SUMIFS(tblActuals35415[Team 2 Points],tblActuals35415[Team 2],$CU15,tblActuals35415[Team 1],CZ$3)+SUMIFS(tblActuals35415[Team 1 Points],tblActuals35415[Team 1],$CU15,tblActuals35415[Team 2],CZ$3)</f>
        <v>0</v>
      </c>
      <c r="DA15" s="56">
        <f>SUMIFS(tblActuals35415[Team 2 Points],tblActuals35415[Team 2],$CU15,tblActuals35415[Team 1],DA$3)+SUMIFS(tblActuals35415[Team 1 Points],tblActuals35415[Team 1],$CU15,tblActuals35415[Team 2],DA$3)</f>
        <v>0</v>
      </c>
      <c r="DB15" s="56">
        <f>SUMIFS(tblActuals35415[Team 2 Points],tblActuals35415[Team 2],$CU15,tblActuals35415[Team 1],DB$3)+SUMIFS(tblActuals35415[Team 1 Points],tblActuals35415[Team 1],$CU15,tblActuals35415[Team 2],DB$3)</f>
        <v>0</v>
      </c>
      <c r="DC15" s="56">
        <f>SUMIFS(tblActuals35415[Team 2 Points],tblActuals35415[Team 2],$CU15,tblActuals35415[Team 1],DC$3)+SUMIFS(tblActuals35415[Team 1 Points],tblActuals35415[Team 1],$CU15,tblActuals35415[Team 2],DC$3)</f>
        <v>0</v>
      </c>
      <c r="DD15" s="56">
        <f>SUMIFS(tblActuals35415[Team 2 Points],tblActuals35415[Team 2],$CU15,tblActuals35415[Team 1],DD$3)+SUMIFS(tblActuals35415[Team 1 Points],tblActuals35415[Team 1],$CU15,tblActuals35415[Team 2],DD$3)</f>
        <v>0</v>
      </c>
      <c r="DE15" s="56">
        <f>SUMIFS(tblActuals35415[Team 2 Points],tblActuals35415[Team 2],$CU15,tblActuals35415[Team 1],DE$3)+SUMIFS(tblActuals35415[Team 1 Points],tblActuals35415[Team 1],$CU15,tblActuals35415[Team 2],DE$3)</f>
        <v>0</v>
      </c>
      <c r="DF15" s="56">
        <f>SUMIFS(tblActuals35415[Team 2 Points],tblActuals35415[Team 2],$CU15,tblActuals35415[Team 1],DF$3)+SUMIFS(tblActuals35415[Team 1 Points],tblActuals35415[Team 1],$CU15,tblActuals35415[Team 2],DF$3)</f>
        <v>0</v>
      </c>
      <c r="DG15" s="56">
        <f>SUMIFS(tblActuals35415[Team 2 Points],tblActuals35415[Team 2],$CU15,tblActuals35415[Team 1],DG$3)+SUMIFS(tblActuals35415[Team 1 Points],tblActuals35415[Team 1],$CU15,tblActuals35415[Team 2],DG$3)</f>
        <v>0</v>
      </c>
      <c r="DH15" s="56">
        <f>SUMIFS(tblActuals35415[Team 2 Points],tblActuals35415[Team 2],$CU15,tblActuals35415[Team 1],DH$3)+SUMIFS(tblActuals35415[Team 1 Points],tblActuals35415[Team 1],$CU15,tblActuals35415[Team 2],DH$3)</f>
        <v>0</v>
      </c>
      <c r="DI15" s="56">
        <f>SUMIFS(tblActuals35415[Team 2 Points],tblActuals35415[Team 2],$CU15,tblActuals35415[Team 1],DI$3)+SUMIFS(tblActuals35415[Team 1 Points],tblActuals35415[Team 1],$CU15,tblActuals35415[Team 2],DI$3)</f>
        <v>0</v>
      </c>
      <c r="DJ15" s="56">
        <f>SUMIFS(tblActuals35415[Team 2 Points],tblActuals35415[Team 2],$CU15,tblActuals35415[Team 1],DJ$3)+SUMIFS(tblActuals35415[Team 1 Points],tblActuals35415[Team 1],$CU15,tblActuals35415[Team 2],DJ$3)</f>
        <v>0</v>
      </c>
      <c r="DK15" s="56">
        <f>SUMIFS(tblActuals35415[Team 2 Points],tblActuals35415[Team 2],$CU15,tblActuals35415[Team 1],DK$3)+SUMIFS(tblActuals35415[Team 1 Points],tblActuals35415[Team 1],$CU15,tblActuals35415[Team 2],DK$3)</f>
        <v>0</v>
      </c>
      <c r="DL15" s="56">
        <f>SUMIFS(tblActuals35415[Team 2 Points],tblActuals35415[Team 2],$CU15,tblActuals35415[Team 1],DL$3)+SUMIFS(tblActuals35415[Team 1 Points],tblActuals35415[Team 1],$CU15,tblActuals35415[Team 2],DL$3)</f>
        <v>0</v>
      </c>
      <c r="DM15" s="56">
        <f>SUMIFS(tblActuals35415[Team 2 Points],tblActuals35415[Team 2],$CU15,tblActuals35415[Team 1],DM$3)+SUMIFS(tblActuals35415[Team 1 Points],tblActuals35415[Team 1],$CU15,tblActuals35415[Team 2],DM$3)</f>
        <v>0</v>
      </c>
      <c r="DN15" s="56">
        <f>SUMIFS(tblActuals35415[Team 2 Points],tblActuals35415[Team 2],$CU15,tblActuals35415[Team 1],DN$3)+SUMIFS(tblActuals35415[Team 1 Points],tblActuals35415[Team 1],$CU15,tblActuals35415[Team 2],DN$3)</f>
        <v>0</v>
      </c>
      <c r="DO15" s="56">
        <f>SUMIFS(tblActuals35415[Team 2 Points],tblActuals35415[Team 2],$CU15,tblActuals35415[Team 1],DO$3)+SUMIFS(tblActuals35415[Team 1 Points],tblActuals35415[Team 1],$CU15,tblActuals35415[Team 2],DO$3)</f>
        <v>0</v>
      </c>
      <c r="DP15" s="56">
        <f>SUMIFS(tblActuals35415[Team 2 Points],tblActuals35415[Team 2],$CU15,tblActuals35415[Team 1],DP$3)+SUMIFS(tblActuals35415[Team 1 Points],tblActuals35415[Team 1],$CU15,tblActuals35415[Team 2],DP$3)</f>
        <v>0</v>
      </c>
      <c r="DQ15" s="56">
        <f>SUMIFS(tblActuals35415[Team 2 Points],tblActuals35415[Team 2],$CU15,tblActuals35415[Team 1],DQ$3)+SUMIFS(tblActuals35415[Team 1 Points],tblActuals35415[Team 1],$CU15,tblActuals35415[Team 2],DQ$3)</f>
        <v>0</v>
      </c>
      <c r="DR15" s="56">
        <f>SUMIFS(tblActuals35415[Team 2 Points],tblActuals35415[Team 2],$CU15,tblActuals35415[Team 1],DR$3)+SUMIFS(tblActuals35415[Team 1 Points],tblActuals35415[Team 1],$CU15,tblActuals35415[Team 2],DR$3)</f>
        <v>0</v>
      </c>
      <c r="DS15" s="56">
        <f>SUMIFS(tblActuals35415[Team 2 Points],tblActuals35415[Team 2],$CU15,tblActuals35415[Team 1],DS$3)+SUMIFS(tblActuals35415[Team 1 Points],tblActuals35415[Team 1],$CU15,tblActuals35415[Team 2],DS$3)</f>
        <v>0</v>
      </c>
      <c r="DT15" s="57"/>
      <c r="DU15" s="57"/>
      <c r="DV15" s="57"/>
      <c r="DW15" s="57"/>
      <c r="DX15" s="57"/>
      <c r="DY15" s="57"/>
      <c r="DZ15" s="57"/>
      <c r="EA15" s="57"/>
      <c r="EB15" s="4"/>
      <c r="EC15" s="4" t="s">
        <v>24</v>
      </c>
      <c r="ED15" s="56">
        <f>SUMIFS(tblActuals35415[Team 2 GD],tblActuals35415[Team 2],$CU15,tblActuals35415[Team 1],ED$3)+SUMIFS(tblActuals35415[Team 1 GD],tblActuals35415[Team 1],$CU15,tblActuals35415[Team 2],ED$3)</f>
        <v>0</v>
      </c>
      <c r="EE15" s="56">
        <f>SUMIFS(tblActuals35415[Team 2 GD],tblActuals35415[Team 2],$CU15,tblActuals35415[Team 1],EE$3)+SUMIFS(tblActuals35415[Team 1 GD],tblActuals35415[Team 1],$CU15,tblActuals35415[Team 2],EE$3)</f>
        <v>0</v>
      </c>
      <c r="EF15" s="56">
        <f>SUMIFS(tblActuals35415[Team 2 GD],tblActuals35415[Team 2],$CU15,tblActuals35415[Team 1],EF$3)+SUMIFS(tblActuals35415[Team 1 GD],tblActuals35415[Team 1],$CU15,tblActuals35415[Team 2],EF$3)</f>
        <v>0</v>
      </c>
      <c r="EG15" s="56">
        <f>SUMIFS(tblActuals35415[Team 2 GD],tblActuals35415[Team 2],$CU15,tblActuals35415[Team 1],EG$3)+SUMIFS(tblActuals35415[Team 1 GD],tblActuals35415[Team 1],$CU15,tblActuals35415[Team 2],EG$3)</f>
        <v>0</v>
      </c>
      <c r="EH15" s="56">
        <f>SUMIFS(tblActuals35415[Team 2 GD],tblActuals35415[Team 2],$CU15,tblActuals35415[Team 1],EH$3)+SUMIFS(tblActuals35415[Team 1 GD],tblActuals35415[Team 1],$CU15,tblActuals35415[Team 2],EH$3)</f>
        <v>0</v>
      </c>
      <c r="EI15" s="56">
        <f>SUMIFS(tblActuals35415[Team 2 GD],tblActuals35415[Team 2],$CU15,tblActuals35415[Team 1],EI$3)+SUMIFS(tblActuals35415[Team 1 GD],tblActuals35415[Team 1],$CU15,tblActuals35415[Team 2],EI$3)</f>
        <v>0</v>
      </c>
      <c r="EJ15" s="56">
        <f>SUMIFS(tblActuals35415[Team 2 GD],tblActuals35415[Team 2],$CU15,tblActuals35415[Team 1],EJ$3)+SUMIFS(tblActuals35415[Team 1 GD],tblActuals35415[Team 1],$CU15,tblActuals35415[Team 2],EJ$3)</f>
        <v>0</v>
      </c>
      <c r="EK15" s="56">
        <f>SUMIFS(tblActuals35415[Team 2 GD],tblActuals35415[Team 2],$CU15,tblActuals35415[Team 1],EK$3)+SUMIFS(tblActuals35415[Team 1 GD],tblActuals35415[Team 1],$CU15,tblActuals35415[Team 2],EK$3)</f>
        <v>0</v>
      </c>
      <c r="EL15" s="56">
        <f>SUMIFS(tblActuals35415[Team 2 GD],tblActuals35415[Team 2],$CU15,tblActuals35415[Team 1],EL$3)+SUMIFS(tblActuals35415[Team 1 GD],tblActuals35415[Team 1],$CU15,tblActuals35415[Team 2],EL$3)</f>
        <v>0</v>
      </c>
      <c r="EM15" s="56">
        <f>SUMIFS(tblActuals35415[Team 2 GD],tblActuals35415[Team 2],$CU15,tblActuals35415[Team 1],EM$3)+SUMIFS(tblActuals35415[Team 1 GD],tblActuals35415[Team 1],$CU15,tblActuals35415[Team 2],EM$3)</f>
        <v>0</v>
      </c>
      <c r="EN15" s="56">
        <f>SUMIFS(tblActuals35415[Team 2 GD],tblActuals35415[Team 2],$CU15,tblActuals35415[Team 1],EN$3)+SUMIFS(tblActuals35415[Team 1 GD],tblActuals35415[Team 1],$CU15,tblActuals35415[Team 2],EN$3)</f>
        <v>0</v>
      </c>
      <c r="EO15" s="56">
        <f>SUMIFS(tblActuals35415[Team 2 GD],tblActuals35415[Team 2],$CU15,tblActuals35415[Team 1],EO$3)+SUMIFS(tblActuals35415[Team 1 GD],tblActuals35415[Team 1],$CU15,tblActuals35415[Team 2],EO$3)</f>
        <v>0</v>
      </c>
      <c r="EP15" s="56">
        <f>SUMIFS(tblActuals35415[Team 2 GD],tblActuals35415[Team 2],$CU15,tblActuals35415[Team 1],EP$3)+SUMIFS(tblActuals35415[Team 1 GD],tblActuals35415[Team 1],$CU15,tblActuals35415[Team 2],EP$3)</f>
        <v>0</v>
      </c>
      <c r="EQ15" s="56">
        <f>SUMIFS(tblActuals35415[Team 2 GD],tblActuals35415[Team 2],$CU15,tblActuals35415[Team 1],EQ$3)+SUMIFS(tblActuals35415[Team 1 GD],tblActuals35415[Team 1],$CU15,tblActuals35415[Team 2],EQ$3)</f>
        <v>0</v>
      </c>
      <c r="ER15" s="56">
        <f>SUMIFS(tblActuals35415[Team 2 GD],tblActuals35415[Team 2],$CU15,tblActuals35415[Team 1],ER$3)+SUMIFS(tblActuals35415[Team 1 GD],tblActuals35415[Team 1],$CU15,tblActuals35415[Team 2],ER$3)</f>
        <v>0</v>
      </c>
      <c r="ES15" s="56">
        <f>SUMIFS(tblActuals35415[Team 2 GD],tblActuals35415[Team 2],$CU15,tblActuals35415[Team 1],ES$3)+SUMIFS(tblActuals35415[Team 1 GD],tblActuals35415[Team 1],$CU15,tblActuals35415[Team 2],ES$3)</f>
        <v>0</v>
      </c>
      <c r="ET15" s="56">
        <f>SUMIFS(tblActuals35415[Team 2 GD],tblActuals35415[Team 2],$CU15,tblActuals35415[Team 1],ET$3)+SUMIFS(tblActuals35415[Team 1 GD],tblActuals35415[Team 1],$CU15,tblActuals35415[Team 2],ET$3)</f>
        <v>0</v>
      </c>
      <c r="EU15" s="56">
        <f>SUMIFS(tblActuals35415[Team 2 GD],tblActuals35415[Team 2],$CU15,tblActuals35415[Team 1],EU$3)+SUMIFS(tblActuals35415[Team 1 GD],tblActuals35415[Team 1],$CU15,tblActuals35415[Team 2],EU$3)</f>
        <v>0</v>
      </c>
      <c r="EV15" s="56">
        <f>SUMIFS(tblActuals35415[Team 2 GD],tblActuals35415[Team 2],$CU15,tblActuals35415[Team 1],EV$3)+SUMIFS(tblActuals35415[Team 1 GD],tblActuals35415[Team 1],$CU15,tblActuals35415[Team 2],EV$3)</f>
        <v>0</v>
      </c>
      <c r="EW15" s="56">
        <f>SUMIFS(tblActuals35415[Team 2 GD],tblActuals35415[Team 2],$CU15,tblActuals35415[Team 1],EW$3)+SUMIFS(tblActuals35415[Team 1 GD],tblActuals35415[Team 1],$CU15,tblActuals35415[Team 2],EW$3)</f>
        <v>0</v>
      </c>
      <c r="EX15" s="56">
        <f>SUMIFS(tblActuals35415[Team 2 GD],tblActuals35415[Team 2],$CU15,tblActuals35415[Team 1],EX$3)+SUMIFS(tblActuals35415[Team 1 GD],tblActuals35415[Team 1],$CU15,tblActuals35415[Team 2],EX$3)</f>
        <v>0</v>
      </c>
      <c r="EY15" s="56">
        <f>SUMIFS(tblActuals35415[Team 2 GD],tblActuals35415[Team 2],$CU15,tblActuals35415[Team 1],EY$3)+SUMIFS(tblActuals35415[Team 1 GD],tblActuals35415[Team 1],$CU15,tblActuals35415[Team 2],EY$3)</f>
        <v>0</v>
      </c>
      <c r="EZ15" s="56">
        <f>SUMIFS(tblActuals35415[Team 2 GD],tblActuals35415[Team 2],$CU15,tblActuals35415[Team 1],EZ$3)+SUMIFS(tblActuals35415[Team 1 GD],tblActuals35415[Team 1],$CU15,tblActuals35415[Team 2],EZ$3)</f>
        <v>0</v>
      </c>
      <c r="FA15" s="56">
        <f>SUMIFS(tblActuals35415[Team 2 GD],tblActuals35415[Team 2],$CU15,tblActuals35415[Team 1],FA$3)+SUMIFS(tblActuals35415[Team 1 GD],tblActuals35415[Team 1],$CU15,tblActuals35415[Team 2],FA$3)</f>
        <v>0</v>
      </c>
      <c r="FB15" s="57"/>
      <c r="FC15" s="57"/>
      <c r="FD15" s="57"/>
      <c r="FE15" s="57"/>
      <c r="FF15" s="57"/>
      <c r="FG15" s="57"/>
      <c r="FH15" s="57"/>
      <c r="FI15" s="57"/>
      <c r="FJ15" s="4"/>
      <c r="FK15" s="4" t="s">
        <v>24</v>
      </c>
      <c r="FL15" s="56">
        <f>SUMIFS(tblActuals35415[Team 2 Goals],tblActuals35415[Team 2],$CU15,tblActuals35415[Team 1],FL$3)+SUMIFS(tblActuals35415[Team 1 Goals],tblActuals35415[Team 1],$CU15,tblActuals35415[Team 2],FL$3)</f>
        <v>0</v>
      </c>
      <c r="FM15" s="56">
        <f>SUMIFS(tblActuals35415[Team 2 Goals],tblActuals35415[Team 2],$CU15,tblActuals35415[Team 1],FM$3)+SUMIFS(tblActuals35415[Team 1 Goals],tblActuals35415[Team 1],$CU15,tblActuals35415[Team 2],FM$3)</f>
        <v>0</v>
      </c>
      <c r="FN15" s="56">
        <f>SUMIFS(tblActuals35415[Team 2 Goals],tblActuals35415[Team 2],$CU15,tblActuals35415[Team 1],FN$3)+SUMIFS(tblActuals35415[Team 1 Goals],tblActuals35415[Team 1],$CU15,tblActuals35415[Team 2],FN$3)</f>
        <v>0</v>
      </c>
      <c r="FO15" s="56">
        <f>SUMIFS(tblActuals35415[Team 2 Goals],tblActuals35415[Team 2],$CU15,tblActuals35415[Team 1],FO$3)+SUMIFS(tblActuals35415[Team 1 Goals],tblActuals35415[Team 1],$CU15,tblActuals35415[Team 2],FO$3)</f>
        <v>0</v>
      </c>
      <c r="FP15" s="56">
        <f>SUMIFS(tblActuals35415[Team 2 Goals],tblActuals35415[Team 2],$CU15,tblActuals35415[Team 1],FP$3)+SUMIFS(tblActuals35415[Team 1 Goals],tblActuals35415[Team 1],$CU15,tblActuals35415[Team 2],FP$3)</f>
        <v>0</v>
      </c>
      <c r="FQ15" s="56">
        <f>SUMIFS(tblActuals35415[Team 2 Goals],tblActuals35415[Team 2],$CU15,tblActuals35415[Team 1],FQ$3)+SUMIFS(tblActuals35415[Team 1 Goals],tblActuals35415[Team 1],$CU15,tblActuals35415[Team 2],FQ$3)</f>
        <v>0</v>
      </c>
      <c r="FR15" s="56">
        <f>SUMIFS(tblActuals35415[Team 2 Goals],tblActuals35415[Team 2],$CU15,tblActuals35415[Team 1],FR$3)+SUMIFS(tblActuals35415[Team 1 Goals],tblActuals35415[Team 1],$CU15,tblActuals35415[Team 2],FR$3)</f>
        <v>0</v>
      </c>
      <c r="FS15" s="56">
        <f>SUMIFS(tblActuals35415[Team 2 Goals],tblActuals35415[Team 2],$CU15,tblActuals35415[Team 1],FS$3)+SUMIFS(tblActuals35415[Team 1 Goals],tblActuals35415[Team 1],$CU15,tblActuals35415[Team 2],FS$3)</f>
        <v>0</v>
      </c>
      <c r="FT15" s="56">
        <f>SUMIFS(tblActuals35415[Team 2 Goals],tblActuals35415[Team 2],$CU15,tblActuals35415[Team 1],FT$3)+SUMIFS(tblActuals35415[Team 1 Goals],tblActuals35415[Team 1],$CU15,tblActuals35415[Team 2],FT$3)</f>
        <v>0</v>
      </c>
      <c r="FU15" s="56">
        <f>SUMIFS(tblActuals35415[Team 2 Goals],tblActuals35415[Team 2],$CU15,tblActuals35415[Team 1],FU$3)+SUMIFS(tblActuals35415[Team 1 Goals],tblActuals35415[Team 1],$CU15,tblActuals35415[Team 2],FU$3)</f>
        <v>0</v>
      </c>
      <c r="FV15" s="56">
        <f>SUMIFS(tblActuals35415[Team 2 Goals],tblActuals35415[Team 2],$CU15,tblActuals35415[Team 1],FV$3)+SUMIFS(tblActuals35415[Team 1 Goals],tblActuals35415[Team 1],$CU15,tblActuals35415[Team 2],FV$3)</f>
        <v>0</v>
      </c>
      <c r="FW15" s="56">
        <f>SUMIFS(tblActuals35415[Team 2 Goals],tblActuals35415[Team 2],$CU15,tblActuals35415[Team 1],FW$3)+SUMIFS(tblActuals35415[Team 1 Goals],tblActuals35415[Team 1],$CU15,tblActuals35415[Team 2],FW$3)</f>
        <v>0</v>
      </c>
      <c r="FX15" s="56">
        <f>SUMIFS(tblActuals35415[Team 2 Goals],tblActuals35415[Team 2],$CU15,tblActuals35415[Team 1],FX$3)+SUMIFS(tblActuals35415[Team 1 Goals],tblActuals35415[Team 1],$CU15,tblActuals35415[Team 2],FX$3)</f>
        <v>0</v>
      </c>
      <c r="FY15" s="56">
        <f>SUMIFS(tblActuals35415[Team 2 Goals],tblActuals35415[Team 2],$CU15,tblActuals35415[Team 1],FY$3)+SUMIFS(tblActuals35415[Team 1 Goals],tblActuals35415[Team 1],$CU15,tblActuals35415[Team 2],FY$3)</f>
        <v>0</v>
      </c>
      <c r="FZ15" s="56">
        <f>SUMIFS(tblActuals35415[Team 2 Goals],tblActuals35415[Team 2],$CU15,tblActuals35415[Team 1],FZ$3)+SUMIFS(tblActuals35415[Team 1 Goals],tblActuals35415[Team 1],$CU15,tblActuals35415[Team 2],FZ$3)</f>
        <v>0</v>
      </c>
      <c r="GA15" s="56">
        <f>SUMIFS(tblActuals35415[Team 2 Goals],tblActuals35415[Team 2],$CU15,tblActuals35415[Team 1],GA$3)+SUMIFS(tblActuals35415[Team 1 Goals],tblActuals35415[Team 1],$CU15,tblActuals35415[Team 2],GA$3)</f>
        <v>0</v>
      </c>
      <c r="GB15" s="56">
        <f>SUMIFS(tblActuals35415[Team 2 Goals],tblActuals35415[Team 2],$CU15,tblActuals35415[Team 1],GB$3)+SUMIFS(tblActuals35415[Team 1 Goals],tblActuals35415[Team 1],$CU15,tblActuals35415[Team 2],GB$3)</f>
        <v>0</v>
      </c>
      <c r="GC15" s="56">
        <f>SUMIFS(tblActuals35415[Team 2 Goals],tblActuals35415[Team 2],$CU15,tblActuals35415[Team 1],GC$3)+SUMIFS(tblActuals35415[Team 1 Goals],tblActuals35415[Team 1],$CU15,tblActuals35415[Team 2],GC$3)</f>
        <v>0</v>
      </c>
      <c r="GD15" s="56">
        <f>SUMIFS(tblActuals35415[Team 2 Goals],tblActuals35415[Team 2],$CU15,tblActuals35415[Team 1],GD$3)+SUMIFS(tblActuals35415[Team 1 Goals],tblActuals35415[Team 1],$CU15,tblActuals35415[Team 2],GD$3)</f>
        <v>0</v>
      </c>
      <c r="GE15" s="56">
        <f>SUMIFS(tblActuals35415[Team 2 Goals],tblActuals35415[Team 2],$CU15,tblActuals35415[Team 1],GE$3)+SUMIFS(tblActuals35415[Team 1 Goals],tblActuals35415[Team 1],$CU15,tblActuals35415[Team 2],GE$3)</f>
        <v>0</v>
      </c>
      <c r="GF15" s="56">
        <f>SUMIFS(tblActuals35415[Team 2 Goals],tblActuals35415[Team 2],$CU15,tblActuals35415[Team 1],GF$3)+SUMIFS(tblActuals35415[Team 1 Goals],tblActuals35415[Team 1],$CU15,tblActuals35415[Team 2],GF$3)</f>
        <v>0</v>
      </c>
      <c r="GG15" s="56">
        <f>SUMIFS(tblActuals35415[Team 2 Goals],tblActuals35415[Team 2],$CU15,tblActuals35415[Team 1],GG$3)+SUMIFS(tblActuals35415[Team 1 Goals],tblActuals35415[Team 1],$CU15,tblActuals35415[Team 2],GG$3)</f>
        <v>0</v>
      </c>
      <c r="GH15" s="56">
        <f>SUMIFS(tblActuals35415[Team 2 Goals],tblActuals35415[Team 2],$CU15,tblActuals35415[Team 1],GH$3)+SUMIFS(tblActuals35415[Team 1 Goals],tblActuals35415[Team 1],$CU15,tblActuals35415[Team 2],GH$3)</f>
        <v>0</v>
      </c>
      <c r="GI15" s="56">
        <f>SUMIFS(tblActuals35415[Team 2 Goals],tblActuals35415[Team 2],$CU15,tblActuals35415[Team 1],GI$3)+SUMIFS(tblActuals35415[Team 1 Goals],tblActuals35415[Team 1],$CU15,tblActuals35415[Team 2],GI$3)</f>
        <v>0</v>
      </c>
      <c r="GJ15" s="57"/>
      <c r="GK15" s="57"/>
      <c r="GL15" s="37"/>
      <c r="GM15" s="37"/>
      <c r="GN15" s="37"/>
      <c r="GO15" s="37"/>
      <c r="GP15" s="37"/>
      <c r="GQ15" s="37"/>
      <c r="GR15" s="75"/>
      <c r="GS15" s="156"/>
      <c r="GT15" s="156"/>
      <c r="GU15" s="75"/>
      <c r="GV15" s="75"/>
      <c r="GW15" s="75"/>
      <c r="GX15" s="75"/>
      <c r="GY15" s="75"/>
      <c r="GZ15" s="75"/>
      <c r="HB15" s="4" t="str">
        <f t="shared" si="12"/>
        <v>BCDE</v>
      </c>
      <c r="HC15" s="45"/>
      <c r="HD15" s="44" t="s">
        <v>5</v>
      </c>
      <c r="HE15" s="44" t="s">
        <v>6</v>
      </c>
      <c r="HF15" s="44" t="s">
        <v>7</v>
      </c>
      <c r="HG15" s="44" t="s">
        <v>12</v>
      </c>
      <c r="HH15" s="45"/>
      <c r="HI15" s="178"/>
      <c r="HJ15" s="45" t="s">
        <v>153</v>
      </c>
      <c r="HK15" s="45" t="s">
        <v>150</v>
      </c>
      <c r="HL15" s="45" t="s">
        <v>151</v>
      </c>
      <c r="HM15" s="45" t="s">
        <v>152</v>
      </c>
    </row>
    <row r="16" spans="1:221" s="11" customFormat="1" ht="30" customHeight="1" thickBot="1" x14ac:dyDescent="0.3">
      <c r="A16" s="20"/>
      <c r="B16" s="122">
        <v>13</v>
      </c>
      <c r="C16" s="122" t="s">
        <v>1</v>
      </c>
      <c r="D16" s="123">
        <v>45462</v>
      </c>
      <c r="E16" s="122" t="s">
        <v>79</v>
      </c>
      <c r="F16" s="124">
        <v>0.875</v>
      </c>
      <c r="G16" s="125">
        <f t="shared" si="11"/>
        <v>45462.625</v>
      </c>
      <c r="H16" s="122" t="s">
        <v>101</v>
      </c>
      <c r="I16" s="126"/>
      <c r="J16" s="118"/>
      <c r="K16" s="118"/>
      <c r="L16" s="174">
        <f>IF(I16="",0,IFERROR(IF(SCORING.RULES!$C$8="No",1,((VLOOKUP($B16,ACTUALS!$B$4:$L$100,7,FALSE)=$H16)+(VLOOKUP($B16,ACTUALS!$B$4:$L$100,7,FALSE)=S16)))*(M16+N16+O16+P16+Q16),0))+$R16</f>
        <v>0</v>
      </c>
      <c r="M16" s="168">
        <f>IFERROR(IF($B16="","",IF(U16=INDEX(ACTUALS!$AA$4:$AA$100,MATCH($B16,ACTUALS!$B$4:$B$100,0),1),CorrectScore,0)),0)</f>
        <v>0</v>
      </c>
      <c r="N16" s="157" t="str">
        <f>IFERROR(IF(I16="","",IF(INDEX(ACTUALS!$AB$4:$AB$100,MATCH($B16,ACTUALS!$B$4:$B$100,0),1)=(AB16+AC16+AH16+AI16),CorrectNumberofGoals,0)),0)</f>
        <v/>
      </c>
      <c r="O16" s="157"/>
      <c r="P16" s="157">
        <f>IFERROR(IF(B16="","",IF(INDEX(ACTUALS!$L$4:$L$100,MATCH($B16,ACTUALS!$B$4:$B$100,0),1)=W16,CorrectResult,0)),0)</f>
        <v>3</v>
      </c>
      <c r="Q16" s="157"/>
      <c r="R16" s="157"/>
      <c r="S16" s="157" t="str">
        <f t="shared" si="0"/>
        <v/>
      </c>
      <c r="T16" s="157"/>
      <c r="U16" s="157" t="str">
        <f t="shared" si="1"/>
        <v/>
      </c>
      <c r="V16" s="157" t="str">
        <f t="shared" si="2"/>
        <v/>
      </c>
      <c r="W16" s="119" t="str">
        <f>IF(tblActuals35415[[#This Row],[SCORE]]="","",IF(AB16=AC16,"Draw",IF(AB16&gt;AC16,X16,Y16)))</f>
        <v/>
      </c>
      <c r="X16" s="120" t="str">
        <f>IF(tblActuals35415[[#This Row],[TEAMS]]="","",LEFT(H16,FIND(" -",H16,1)-1))</f>
        <v>Scotland</v>
      </c>
      <c r="Y16" s="120" t="str">
        <f>IF(tblActuals35415[[#This Row],[TEAMS]]="","",MID(H16,FIND("-",H16,1)+2,LEN(H16)-FIND("-",H16,1)+2))</f>
        <v>Switzerland</v>
      </c>
      <c r="Z16" s="120" t="str">
        <f>IF(tblActuals35415[[#This Row],[Team 1 Goals]]&gt;tblActuals35415[[#This Row],[Team 2 Goals]],tblActuals35415[[#This Row],[Team 1]],IF(tblActuals35415[[#This Row],[Team 2 Goals]]&gt;tblActuals35415[[#This Row],[Team 1 Goals]],tblActuals35415[[#This Row],[Team 2]],""))</f>
        <v/>
      </c>
      <c r="AA16" s="120" t="str">
        <f>IF(tblActuals35415[[#This Row],[Winner]]=tblActuals35415[[#This Row],[Team 1]],tblActuals35415[[#This Row],[Team 2]],IF(tblActuals35415[[#This Row],[Winner]]=tblActuals35415[[#This Row],[Team 2]],tblActuals35415[[#This Row],[Team 1]],""))</f>
        <v/>
      </c>
      <c r="AB16" s="120" t="str">
        <f>IF(tblActuals35415[[#This Row],[SCORE]]="","",LEFT(I16,FIND(":",I16,1)-1)*1)</f>
        <v/>
      </c>
      <c r="AC16" s="120" t="str">
        <f>IF(tblActuals35415[[#This Row],[SCORE]]="","",MID(I16,FIND(":",I16,1)+1,LEN(I16)-FIND(":",I16,1)+1)*1)</f>
        <v/>
      </c>
      <c r="AD16" s="120" t="str">
        <f>IF(OR(tblActuals35415[[#This Row],[Team 1 Goals]]="",tblActuals35415[[#This Row],[Team 2 Goals]]=""),"",tblActuals35415[[#This Row],[Team 1 Goals]]-tblActuals35415[[#This Row],[Team 2 Goals]])</f>
        <v/>
      </c>
      <c r="AE16" s="120" t="str">
        <f>IF(OR(tblActuals35415[[#This Row],[Team 1 Goals]]="",tblActuals35415[[#This Row],[Team 2 Goals]]=""),"",tblActuals35415[[#This Row],[Team 2 Goals]]-tblActuals35415[[#This Row],[Team 1 Goals]])</f>
        <v/>
      </c>
      <c r="AF16" s="120" t="str">
        <f>IF(tblActuals35415[[#This Row],[SCORE]]="","",IF(tblActuals35415[[#This Row],[WINNER / RESULT]]="Draw",1,IF(tblActuals35415[[#This Row],[WINNER / RESULT]]=tblActuals35415[[#This Row],[Team 1]],3,0)))</f>
        <v/>
      </c>
      <c r="AG16" s="120" t="str">
        <f>IF(tblActuals35415[[#This Row],[SCORE]]="","",IF(tblActuals35415[[#This Row],[WINNER / RESULT]]="Draw",1,IF(tblActuals35415[[#This Row],[WINNER / RESULT]]=tblActuals35415[[#This Row],[Team 2]],3,0)))</f>
        <v/>
      </c>
      <c r="AH16" s="121"/>
      <c r="AI16" s="121"/>
      <c r="AJ16" s="121"/>
      <c r="AK16" s="121"/>
      <c r="AL16" s="120" t="e">
        <f>tblActuals35415[[#This Row],[Team 1 Goals]]+tblActuals35415[[#This Row],[Team 1 ET Goals]]&amp;":"&amp;tblActuals35415[[#This Row],[Team 2 Goals]]+tblActuals35415[[#This Row],[Team 2 ET Goals]]</f>
        <v>#VALUE!</v>
      </c>
      <c r="AM16" s="120" t="e">
        <f>+tblActuals35415[[#This Row],[Team 1 Goals]]+tblActuals35415[[#This Row],[Team 2 Goals]]</f>
        <v>#VALUE!</v>
      </c>
      <c r="AN16" s="161">
        <f t="shared" si="3"/>
        <v>45462</v>
      </c>
      <c r="AT16" s="77"/>
      <c r="AU16" s="148"/>
      <c r="AV16" s="148"/>
      <c r="AW16" s="148"/>
      <c r="AX16" s="148"/>
      <c r="AY16" s="148"/>
      <c r="AZ16" s="75"/>
      <c r="BA16" s="4"/>
      <c r="BB16" s="4"/>
      <c r="BC16" s="4" t="s">
        <v>6</v>
      </c>
      <c r="BD16" s="4" t="s">
        <v>34</v>
      </c>
      <c r="BE16" s="4">
        <f>COUNTIF(tblActuals35415[Winner],BD16)</f>
        <v>0</v>
      </c>
      <c r="BF16" s="4">
        <f>COUNTIFS(tblActuals35415[Team 2],BD16,tblActuals35415[WINNER / RESULT],"Draw")+COUNTIFS(tblActuals35415[Team 1],BD16,tblActuals35415[WINNER / RESULT],"Draw")</f>
        <v>0</v>
      </c>
      <c r="BG16" s="4">
        <f>COUNTIF(tblActuals35415[Loser],BD16)</f>
        <v>0</v>
      </c>
      <c r="BH16" s="4">
        <f>BF16+(3*BE16)</f>
        <v>0</v>
      </c>
      <c r="BI16" s="4">
        <f>SUMIFS(tblActuals35415[Team 1 Goals],tblActuals35415[Team 1],BD16)+SUMIFS(tblActuals35415[Team 2 Goals],tblActuals35415[Team 2],BD16)</f>
        <v>0</v>
      </c>
      <c r="BJ16" s="4">
        <f>SUMIFS(tblActuals35415[Team 2 Goals],tblActuals35415[Team 1],BD16)+SUMIFS(tblActuals35415[Team 1 Goals],tblActuals35415[Team 2],BD16)</f>
        <v>0</v>
      </c>
      <c r="BK16" s="4">
        <f>BI16-BJ16</f>
        <v>0</v>
      </c>
      <c r="BL16" s="4">
        <f ca="1">RANK(BY16,$BY$14:$BY$17,1)</f>
        <v>3</v>
      </c>
      <c r="BM16" s="4" t="str">
        <f t="shared" si="4"/>
        <v/>
      </c>
      <c r="BN16" s="4" t="str">
        <f ca="1">IF(BM16="",BL16&amp;BC16,BM16&amp;BC16)</f>
        <v>3C</v>
      </c>
      <c r="BO16" s="4">
        <f>RANK(BH16,$BH$14:$BH$17,0)</f>
        <v>1</v>
      </c>
      <c r="BP16" s="4" cm="1">
        <f t="array" aca="1" ref="BP16" ca="1">SUMPRODUCT((OFFSET($CV$3:$EA$3,MATCH($BD16,$CU$4:$CU$35,0),0))*((IF($BO14=$BO16,$CV$3:$EA$3=$BD14,0))+(IF($BO17=$BO16,$CV$3:$EA$3=$BD17,0))+(IF($BO15=$BO16,$CV$3:$EA$3=$BD15,0))))</f>
        <v>0</v>
      </c>
      <c r="BQ16" s="4" cm="1">
        <f t="array" aca="1" ref="BQ16" ca="1">SUMPRODUCT((OFFSET($ED$3:$FI$3,MATCH($BD16,$EC$4:$EC$35,0),0))*((IF($BO14=$BO16,$ED$3:$FI$3=$BD14,0))+(IF($BO17=$BO16,$ED$3:$FI$3=$BD17,0))+(IF($BO15=$BO16,$ED$3:$FI$3=$BD15,0))))</f>
        <v>0</v>
      </c>
      <c r="BR16" s="4" cm="1">
        <f t="array" aca="1" ref="BR16" ca="1">SUMPRODUCT((OFFSET($FL$3:$GQ$3,MATCH($BD16,$FK$4:$FK$35,0),0))*((IF($BO14=$BO16,$FL$3:$GQ$3=$BD14,0))+(IF($BO17=$BO16,$FL$3:$GQ$3=$BD17,0))+(IF($BO15=$BO16,$FL$3:$GQ$3=$BD15,0))))</f>
        <v>0</v>
      </c>
      <c r="BS16" s="4" cm="1">
        <f t="array" aca="1" ref="BS16" ca="1">SUMPRODUCT((OFFSET($CV$3:$EA$3,MATCH($BD16,$CU$4:$CU$35,0),0))*((IF($BO14&lt;&gt;$BO16,$CV$3:$EA$3=$BD14,0))+(IF($BO17&lt;&gt;$BO16,$CV$3:$EA$3=$BD17,0))+(IF($BO15&lt;&gt;$BO16,$CV$3:$EA$3=$BD15,0))))</f>
        <v>0</v>
      </c>
      <c r="BT16" s="4" cm="1">
        <f t="array" aca="1" ref="BT16" ca="1">SUMPRODUCT((OFFSET($ED$3:$FI$3,MATCH($BD16,$EC$4:$EC$35,0),0))*((IF($BO14&lt;&gt;$BO16,$ED$3:$FI$3=$BD14,0))+(IF($BO17&lt;&gt;$BO16,$ED$3:$FI$3=$BD17,0))+(IF($BO15&lt;&gt;$BO16,$ED$3:$FI$3=$BD15,0))))</f>
        <v>0</v>
      </c>
      <c r="BU16" s="4" cm="1">
        <f t="array" aca="1" ref="BU16" ca="1">SUMPRODUCT((OFFSET($FL$3:$GQ$3,MATCH($BD16,$FK$4:$FK$35,0),0))*((IF($BO14&lt;&gt;$BO16,$FL$3:$GQ$3=$BD14,0))+(IF($BO17&lt;&gt;$BO16,$FL$3:$GQ$3=$BD17,0))+(IF($BO15&lt;&gt;$BO16,$FL$3:$GQ$3=$BD15,0))))</f>
        <v>0</v>
      </c>
      <c r="BV16" s="4">
        <f>BK16</f>
        <v>0</v>
      </c>
      <c r="BW16" s="4">
        <f>BI16</f>
        <v>0</v>
      </c>
      <c r="BX16" s="4">
        <f ca="1">(BP16/10)+(BQ16/100)+(BR16/1000)+(BT16/10000)+(BU16/100000)+(BV16/1000000)+(BW16/10000000)+(ROW(BS15)/100000000)</f>
        <v>1.4999999999999999E-7</v>
      </c>
      <c r="BY16" s="4">
        <f ca="1">+BO16-BX16</f>
        <v>0.99999985000000002</v>
      </c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U16" s="4" t="s">
        <v>32</v>
      </c>
      <c r="CV16" s="56">
        <f>SUMIFS(tblActuals35415[Team 2 Points],tblActuals35415[Team 2],$CU16,tblActuals35415[Team 1],CV$3)+SUMIFS(tblActuals35415[Team 1 Points],tblActuals35415[Team 1],$CU16,tblActuals35415[Team 2],CV$3)</f>
        <v>0</v>
      </c>
      <c r="CW16" s="56">
        <f>SUMIFS(tblActuals35415[Team 2 Points],tblActuals35415[Team 2],$CU16,tblActuals35415[Team 1],CW$3)+SUMIFS(tblActuals35415[Team 1 Points],tblActuals35415[Team 1],$CU16,tblActuals35415[Team 2],CW$3)</f>
        <v>0</v>
      </c>
      <c r="CX16" s="56">
        <f>SUMIFS(tblActuals35415[Team 2 Points],tblActuals35415[Team 2],$CU16,tblActuals35415[Team 1],CX$3)+SUMIFS(tblActuals35415[Team 1 Points],tblActuals35415[Team 1],$CU16,tblActuals35415[Team 2],CX$3)</f>
        <v>0</v>
      </c>
      <c r="CY16" s="56">
        <f>SUMIFS(tblActuals35415[Team 2 Points],tblActuals35415[Team 2],$CU16,tblActuals35415[Team 1],CY$3)+SUMIFS(tblActuals35415[Team 1 Points],tblActuals35415[Team 1],$CU16,tblActuals35415[Team 2],CY$3)</f>
        <v>0</v>
      </c>
      <c r="CZ16" s="56">
        <f>SUMIFS(tblActuals35415[Team 2 Points],tblActuals35415[Team 2],$CU16,tblActuals35415[Team 1],CZ$3)+SUMIFS(tblActuals35415[Team 1 Points],tblActuals35415[Team 1],$CU16,tblActuals35415[Team 2],CZ$3)</f>
        <v>0</v>
      </c>
      <c r="DA16" s="56">
        <f>SUMIFS(tblActuals35415[Team 2 Points],tblActuals35415[Team 2],$CU16,tblActuals35415[Team 1],DA$3)+SUMIFS(tblActuals35415[Team 1 Points],tblActuals35415[Team 1],$CU16,tblActuals35415[Team 2],DA$3)</f>
        <v>0</v>
      </c>
      <c r="DB16" s="56">
        <f>SUMIFS(tblActuals35415[Team 2 Points],tblActuals35415[Team 2],$CU16,tblActuals35415[Team 1],DB$3)+SUMIFS(tblActuals35415[Team 1 Points],tblActuals35415[Team 1],$CU16,tblActuals35415[Team 2],DB$3)</f>
        <v>0</v>
      </c>
      <c r="DC16" s="56">
        <f>SUMIFS(tblActuals35415[Team 2 Points],tblActuals35415[Team 2],$CU16,tblActuals35415[Team 1],DC$3)+SUMIFS(tblActuals35415[Team 1 Points],tblActuals35415[Team 1],$CU16,tblActuals35415[Team 2],DC$3)</f>
        <v>0</v>
      </c>
      <c r="DD16" s="56">
        <f>SUMIFS(tblActuals35415[Team 2 Points],tblActuals35415[Team 2],$CU16,tblActuals35415[Team 1],DD$3)+SUMIFS(tblActuals35415[Team 1 Points],tblActuals35415[Team 1],$CU16,tblActuals35415[Team 2],DD$3)</f>
        <v>0</v>
      </c>
      <c r="DE16" s="56">
        <f>SUMIFS(tblActuals35415[Team 2 Points],tblActuals35415[Team 2],$CU16,tblActuals35415[Team 1],DE$3)+SUMIFS(tblActuals35415[Team 1 Points],tblActuals35415[Team 1],$CU16,tblActuals35415[Team 2],DE$3)</f>
        <v>0</v>
      </c>
      <c r="DF16" s="56">
        <f>SUMIFS(tblActuals35415[Team 2 Points],tblActuals35415[Team 2],$CU16,tblActuals35415[Team 1],DF$3)+SUMIFS(tblActuals35415[Team 1 Points],tblActuals35415[Team 1],$CU16,tblActuals35415[Team 2],DF$3)</f>
        <v>0</v>
      </c>
      <c r="DG16" s="56">
        <f>SUMIFS(tblActuals35415[Team 2 Points],tblActuals35415[Team 2],$CU16,tblActuals35415[Team 1],DG$3)+SUMIFS(tblActuals35415[Team 1 Points],tblActuals35415[Team 1],$CU16,tblActuals35415[Team 2],DG$3)</f>
        <v>0</v>
      </c>
      <c r="DH16" s="56">
        <f>SUMIFS(tblActuals35415[Team 2 Points],tblActuals35415[Team 2],$CU16,tblActuals35415[Team 1],DH$3)+SUMIFS(tblActuals35415[Team 1 Points],tblActuals35415[Team 1],$CU16,tblActuals35415[Team 2],DH$3)</f>
        <v>0</v>
      </c>
      <c r="DI16" s="56">
        <f>SUMIFS(tblActuals35415[Team 2 Points],tblActuals35415[Team 2],$CU16,tblActuals35415[Team 1],DI$3)+SUMIFS(tblActuals35415[Team 1 Points],tblActuals35415[Team 1],$CU16,tblActuals35415[Team 2],DI$3)</f>
        <v>0</v>
      </c>
      <c r="DJ16" s="56">
        <f>SUMIFS(tblActuals35415[Team 2 Points],tblActuals35415[Team 2],$CU16,tblActuals35415[Team 1],DJ$3)+SUMIFS(tblActuals35415[Team 1 Points],tblActuals35415[Team 1],$CU16,tblActuals35415[Team 2],DJ$3)</f>
        <v>0</v>
      </c>
      <c r="DK16" s="56">
        <f>SUMIFS(tblActuals35415[Team 2 Points],tblActuals35415[Team 2],$CU16,tblActuals35415[Team 1],DK$3)+SUMIFS(tblActuals35415[Team 1 Points],tblActuals35415[Team 1],$CU16,tblActuals35415[Team 2],DK$3)</f>
        <v>0</v>
      </c>
      <c r="DL16" s="56">
        <f>SUMIFS(tblActuals35415[Team 2 Points],tblActuals35415[Team 2],$CU16,tblActuals35415[Team 1],DL$3)+SUMIFS(tblActuals35415[Team 1 Points],tblActuals35415[Team 1],$CU16,tblActuals35415[Team 2],DL$3)</f>
        <v>0</v>
      </c>
      <c r="DM16" s="56">
        <f>SUMIFS(tblActuals35415[Team 2 Points],tblActuals35415[Team 2],$CU16,tblActuals35415[Team 1],DM$3)+SUMIFS(tblActuals35415[Team 1 Points],tblActuals35415[Team 1],$CU16,tblActuals35415[Team 2],DM$3)</f>
        <v>0</v>
      </c>
      <c r="DN16" s="56">
        <f>SUMIFS(tblActuals35415[Team 2 Points],tblActuals35415[Team 2],$CU16,tblActuals35415[Team 1],DN$3)+SUMIFS(tblActuals35415[Team 1 Points],tblActuals35415[Team 1],$CU16,tblActuals35415[Team 2],DN$3)</f>
        <v>0</v>
      </c>
      <c r="DO16" s="56">
        <f>SUMIFS(tblActuals35415[Team 2 Points],tblActuals35415[Team 2],$CU16,tblActuals35415[Team 1],DO$3)+SUMIFS(tblActuals35415[Team 1 Points],tblActuals35415[Team 1],$CU16,tblActuals35415[Team 2],DO$3)</f>
        <v>0</v>
      </c>
      <c r="DP16" s="56">
        <f>SUMIFS(tblActuals35415[Team 2 Points],tblActuals35415[Team 2],$CU16,tblActuals35415[Team 1],DP$3)+SUMIFS(tblActuals35415[Team 1 Points],tblActuals35415[Team 1],$CU16,tblActuals35415[Team 2],DP$3)</f>
        <v>0</v>
      </c>
      <c r="DQ16" s="56">
        <f>SUMIFS(tblActuals35415[Team 2 Points],tblActuals35415[Team 2],$CU16,tblActuals35415[Team 1],DQ$3)+SUMIFS(tblActuals35415[Team 1 Points],tblActuals35415[Team 1],$CU16,tblActuals35415[Team 2],DQ$3)</f>
        <v>0</v>
      </c>
      <c r="DR16" s="56">
        <f>SUMIFS(tblActuals35415[Team 2 Points],tblActuals35415[Team 2],$CU16,tblActuals35415[Team 1],DR$3)+SUMIFS(tblActuals35415[Team 1 Points],tblActuals35415[Team 1],$CU16,tblActuals35415[Team 2],DR$3)</f>
        <v>0</v>
      </c>
      <c r="DS16" s="56">
        <f>SUMIFS(tblActuals35415[Team 2 Points],tblActuals35415[Team 2],$CU16,tblActuals35415[Team 1],DS$3)+SUMIFS(tblActuals35415[Team 1 Points],tblActuals35415[Team 1],$CU16,tblActuals35415[Team 2],DS$3)</f>
        <v>0</v>
      </c>
      <c r="DT16" s="57"/>
      <c r="DU16" s="57"/>
      <c r="DV16" s="57"/>
      <c r="DW16" s="57"/>
      <c r="DX16" s="57"/>
      <c r="DY16" s="57"/>
      <c r="DZ16" s="57"/>
      <c r="EA16" s="57"/>
      <c r="EB16" s="4"/>
      <c r="EC16" s="4" t="s">
        <v>32</v>
      </c>
      <c r="ED16" s="56">
        <f>SUMIFS(tblActuals35415[Team 2 GD],tblActuals35415[Team 2],$CU16,tblActuals35415[Team 1],ED$3)+SUMIFS(tblActuals35415[Team 1 GD],tblActuals35415[Team 1],$CU16,tblActuals35415[Team 2],ED$3)</f>
        <v>0</v>
      </c>
      <c r="EE16" s="56">
        <f>SUMIFS(tblActuals35415[Team 2 GD],tblActuals35415[Team 2],$CU16,tblActuals35415[Team 1],EE$3)+SUMIFS(tblActuals35415[Team 1 GD],tblActuals35415[Team 1],$CU16,tblActuals35415[Team 2],EE$3)</f>
        <v>0</v>
      </c>
      <c r="EF16" s="56">
        <f>SUMIFS(tblActuals35415[Team 2 GD],tblActuals35415[Team 2],$CU16,tblActuals35415[Team 1],EF$3)+SUMIFS(tblActuals35415[Team 1 GD],tblActuals35415[Team 1],$CU16,tblActuals35415[Team 2],EF$3)</f>
        <v>0</v>
      </c>
      <c r="EG16" s="56">
        <f>SUMIFS(tblActuals35415[Team 2 GD],tblActuals35415[Team 2],$CU16,tblActuals35415[Team 1],EG$3)+SUMIFS(tblActuals35415[Team 1 GD],tblActuals35415[Team 1],$CU16,tblActuals35415[Team 2],EG$3)</f>
        <v>0</v>
      </c>
      <c r="EH16" s="56">
        <f>SUMIFS(tblActuals35415[Team 2 GD],tblActuals35415[Team 2],$CU16,tblActuals35415[Team 1],EH$3)+SUMIFS(tblActuals35415[Team 1 GD],tblActuals35415[Team 1],$CU16,tblActuals35415[Team 2],EH$3)</f>
        <v>0</v>
      </c>
      <c r="EI16" s="56">
        <f>SUMIFS(tblActuals35415[Team 2 GD],tblActuals35415[Team 2],$CU16,tblActuals35415[Team 1],EI$3)+SUMIFS(tblActuals35415[Team 1 GD],tblActuals35415[Team 1],$CU16,tblActuals35415[Team 2],EI$3)</f>
        <v>0</v>
      </c>
      <c r="EJ16" s="56">
        <f>SUMIFS(tblActuals35415[Team 2 GD],tblActuals35415[Team 2],$CU16,tblActuals35415[Team 1],EJ$3)+SUMIFS(tblActuals35415[Team 1 GD],tblActuals35415[Team 1],$CU16,tblActuals35415[Team 2],EJ$3)</f>
        <v>0</v>
      </c>
      <c r="EK16" s="56">
        <f>SUMIFS(tblActuals35415[Team 2 GD],tblActuals35415[Team 2],$CU16,tblActuals35415[Team 1],EK$3)+SUMIFS(tblActuals35415[Team 1 GD],tblActuals35415[Team 1],$CU16,tblActuals35415[Team 2],EK$3)</f>
        <v>0</v>
      </c>
      <c r="EL16" s="56">
        <f>SUMIFS(tblActuals35415[Team 2 GD],tblActuals35415[Team 2],$CU16,tblActuals35415[Team 1],EL$3)+SUMIFS(tblActuals35415[Team 1 GD],tblActuals35415[Team 1],$CU16,tblActuals35415[Team 2],EL$3)</f>
        <v>0</v>
      </c>
      <c r="EM16" s="56">
        <f>SUMIFS(tblActuals35415[Team 2 GD],tblActuals35415[Team 2],$CU16,tblActuals35415[Team 1],EM$3)+SUMIFS(tblActuals35415[Team 1 GD],tblActuals35415[Team 1],$CU16,tblActuals35415[Team 2],EM$3)</f>
        <v>0</v>
      </c>
      <c r="EN16" s="56">
        <f>SUMIFS(tblActuals35415[Team 2 GD],tblActuals35415[Team 2],$CU16,tblActuals35415[Team 1],EN$3)+SUMIFS(tblActuals35415[Team 1 GD],tblActuals35415[Team 1],$CU16,tblActuals35415[Team 2],EN$3)</f>
        <v>0</v>
      </c>
      <c r="EO16" s="56">
        <f>SUMIFS(tblActuals35415[Team 2 GD],tblActuals35415[Team 2],$CU16,tblActuals35415[Team 1],EO$3)+SUMIFS(tblActuals35415[Team 1 GD],tblActuals35415[Team 1],$CU16,tblActuals35415[Team 2],EO$3)</f>
        <v>0</v>
      </c>
      <c r="EP16" s="56">
        <f>SUMIFS(tblActuals35415[Team 2 GD],tblActuals35415[Team 2],$CU16,tblActuals35415[Team 1],EP$3)+SUMIFS(tblActuals35415[Team 1 GD],tblActuals35415[Team 1],$CU16,tblActuals35415[Team 2],EP$3)</f>
        <v>0</v>
      </c>
      <c r="EQ16" s="56">
        <f>SUMIFS(tblActuals35415[Team 2 GD],tblActuals35415[Team 2],$CU16,tblActuals35415[Team 1],EQ$3)+SUMIFS(tblActuals35415[Team 1 GD],tblActuals35415[Team 1],$CU16,tblActuals35415[Team 2],EQ$3)</f>
        <v>0</v>
      </c>
      <c r="ER16" s="56">
        <f>SUMIFS(tblActuals35415[Team 2 GD],tblActuals35415[Team 2],$CU16,tblActuals35415[Team 1],ER$3)+SUMIFS(tblActuals35415[Team 1 GD],tblActuals35415[Team 1],$CU16,tblActuals35415[Team 2],ER$3)</f>
        <v>0</v>
      </c>
      <c r="ES16" s="56">
        <f>SUMIFS(tblActuals35415[Team 2 GD],tblActuals35415[Team 2],$CU16,tblActuals35415[Team 1],ES$3)+SUMIFS(tblActuals35415[Team 1 GD],tblActuals35415[Team 1],$CU16,tblActuals35415[Team 2],ES$3)</f>
        <v>0</v>
      </c>
      <c r="ET16" s="56">
        <f>SUMIFS(tblActuals35415[Team 2 GD],tblActuals35415[Team 2],$CU16,tblActuals35415[Team 1],ET$3)+SUMIFS(tblActuals35415[Team 1 GD],tblActuals35415[Team 1],$CU16,tblActuals35415[Team 2],ET$3)</f>
        <v>0</v>
      </c>
      <c r="EU16" s="56">
        <f>SUMIFS(tblActuals35415[Team 2 GD],tblActuals35415[Team 2],$CU16,tblActuals35415[Team 1],EU$3)+SUMIFS(tblActuals35415[Team 1 GD],tblActuals35415[Team 1],$CU16,tblActuals35415[Team 2],EU$3)</f>
        <v>0</v>
      </c>
      <c r="EV16" s="56">
        <f>SUMIFS(tblActuals35415[Team 2 GD],tblActuals35415[Team 2],$CU16,tblActuals35415[Team 1],EV$3)+SUMIFS(tblActuals35415[Team 1 GD],tblActuals35415[Team 1],$CU16,tblActuals35415[Team 2],EV$3)</f>
        <v>0</v>
      </c>
      <c r="EW16" s="56">
        <f>SUMIFS(tblActuals35415[Team 2 GD],tblActuals35415[Team 2],$CU16,tblActuals35415[Team 1],EW$3)+SUMIFS(tblActuals35415[Team 1 GD],tblActuals35415[Team 1],$CU16,tblActuals35415[Team 2],EW$3)</f>
        <v>0</v>
      </c>
      <c r="EX16" s="56">
        <f>SUMIFS(tblActuals35415[Team 2 GD],tblActuals35415[Team 2],$CU16,tblActuals35415[Team 1],EX$3)+SUMIFS(tblActuals35415[Team 1 GD],tblActuals35415[Team 1],$CU16,tblActuals35415[Team 2],EX$3)</f>
        <v>0</v>
      </c>
      <c r="EY16" s="56">
        <f>SUMIFS(tblActuals35415[Team 2 GD],tblActuals35415[Team 2],$CU16,tblActuals35415[Team 1],EY$3)+SUMIFS(tblActuals35415[Team 1 GD],tblActuals35415[Team 1],$CU16,tblActuals35415[Team 2],EY$3)</f>
        <v>0</v>
      </c>
      <c r="EZ16" s="56">
        <f>SUMIFS(tblActuals35415[Team 2 GD],tblActuals35415[Team 2],$CU16,tblActuals35415[Team 1],EZ$3)+SUMIFS(tblActuals35415[Team 1 GD],tblActuals35415[Team 1],$CU16,tblActuals35415[Team 2],EZ$3)</f>
        <v>0</v>
      </c>
      <c r="FA16" s="56">
        <f>SUMIFS(tblActuals35415[Team 2 GD],tblActuals35415[Team 2],$CU16,tblActuals35415[Team 1],FA$3)+SUMIFS(tblActuals35415[Team 1 GD],tblActuals35415[Team 1],$CU16,tblActuals35415[Team 2],FA$3)</f>
        <v>0</v>
      </c>
      <c r="FB16" s="57"/>
      <c r="FC16" s="57"/>
      <c r="FD16" s="57"/>
      <c r="FE16" s="57"/>
      <c r="FF16" s="57"/>
      <c r="FG16" s="57"/>
      <c r="FH16" s="57"/>
      <c r="FI16" s="57"/>
      <c r="FJ16" s="4"/>
      <c r="FK16" s="4" t="s">
        <v>32</v>
      </c>
      <c r="FL16" s="56">
        <f>SUMIFS(tblActuals35415[Team 2 Goals],tblActuals35415[Team 2],$CU16,tblActuals35415[Team 1],FL$3)+SUMIFS(tblActuals35415[Team 1 Goals],tblActuals35415[Team 1],$CU16,tblActuals35415[Team 2],FL$3)</f>
        <v>0</v>
      </c>
      <c r="FM16" s="56">
        <f>SUMIFS(tblActuals35415[Team 2 Goals],tblActuals35415[Team 2],$CU16,tblActuals35415[Team 1],FM$3)+SUMIFS(tblActuals35415[Team 1 Goals],tblActuals35415[Team 1],$CU16,tblActuals35415[Team 2],FM$3)</f>
        <v>0</v>
      </c>
      <c r="FN16" s="56">
        <f>SUMIFS(tblActuals35415[Team 2 Goals],tblActuals35415[Team 2],$CU16,tblActuals35415[Team 1],FN$3)+SUMIFS(tblActuals35415[Team 1 Goals],tblActuals35415[Team 1],$CU16,tblActuals35415[Team 2],FN$3)</f>
        <v>0</v>
      </c>
      <c r="FO16" s="56">
        <f>SUMIFS(tblActuals35415[Team 2 Goals],tblActuals35415[Team 2],$CU16,tblActuals35415[Team 1],FO$3)+SUMIFS(tblActuals35415[Team 1 Goals],tblActuals35415[Team 1],$CU16,tblActuals35415[Team 2],FO$3)</f>
        <v>0</v>
      </c>
      <c r="FP16" s="56">
        <f>SUMIFS(tblActuals35415[Team 2 Goals],tblActuals35415[Team 2],$CU16,tblActuals35415[Team 1],FP$3)+SUMIFS(tblActuals35415[Team 1 Goals],tblActuals35415[Team 1],$CU16,tblActuals35415[Team 2],FP$3)</f>
        <v>0</v>
      </c>
      <c r="FQ16" s="56">
        <f>SUMIFS(tblActuals35415[Team 2 Goals],tblActuals35415[Team 2],$CU16,tblActuals35415[Team 1],FQ$3)+SUMIFS(tblActuals35415[Team 1 Goals],tblActuals35415[Team 1],$CU16,tblActuals35415[Team 2],FQ$3)</f>
        <v>0</v>
      </c>
      <c r="FR16" s="56">
        <f>SUMIFS(tblActuals35415[Team 2 Goals],tblActuals35415[Team 2],$CU16,tblActuals35415[Team 1],FR$3)+SUMIFS(tblActuals35415[Team 1 Goals],tblActuals35415[Team 1],$CU16,tblActuals35415[Team 2],FR$3)</f>
        <v>0</v>
      </c>
      <c r="FS16" s="56">
        <f>SUMIFS(tblActuals35415[Team 2 Goals],tblActuals35415[Team 2],$CU16,tblActuals35415[Team 1],FS$3)+SUMIFS(tblActuals35415[Team 1 Goals],tblActuals35415[Team 1],$CU16,tblActuals35415[Team 2],FS$3)</f>
        <v>0</v>
      </c>
      <c r="FT16" s="56">
        <f>SUMIFS(tblActuals35415[Team 2 Goals],tblActuals35415[Team 2],$CU16,tblActuals35415[Team 1],FT$3)+SUMIFS(tblActuals35415[Team 1 Goals],tblActuals35415[Team 1],$CU16,tblActuals35415[Team 2],FT$3)</f>
        <v>0</v>
      </c>
      <c r="FU16" s="56">
        <f>SUMIFS(tblActuals35415[Team 2 Goals],tblActuals35415[Team 2],$CU16,tblActuals35415[Team 1],FU$3)+SUMIFS(tblActuals35415[Team 1 Goals],tblActuals35415[Team 1],$CU16,tblActuals35415[Team 2],FU$3)</f>
        <v>0</v>
      </c>
      <c r="FV16" s="56">
        <f>SUMIFS(tblActuals35415[Team 2 Goals],tblActuals35415[Team 2],$CU16,tblActuals35415[Team 1],FV$3)+SUMIFS(tblActuals35415[Team 1 Goals],tblActuals35415[Team 1],$CU16,tblActuals35415[Team 2],FV$3)</f>
        <v>0</v>
      </c>
      <c r="FW16" s="56">
        <f>SUMIFS(tblActuals35415[Team 2 Goals],tblActuals35415[Team 2],$CU16,tblActuals35415[Team 1],FW$3)+SUMIFS(tblActuals35415[Team 1 Goals],tblActuals35415[Team 1],$CU16,tblActuals35415[Team 2],FW$3)</f>
        <v>0</v>
      </c>
      <c r="FX16" s="56">
        <f>SUMIFS(tblActuals35415[Team 2 Goals],tblActuals35415[Team 2],$CU16,tblActuals35415[Team 1],FX$3)+SUMIFS(tblActuals35415[Team 1 Goals],tblActuals35415[Team 1],$CU16,tblActuals35415[Team 2],FX$3)</f>
        <v>0</v>
      </c>
      <c r="FY16" s="56">
        <f>SUMIFS(tblActuals35415[Team 2 Goals],tblActuals35415[Team 2],$CU16,tblActuals35415[Team 1],FY$3)+SUMIFS(tblActuals35415[Team 1 Goals],tblActuals35415[Team 1],$CU16,tblActuals35415[Team 2],FY$3)</f>
        <v>0</v>
      </c>
      <c r="FZ16" s="56">
        <f>SUMIFS(tblActuals35415[Team 2 Goals],tblActuals35415[Team 2],$CU16,tblActuals35415[Team 1],FZ$3)+SUMIFS(tblActuals35415[Team 1 Goals],tblActuals35415[Team 1],$CU16,tblActuals35415[Team 2],FZ$3)</f>
        <v>0</v>
      </c>
      <c r="GA16" s="56">
        <f>SUMIFS(tblActuals35415[Team 2 Goals],tblActuals35415[Team 2],$CU16,tblActuals35415[Team 1],GA$3)+SUMIFS(tblActuals35415[Team 1 Goals],tblActuals35415[Team 1],$CU16,tblActuals35415[Team 2],GA$3)</f>
        <v>0</v>
      </c>
      <c r="GB16" s="56">
        <f>SUMIFS(tblActuals35415[Team 2 Goals],tblActuals35415[Team 2],$CU16,tblActuals35415[Team 1],GB$3)+SUMIFS(tblActuals35415[Team 1 Goals],tblActuals35415[Team 1],$CU16,tblActuals35415[Team 2],GB$3)</f>
        <v>0</v>
      </c>
      <c r="GC16" s="56">
        <f>SUMIFS(tblActuals35415[Team 2 Goals],tblActuals35415[Team 2],$CU16,tblActuals35415[Team 1],GC$3)+SUMIFS(tblActuals35415[Team 1 Goals],tblActuals35415[Team 1],$CU16,tblActuals35415[Team 2],GC$3)</f>
        <v>0</v>
      </c>
      <c r="GD16" s="56">
        <f>SUMIFS(tblActuals35415[Team 2 Goals],tblActuals35415[Team 2],$CU16,tblActuals35415[Team 1],GD$3)+SUMIFS(tblActuals35415[Team 1 Goals],tblActuals35415[Team 1],$CU16,tblActuals35415[Team 2],GD$3)</f>
        <v>0</v>
      </c>
      <c r="GE16" s="56">
        <f>SUMIFS(tblActuals35415[Team 2 Goals],tblActuals35415[Team 2],$CU16,tblActuals35415[Team 1],GE$3)+SUMIFS(tblActuals35415[Team 1 Goals],tblActuals35415[Team 1],$CU16,tblActuals35415[Team 2],GE$3)</f>
        <v>0</v>
      </c>
      <c r="GF16" s="56">
        <f>SUMIFS(tblActuals35415[Team 2 Goals],tblActuals35415[Team 2],$CU16,tblActuals35415[Team 1],GF$3)+SUMIFS(tblActuals35415[Team 1 Goals],tblActuals35415[Team 1],$CU16,tblActuals35415[Team 2],GF$3)</f>
        <v>0</v>
      </c>
      <c r="GG16" s="56">
        <f>SUMIFS(tblActuals35415[Team 2 Goals],tblActuals35415[Team 2],$CU16,tblActuals35415[Team 1],GG$3)+SUMIFS(tblActuals35415[Team 1 Goals],tblActuals35415[Team 1],$CU16,tblActuals35415[Team 2],GG$3)</f>
        <v>0</v>
      </c>
      <c r="GH16" s="56">
        <f>SUMIFS(tblActuals35415[Team 2 Goals],tblActuals35415[Team 2],$CU16,tblActuals35415[Team 1],GH$3)+SUMIFS(tblActuals35415[Team 1 Goals],tblActuals35415[Team 1],$CU16,tblActuals35415[Team 2],GH$3)</f>
        <v>0</v>
      </c>
      <c r="GI16" s="56">
        <f>SUMIFS(tblActuals35415[Team 2 Goals],tblActuals35415[Team 2],$CU16,tblActuals35415[Team 1],GI$3)+SUMIFS(tblActuals35415[Team 1 Goals],tblActuals35415[Team 1],$CU16,tblActuals35415[Team 2],GI$3)</f>
        <v>0</v>
      </c>
      <c r="GJ16" s="57"/>
      <c r="GK16" s="57"/>
      <c r="GL16" s="37"/>
      <c r="GM16" s="37"/>
      <c r="GN16" s="37"/>
      <c r="GO16" s="37"/>
      <c r="GP16" s="37"/>
      <c r="GQ16" s="37"/>
      <c r="GR16" s="75"/>
      <c r="GS16" s="156"/>
      <c r="GT16" s="156"/>
      <c r="GU16" s="75"/>
      <c r="GV16" s="75"/>
      <c r="GW16" s="75"/>
      <c r="GX16" s="75"/>
      <c r="GY16" s="75"/>
      <c r="GZ16" s="75"/>
      <c r="HB16" s="4" t="str">
        <f t="shared" si="12"/>
        <v>BCDF</v>
      </c>
      <c r="HC16" s="45"/>
      <c r="HD16" s="44" t="s">
        <v>5</v>
      </c>
      <c r="HE16" s="44" t="s">
        <v>6</v>
      </c>
      <c r="HF16" s="44" t="s">
        <v>7</v>
      </c>
      <c r="HG16" s="45"/>
      <c r="HH16" s="44" t="s">
        <v>45</v>
      </c>
      <c r="HI16" s="178"/>
      <c r="HJ16" s="45" t="s">
        <v>154</v>
      </c>
      <c r="HK16" s="45" t="s">
        <v>150</v>
      </c>
      <c r="HL16" s="45" t="s">
        <v>152</v>
      </c>
      <c r="HM16" s="45" t="s">
        <v>151</v>
      </c>
    </row>
    <row r="17" spans="1:221" s="11" customFormat="1" ht="30" customHeight="1" thickBot="1" x14ac:dyDescent="0.3">
      <c r="A17" s="20"/>
      <c r="B17" s="122">
        <v>14</v>
      </c>
      <c r="C17" s="122" t="s">
        <v>1</v>
      </c>
      <c r="D17" s="123">
        <v>45462</v>
      </c>
      <c r="E17" s="122" t="s">
        <v>83</v>
      </c>
      <c r="F17" s="124">
        <v>0.75</v>
      </c>
      <c r="G17" s="125">
        <f t="shared" si="11"/>
        <v>45462.5</v>
      </c>
      <c r="H17" s="122" t="s">
        <v>102</v>
      </c>
      <c r="I17" s="126"/>
      <c r="J17" s="118"/>
      <c r="K17" s="118"/>
      <c r="L17" s="174">
        <f>IF(I17="",0,IFERROR(IF(SCORING.RULES!$C$8="No",1,((VLOOKUP($B17,ACTUALS!$B$4:$L$100,7,FALSE)=$H17)+(VLOOKUP($B17,ACTUALS!$B$4:$L$100,7,FALSE)=S17)))*(M17+N17+O17+P17+Q17),0))+$R17</f>
        <v>0</v>
      </c>
      <c r="M17" s="168">
        <f>IFERROR(IF($B17="","",IF(U17=INDEX(ACTUALS!$AA$4:$AA$100,MATCH($B17,ACTUALS!$B$4:$B$100,0),1),CorrectScore,0)),0)</f>
        <v>0</v>
      </c>
      <c r="N17" s="157" t="str">
        <f>IFERROR(IF(I17="","",IF(INDEX(ACTUALS!$AB$4:$AB$100,MATCH($B17,ACTUALS!$B$4:$B$100,0),1)=(AB17+AC17+AH17+AI17),CorrectNumberofGoals,0)),0)</f>
        <v/>
      </c>
      <c r="O17" s="157"/>
      <c r="P17" s="157">
        <f>IFERROR(IF(B17="","",IF(INDEX(ACTUALS!$L$4:$L$100,MATCH($B17,ACTUALS!$B$4:$B$100,0),1)=W17,CorrectResult,0)),0)</f>
        <v>3</v>
      </c>
      <c r="Q17" s="157"/>
      <c r="R17" s="157"/>
      <c r="S17" s="157" t="str">
        <f t="shared" si="0"/>
        <v/>
      </c>
      <c r="T17" s="157"/>
      <c r="U17" s="157" t="str">
        <f t="shared" si="1"/>
        <v/>
      </c>
      <c r="V17" s="157" t="str">
        <f t="shared" si="2"/>
        <v/>
      </c>
      <c r="W17" s="119" t="str">
        <f>IF(tblActuals35415[[#This Row],[SCORE]]="","",IF(AB17=AC17,"Draw",IF(AB17&gt;AC17,X17,Y17)))</f>
        <v/>
      </c>
      <c r="X17" s="120" t="str">
        <f>IF(tblActuals35415[[#This Row],[TEAMS]]="","",LEFT(H17,FIND(" -",H17,1)-1))</f>
        <v>Germany</v>
      </c>
      <c r="Y17" s="120" t="str">
        <f>IF(tblActuals35415[[#This Row],[TEAMS]]="","",MID(H17,FIND("-",H17,1)+2,LEN(H17)-FIND("-",H17,1)+2))</f>
        <v>Hungary</v>
      </c>
      <c r="Z17" s="120" t="str">
        <f>IF(tblActuals35415[[#This Row],[Team 1 Goals]]&gt;tblActuals35415[[#This Row],[Team 2 Goals]],tblActuals35415[[#This Row],[Team 1]],IF(tblActuals35415[[#This Row],[Team 2 Goals]]&gt;tblActuals35415[[#This Row],[Team 1 Goals]],tblActuals35415[[#This Row],[Team 2]],""))</f>
        <v/>
      </c>
      <c r="AA17" s="120" t="str">
        <f>IF(tblActuals35415[[#This Row],[Winner]]=tblActuals35415[[#This Row],[Team 1]],tblActuals35415[[#This Row],[Team 2]],IF(tblActuals35415[[#This Row],[Winner]]=tblActuals35415[[#This Row],[Team 2]],tblActuals35415[[#This Row],[Team 1]],""))</f>
        <v/>
      </c>
      <c r="AB17" s="120" t="str">
        <f>IF(tblActuals35415[[#This Row],[SCORE]]="","",LEFT(I17,FIND(":",I17,1)-1)*1)</f>
        <v/>
      </c>
      <c r="AC17" s="120" t="str">
        <f>IF(tblActuals35415[[#This Row],[SCORE]]="","",MID(I17,FIND(":",I17,1)+1,LEN(I17)-FIND(":",I17,1)+1)*1)</f>
        <v/>
      </c>
      <c r="AD17" s="120" t="str">
        <f>IF(OR(tblActuals35415[[#This Row],[Team 1 Goals]]="",tblActuals35415[[#This Row],[Team 2 Goals]]=""),"",tblActuals35415[[#This Row],[Team 1 Goals]]-tblActuals35415[[#This Row],[Team 2 Goals]])</f>
        <v/>
      </c>
      <c r="AE17" s="120" t="str">
        <f>IF(OR(tblActuals35415[[#This Row],[Team 1 Goals]]="",tblActuals35415[[#This Row],[Team 2 Goals]]=""),"",tblActuals35415[[#This Row],[Team 2 Goals]]-tblActuals35415[[#This Row],[Team 1 Goals]])</f>
        <v/>
      </c>
      <c r="AF17" s="120" t="str">
        <f>IF(tblActuals35415[[#This Row],[SCORE]]="","",IF(tblActuals35415[[#This Row],[WINNER / RESULT]]="Draw",1,IF(tblActuals35415[[#This Row],[WINNER / RESULT]]=tblActuals35415[[#This Row],[Team 1]],3,0)))</f>
        <v/>
      </c>
      <c r="AG17" s="120" t="str">
        <f>IF(tblActuals35415[[#This Row],[SCORE]]="","",IF(tblActuals35415[[#This Row],[WINNER / RESULT]]="Draw",1,IF(tblActuals35415[[#This Row],[WINNER / RESULT]]=tblActuals35415[[#This Row],[Team 2]],3,0)))</f>
        <v/>
      </c>
      <c r="AH17" s="121"/>
      <c r="AI17" s="121"/>
      <c r="AJ17" s="121"/>
      <c r="AK17" s="121"/>
      <c r="AL17" s="120" t="e">
        <f>tblActuals35415[[#This Row],[Team 1 Goals]]+tblActuals35415[[#This Row],[Team 1 ET Goals]]&amp;":"&amp;tblActuals35415[[#This Row],[Team 2 Goals]]+tblActuals35415[[#This Row],[Team 2 ET Goals]]</f>
        <v>#VALUE!</v>
      </c>
      <c r="AM17" s="120" t="e">
        <f>+tblActuals35415[[#This Row],[Team 1 Goals]]+tblActuals35415[[#This Row],[Team 2 Goals]]</f>
        <v>#VALUE!</v>
      </c>
      <c r="AN17" s="161">
        <f t="shared" si="3"/>
        <v>45462</v>
      </c>
      <c r="AT17" s="78"/>
      <c r="AU17" s="179" t="s">
        <v>53</v>
      </c>
      <c r="AV17" s="180"/>
      <c r="AW17" s="133" t="s">
        <v>46</v>
      </c>
      <c r="AX17" s="134" t="s">
        <v>57</v>
      </c>
      <c r="AY17" s="135" t="s">
        <v>11</v>
      </c>
      <c r="AZ17" s="75"/>
      <c r="BA17" s="4"/>
      <c r="BB17" s="4"/>
      <c r="BC17" s="4" t="s">
        <v>6</v>
      </c>
      <c r="BD17" s="4" t="s">
        <v>128</v>
      </c>
      <c r="BE17" s="4">
        <f>COUNTIF(tblActuals35415[Winner],BD17)</f>
        <v>0</v>
      </c>
      <c r="BF17" s="4">
        <f>COUNTIFS(tblActuals35415[Team 2],BD17,tblActuals35415[WINNER / RESULT],"Draw")+COUNTIFS(tblActuals35415[Team 1],BD17,tblActuals35415[WINNER / RESULT],"Draw")</f>
        <v>0</v>
      </c>
      <c r="BG17" s="4">
        <f>COUNTIF(tblActuals35415[Loser],BD17)</f>
        <v>0</v>
      </c>
      <c r="BH17" s="4">
        <f>BF17+(3*BE17)</f>
        <v>0</v>
      </c>
      <c r="BI17" s="4">
        <f>SUMIFS(tblActuals35415[Team 1 Goals],tblActuals35415[Team 1],BD17)+SUMIFS(tblActuals35415[Team 2 Goals],tblActuals35415[Team 2],BD17)</f>
        <v>0</v>
      </c>
      <c r="BJ17" s="4">
        <f>SUMIFS(tblActuals35415[Team 2 Goals],tblActuals35415[Team 1],BD17)+SUMIFS(tblActuals35415[Team 1 Goals],tblActuals35415[Team 2],BD17)</f>
        <v>0</v>
      </c>
      <c r="BK17" s="4">
        <f>BI17-BJ17</f>
        <v>0</v>
      </c>
      <c r="BL17" s="4">
        <f ca="1">RANK(BY17,$BY$14:$BY$17,1)</f>
        <v>4</v>
      </c>
      <c r="BM17" s="4" t="str">
        <f t="shared" si="4"/>
        <v/>
      </c>
      <c r="BN17" s="4" t="str">
        <f ca="1">IF(BM17="",BL17&amp;BC17,BM17&amp;BC17)</f>
        <v>4C</v>
      </c>
      <c r="BO17" s="4">
        <f>RANK(BH17,$BH$14:$BH$17,0)</f>
        <v>1</v>
      </c>
      <c r="BP17" s="4" cm="1">
        <f t="array" aca="1" ref="BP17" ca="1">SUMPRODUCT((OFFSET($CV$3:$EA$3,MATCH($BD17,$CU$4:$CU$35,0),0))*((IF($BO15=$BO17,$CV$3:$EA$3=$BD15,0))+(IF($BO14=$BO17,$CV$3:$EA$3=$BD14,0))+(IF($BO16=$BO17,$CV$3:$EA$3=$BD16,0))))</f>
        <v>0</v>
      </c>
      <c r="BQ17" s="4" cm="1">
        <f t="array" aca="1" ref="BQ17" ca="1">SUMPRODUCT((OFFSET($ED$3:$FI$3,MATCH($BD17,$EC$4:$EC$35,0),0))*((IF($BO15=$BO17,$ED$3:$FI$3=$BD15,0))+(IF($BO14=$BO17,$ED$3:$FI$3=$BD14,0))+(IF($BO16=$BO17,$ED$3:$FI$3=$BD16,0))))</f>
        <v>0</v>
      </c>
      <c r="BR17" s="4" cm="1">
        <f t="array" aca="1" ref="BR17" ca="1">SUMPRODUCT((OFFSET($FL$3:$GQ$3,MATCH($BD17,$FK$4:$FK$35,0),0))*((IF($BO15=$BO17,$FL$3:$GQ$3=$BD15,0))+(IF($BO14=$BO17,$FL$3:$GQ$3=$BD14,0))+(IF($BO16=$BO17,$FL$3:$GQ$3=$BD16,0))))</f>
        <v>0</v>
      </c>
      <c r="BS17" s="4" cm="1">
        <f t="array" aca="1" ref="BS17" ca="1">SUMPRODUCT((OFFSET($CV$3:$EA$3,MATCH($BD17,$CU$4:$CU$35,0),0))*((IF($BO15&lt;&gt;$BO17,$CV$3:$EA$3=$BD15,0))+(IF($BO14&lt;&gt;$BO17,$CV$3:$EA$3=$BD14,0))+(IF($BO16&lt;&gt;$BO17,$CV$3:$EA$3=$BD16,0))))</f>
        <v>0</v>
      </c>
      <c r="BT17" s="4" cm="1">
        <f t="array" aca="1" ref="BT17" ca="1">SUMPRODUCT((OFFSET($ED$3:$FI$3,MATCH($BD17,$EC$4:$EC$35,0),0))*((IF($BO15&lt;&gt;$BO17,$ED$3:$FI$3=$BD15,0))+(IF($BO14&lt;&gt;$BO17,$ED$3:$FI$3=$BD14,0))+(IF($BO16&lt;&gt;$BO17,$ED$3:$FI$3=$BD16,0))))</f>
        <v>0</v>
      </c>
      <c r="BU17" s="4" cm="1">
        <f t="array" aca="1" ref="BU17" ca="1">SUMPRODUCT((OFFSET($FL$3:$GQ$3,MATCH($BD17,$FK$4:$FK$35,0),0))*((IF($BO15&lt;&gt;$BO17,$FL$3:$GQ$3=$BD15,0))+(IF($BO14&lt;&gt;$BO17,$FL$3:$GQ$3=$BD14,0))+(IF($BO16&lt;&gt;$BO17,$FL$3:$GQ$3=$BD16,0))))</f>
        <v>0</v>
      </c>
      <c r="BV17" s="4">
        <f>BK17</f>
        <v>0</v>
      </c>
      <c r="BW17" s="4">
        <f>BI17</f>
        <v>0</v>
      </c>
      <c r="BX17" s="4">
        <f ca="1">(BP17/10)+(BQ17/100)+(BR17/1000)+(BT17/10000)+(BU17/100000)+(BV17/1000000)+(BW17/10000000)+(ROW(BS14)/100000000)</f>
        <v>1.4000000000000001E-7</v>
      </c>
      <c r="BY17" s="4">
        <f ca="1">+BO17-BX17</f>
        <v>0.99999985999999996</v>
      </c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U17" s="4" t="s">
        <v>8</v>
      </c>
      <c r="CV17" s="56">
        <f>SUMIFS(tblActuals35415[Team 2 Points],tblActuals35415[Team 2],$CU17,tblActuals35415[Team 1],CV$3)+SUMIFS(tblActuals35415[Team 1 Points],tblActuals35415[Team 1],$CU17,tblActuals35415[Team 2],CV$3)</f>
        <v>0</v>
      </c>
      <c r="CW17" s="56">
        <f>SUMIFS(tblActuals35415[Team 2 Points],tblActuals35415[Team 2],$CU17,tblActuals35415[Team 1],CW$3)+SUMIFS(tblActuals35415[Team 1 Points],tblActuals35415[Team 1],$CU17,tblActuals35415[Team 2],CW$3)</f>
        <v>0</v>
      </c>
      <c r="CX17" s="56">
        <f>SUMIFS(tblActuals35415[Team 2 Points],tblActuals35415[Team 2],$CU17,tblActuals35415[Team 1],CX$3)+SUMIFS(tblActuals35415[Team 1 Points],tblActuals35415[Team 1],$CU17,tblActuals35415[Team 2],CX$3)</f>
        <v>0</v>
      </c>
      <c r="CY17" s="56">
        <f>SUMIFS(tblActuals35415[Team 2 Points],tblActuals35415[Team 2],$CU17,tblActuals35415[Team 1],CY$3)+SUMIFS(tblActuals35415[Team 1 Points],tblActuals35415[Team 1],$CU17,tblActuals35415[Team 2],CY$3)</f>
        <v>0</v>
      </c>
      <c r="CZ17" s="56">
        <f>SUMIFS(tblActuals35415[Team 2 Points],tblActuals35415[Team 2],$CU17,tblActuals35415[Team 1],CZ$3)+SUMIFS(tblActuals35415[Team 1 Points],tblActuals35415[Team 1],$CU17,tblActuals35415[Team 2],CZ$3)</f>
        <v>0</v>
      </c>
      <c r="DA17" s="56">
        <f>SUMIFS(tblActuals35415[Team 2 Points],tblActuals35415[Team 2],$CU17,tblActuals35415[Team 1],DA$3)+SUMIFS(tblActuals35415[Team 1 Points],tblActuals35415[Team 1],$CU17,tblActuals35415[Team 2],DA$3)</f>
        <v>0</v>
      </c>
      <c r="DB17" s="56">
        <f>SUMIFS(tblActuals35415[Team 2 Points],tblActuals35415[Team 2],$CU17,tblActuals35415[Team 1],DB$3)+SUMIFS(tblActuals35415[Team 1 Points],tblActuals35415[Team 1],$CU17,tblActuals35415[Team 2],DB$3)</f>
        <v>0</v>
      </c>
      <c r="DC17" s="56">
        <f>SUMIFS(tblActuals35415[Team 2 Points],tblActuals35415[Team 2],$CU17,tblActuals35415[Team 1],DC$3)+SUMIFS(tblActuals35415[Team 1 Points],tblActuals35415[Team 1],$CU17,tblActuals35415[Team 2],DC$3)</f>
        <v>0</v>
      </c>
      <c r="DD17" s="56">
        <f>SUMIFS(tblActuals35415[Team 2 Points],tblActuals35415[Team 2],$CU17,tblActuals35415[Team 1],DD$3)+SUMIFS(tblActuals35415[Team 1 Points],tblActuals35415[Team 1],$CU17,tblActuals35415[Team 2],DD$3)</f>
        <v>0</v>
      </c>
      <c r="DE17" s="56">
        <f>SUMIFS(tblActuals35415[Team 2 Points],tblActuals35415[Team 2],$CU17,tblActuals35415[Team 1],DE$3)+SUMIFS(tblActuals35415[Team 1 Points],tblActuals35415[Team 1],$CU17,tblActuals35415[Team 2],DE$3)</f>
        <v>0</v>
      </c>
      <c r="DF17" s="56">
        <f>SUMIFS(tblActuals35415[Team 2 Points],tblActuals35415[Team 2],$CU17,tblActuals35415[Team 1],DF$3)+SUMIFS(tblActuals35415[Team 1 Points],tblActuals35415[Team 1],$CU17,tblActuals35415[Team 2],DF$3)</f>
        <v>0</v>
      </c>
      <c r="DG17" s="56">
        <f>SUMIFS(tblActuals35415[Team 2 Points],tblActuals35415[Team 2],$CU17,tblActuals35415[Team 1],DG$3)+SUMIFS(tblActuals35415[Team 1 Points],tblActuals35415[Team 1],$CU17,tblActuals35415[Team 2],DG$3)</f>
        <v>0</v>
      </c>
      <c r="DH17" s="56">
        <f>SUMIFS(tblActuals35415[Team 2 Points],tblActuals35415[Team 2],$CU17,tblActuals35415[Team 1],DH$3)+SUMIFS(tblActuals35415[Team 1 Points],tblActuals35415[Team 1],$CU17,tblActuals35415[Team 2],DH$3)</f>
        <v>0</v>
      </c>
      <c r="DI17" s="56">
        <f>SUMIFS(tblActuals35415[Team 2 Points],tblActuals35415[Team 2],$CU17,tblActuals35415[Team 1],DI$3)+SUMIFS(tblActuals35415[Team 1 Points],tblActuals35415[Team 1],$CU17,tblActuals35415[Team 2],DI$3)</f>
        <v>0</v>
      </c>
      <c r="DJ17" s="56">
        <f>SUMIFS(tblActuals35415[Team 2 Points],tblActuals35415[Team 2],$CU17,tblActuals35415[Team 1],DJ$3)+SUMIFS(tblActuals35415[Team 1 Points],tblActuals35415[Team 1],$CU17,tblActuals35415[Team 2],DJ$3)</f>
        <v>0</v>
      </c>
      <c r="DK17" s="56">
        <f>SUMIFS(tblActuals35415[Team 2 Points],tblActuals35415[Team 2],$CU17,tblActuals35415[Team 1],DK$3)+SUMIFS(tblActuals35415[Team 1 Points],tblActuals35415[Team 1],$CU17,tblActuals35415[Team 2],DK$3)</f>
        <v>0</v>
      </c>
      <c r="DL17" s="56">
        <f>SUMIFS(tblActuals35415[Team 2 Points],tblActuals35415[Team 2],$CU17,tblActuals35415[Team 1],DL$3)+SUMIFS(tblActuals35415[Team 1 Points],tblActuals35415[Team 1],$CU17,tblActuals35415[Team 2],DL$3)</f>
        <v>0</v>
      </c>
      <c r="DM17" s="56">
        <f>SUMIFS(tblActuals35415[Team 2 Points],tblActuals35415[Team 2],$CU17,tblActuals35415[Team 1],DM$3)+SUMIFS(tblActuals35415[Team 1 Points],tblActuals35415[Team 1],$CU17,tblActuals35415[Team 2],DM$3)</f>
        <v>0</v>
      </c>
      <c r="DN17" s="56">
        <f>SUMIFS(tblActuals35415[Team 2 Points],tblActuals35415[Team 2],$CU17,tblActuals35415[Team 1],DN$3)+SUMIFS(tblActuals35415[Team 1 Points],tblActuals35415[Team 1],$CU17,tblActuals35415[Team 2],DN$3)</f>
        <v>0</v>
      </c>
      <c r="DO17" s="56">
        <f>SUMIFS(tblActuals35415[Team 2 Points],tblActuals35415[Team 2],$CU17,tblActuals35415[Team 1],DO$3)+SUMIFS(tblActuals35415[Team 1 Points],tblActuals35415[Team 1],$CU17,tblActuals35415[Team 2],DO$3)</f>
        <v>0</v>
      </c>
      <c r="DP17" s="56">
        <f>SUMIFS(tblActuals35415[Team 2 Points],tblActuals35415[Team 2],$CU17,tblActuals35415[Team 1],DP$3)+SUMIFS(tblActuals35415[Team 1 Points],tblActuals35415[Team 1],$CU17,tblActuals35415[Team 2],DP$3)</f>
        <v>0</v>
      </c>
      <c r="DQ17" s="56">
        <f>SUMIFS(tblActuals35415[Team 2 Points],tblActuals35415[Team 2],$CU17,tblActuals35415[Team 1],DQ$3)+SUMIFS(tblActuals35415[Team 1 Points],tblActuals35415[Team 1],$CU17,tblActuals35415[Team 2],DQ$3)</f>
        <v>0</v>
      </c>
      <c r="DR17" s="56">
        <f>SUMIFS(tblActuals35415[Team 2 Points],tblActuals35415[Team 2],$CU17,tblActuals35415[Team 1],DR$3)+SUMIFS(tblActuals35415[Team 1 Points],tblActuals35415[Team 1],$CU17,tblActuals35415[Team 2],DR$3)</f>
        <v>0</v>
      </c>
      <c r="DS17" s="56">
        <f>SUMIFS(tblActuals35415[Team 2 Points],tblActuals35415[Team 2],$CU17,tblActuals35415[Team 1],DS$3)+SUMIFS(tblActuals35415[Team 1 Points],tblActuals35415[Team 1],$CU17,tblActuals35415[Team 2],DS$3)</f>
        <v>0</v>
      </c>
      <c r="DT17" s="57"/>
      <c r="DU17" s="57"/>
      <c r="DV17" s="57"/>
      <c r="DW17" s="57"/>
      <c r="DX17" s="57"/>
      <c r="DY17" s="57"/>
      <c r="DZ17" s="57"/>
      <c r="EA17" s="57"/>
      <c r="EB17" s="4"/>
      <c r="EC17" s="4" t="s">
        <v>8</v>
      </c>
      <c r="ED17" s="56">
        <f>SUMIFS(tblActuals35415[Team 2 GD],tblActuals35415[Team 2],$CU17,tblActuals35415[Team 1],ED$3)+SUMIFS(tblActuals35415[Team 1 GD],tblActuals35415[Team 1],$CU17,tblActuals35415[Team 2],ED$3)</f>
        <v>0</v>
      </c>
      <c r="EE17" s="56">
        <f>SUMIFS(tblActuals35415[Team 2 GD],tblActuals35415[Team 2],$CU17,tblActuals35415[Team 1],EE$3)+SUMIFS(tblActuals35415[Team 1 GD],tblActuals35415[Team 1],$CU17,tblActuals35415[Team 2],EE$3)</f>
        <v>0</v>
      </c>
      <c r="EF17" s="56">
        <f>SUMIFS(tblActuals35415[Team 2 GD],tblActuals35415[Team 2],$CU17,tblActuals35415[Team 1],EF$3)+SUMIFS(tblActuals35415[Team 1 GD],tblActuals35415[Team 1],$CU17,tblActuals35415[Team 2],EF$3)</f>
        <v>0</v>
      </c>
      <c r="EG17" s="56">
        <f>SUMIFS(tblActuals35415[Team 2 GD],tblActuals35415[Team 2],$CU17,tblActuals35415[Team 1],EG$3)+SUMIFS(tblActuals35415[Team 1 GD],tblActuals35415[Team 1],$CU17,tblActuals35415[Team 2],EG$3)</f>
        <v>0</v>
      </c>
      <c r="EH17" s="56">
        <f>SUMIFS(tblActuals35415[Team 2 GD],tblActuals35415[Team 2],$CU17,tblActuals35415[Team 1],EH$3)+SUMIFS(tblActuals35415[Team 1 GD],tblActuals35415[Team 1],$CU17,tblActuals35415[Team 2],EH$3)</f>
        <v>0</v>
      </c>
      <c r="EI17" s="56">
        <f>SUMIFS(tblActuals35415[Team 2 GD],tblActuals35415[Team 2],$CU17,tblActuals35415[Team 1],EI$3)+SUMIFS(tblActuals35415[Team 1 GD],tblActuals35415[Team 1],$CU17,tblActuals35415[Team 2],EI$3)</f>
        <v>0</v>
      </c>
      <c r="EJ17" s="56">
        <f>SUMIFS(tblActuals35415[Team 2 GD],tblActuals35415[Team 2],$CU17,tblActuals35415[Team 1],EJ$3)+SUMIFS(tblActuals35415[Team 1 GD],tblActuals35415[Team 1],$CU17,tblActuals35415[Team 2],EJ$3)</f>
        <v>0</v>
      </c>
      <c r="EK17" s="56">
        <f>SUMIFS(tblActuals35415[Team 2 GD],tblActuals35415[Team 2],$CU17,tblActuals35415[Team 1],EK$3)+SUMIFS(tblActuals35415[Team 1 GD],tblActuals35415[Team 1],$CU17,tblActuals35415[Team 2],EK$3)</f>
        <v>0</v>
      </c>
      <c r="EL17" s="56">
        <f>SUMIFS(tblActuals35415[Team 2 GD],tblActuals35415[Team 2],$CU17,tblActuals35415[Team 1],EL$3)+SUMIFS(tblActuals35415[Team 1 GD],tblActuals35415[Team 1],$CU17,tblActuals35415[Team 2],EL$3)</f>
        <v>0</v>
      </c>
      <c r="EM17" s="56">
        <f>SUMIFS(tblActuals35415[Team 2 GD],tblActuals35415[Team 2],$CU17,tblActuals35415[Team 1],EM$3)+SUMIFS(tblActuals35415[Team 1 GD],tblActuals35415[Team 1],$CU17,tblActuals35415[Team 2],EM$3)</f>
        <v>0</v>
      </c>
      <c r="EN17" s="56">
        <f>SUMIFS(tblActuals35415[Team 2 GD],tblActuals35415[Team 2],$CU17,tblActuals35415[Team 1],EN$3)+SUMIFS(tblActuals35415[Team 1 GD],tblActuals35415[Team 1],$CU17,tblActuals35415[Team 2],EN$3)</f>
        <v>0</v>
      </c>
      <c r="EO17" s="56">
        <f>SUMIFS(tblActuals35415[Team 2 GD],tblActuals35415[Team 2],$CU17,tblActuals35415[Team 1],EO$3)+SUMIFS(tblActuals35415[Team 1 GD],tblActuals35415[Team 1],$CU17,tblActuals35415[Team 2],EO$3)</f>
        <v>0</v>
      </c>
      <c r="EP17" s="56">
        <f>SUMIFS(tblActuals35415[Team 2 GD],tblActuals35415[Team 2],$CU17,tblActuals35415[Team 1],EP$3)+SUMIFS(tblActuals35415[Team 1 GD],tblActuals35415[Team 1],$CU17,tblActuals35415[Team 2],EP$3)</f>
        <v>0</v>
      </c>
      <c r="EQ17" s="56">
        <f>SUMIFS(tblActuals35415[Team 2 GD],tblActuals35415[Team 2],$CU17,tblActuals35415[Team 1],EQ$3)+SUMIFS(tblActuals35415[Team 1 GD],tblActuals35415[Team 1],$CU17,tblActuals35415[Team 2],EQ$3)</f>
        <v>0</v>
      </c>
      <c r="ER17" s="56">
        <f>SUMIFS(tblActuals35415[Team 2 GD],tblActuals35415[Team 2],$CU17,tblActuals35415[Team 1],ER$3)+SUMIFS(tblActuals35415[Team 1 GD],tblActuals35415[Team 1],$CU17,tblActuals35415[Team 2],ER$3)</f>
        <v>0</v>
      </c>
      <c r="ES17" s="56">
        <f>SUMIFS(tblActuals35415[Team 2 GD],tblActuals35415[Team 2],$CU17,tblActuals35415[Team 1],ES$3)+SUMIFS(tblActuals35415[Team 1 GD],tblActuals35415[Team 1],$CU17,tblActuals35415[Team 2],ES$3)</f>
        <v>0</v>
      </c>
      <c r="ET17" s="56">
        <f>SUMIFS(tblActuals35415[Team 2 GD],tblActuals35415[Team 2],$CU17,tblActuals35415[Team 1],ET$3)+SUMIFS(tblActuals35415[Team 1 GD],tblActuals35415[Team 1],$CU17,tblActuals35415[Team 2],ET$3)</f>
        <v>0</v>
      </c>
      <c r="EU17" s="56">
        <f>SUMIFS(tblActuals35415[Team 2 GD],tblActuals35415[Team 2],$CU17,tblActuals35415[Team 1],EU$3)+SUMIFS(tblActuals35415[Team 1 GD],tblActuals35415[Team 1],$CU17,tblActuals35415[Team 2],EU$3)</f>
        <v>0</v>
      </c>
      <c r="EV17" s="56">
        <f>SUMIFS(tblActuals35415[Team 2 GD],tblActuals35415[Team 2],$CU17,tblActuals35415[Team 1],EV$3)+SUMIFS(tblActuals35415[Team 1 GD],tblActuals35415[Team 1],$CU17,tblActuals35415[Team 2],EV$3)</f>
        <v>0</v>
      </c>
      <c r="EW17" s="56">
        <f>SUMIFS(tblActuals35415[Team 2 GD],tblActuals35415[Team 2],$CU17,tblActuals35415[Team 1],EW$3)+SUMIFS(tblActuals35415[Team 1 GD],tblActuals35415[Team 1],$CU17,tblActuals35415[Team 2],EW$3)</f>
        <v>0</v>
      </c>
      <c r="EX17" s="56">
        <f>SUMIFS(tblActuals35415[Team 2 GD],tblActuals35415[Team 2],$CU17,tblActuals35415[Team 1],EX$3)+SUMIFS(tblActuals35415[Team 1 GD],tblActuals35415[Team 1],$CU17,tblActuals35415[Team 2],EX$3)</f>
        <v>0</v>
      </c>
      <c r="EY17" s="56">
        <f>SUMIFS(tblActuals35415[Team 2 GD],tblActuals35415[Team 2],$CU17,tblActuals35415[Team 1],EY$3)+SUMIFS(tblActuals35415[Team 1 GD],tblActuals35415[Team 1],$CU17,tblActuals35415[Team 2],EY$3)</f>
        <v>0</v>
      </c>
      <c r="EZ17" s="56">
        <f>SUMIFS(tblActuals35415[Team 2 GD],tblActuals35415[Team 2],$CU17,tblActuals35415[Team 1],EZ$3)+SUMIFS(tblActuals35415[Team 1 GD],tblActuals35415[Team 1],$CU17,tblActuals35415[Team 2],EZ$3)</f>
        <v>0</v>
      </c>
      <c r="FA17" s="56">
        <f>SUMIFS(tblActuals35415[Team 2 GD],tblActuals35415[Team 2],$CU17,tblActuals35415[Team 1],FA$3)+SUMIFS(tblActuals35415[Team 1 GD],tblActuals35415[Team 1],$CU17,tblActuals35415[Team 2],FA$3)</f>
        <v>0</v>
      </c>
      <c r="FB17" s="57"/>
      <c r="FC17" s="57"/>
      <c r="FD17" s="57"/>
      <c r="FE17" s="57"/>
      <c r="FF17" s="57"/>
      <c r="FG17" s="57"/>
      <c r="FH17" s="57"/>
      <c r="FI17" s="57"/>
      <c r="FJ17" s="4"/>
      <c r="FK17" s="4" t="s">
        <v>8</v>
      </c>
      <c r="FL17" s="56">
        <f>SUMIFS(tblActuals35415[Team 2 Goals],tblActuals35415[Team 2],$CU17,tblActuals35415[Team 1],FL$3)+SUMIFS(tblActuals35415[Team 1 Goals],tblActuals35415[Team 1],$CU17,tblActuals35415[Team 2],FL$3)</f>
        <v>0</v>
      </c>
      <c r="FM17" s="56">
        <f>SUMIFS(tblActuals35415[Team 2 Goals],tblActuals35415[Team 2],$CU17,tblActuals35415[Team 1],FM$3)+SUMIFS(tblActuals35415[Team 1 Goals],tblActuals35415[Team 1],$CU17,tblActuals35415[Team 2],FM$3)</f>
        <v>0</v>
      </c>
      <c r="FN17" s="56">
        <f>SUMIFS(tblActuals35415[Team 2 Goals],tblActuals35415[Team 2],$CU17,tblActuals35415[Team 1],FN$3)+SUMIFS(tblActuals35415[Team 1 Goals],tblActuals35415[Team 1],$CU17,tblActuals35415[Team 2],FN$3)</f>
        <v>0</v>
      </c>
      <c r="FO17" s="56">
        <f>SUMIFS(tblActuals35415[Team 2 Goals],tblActuals35415[Team 2],$CU17,tblActuals35415[Team 1],FO$3)+SUMIFS(tblActuals35415[Team 1 Goals],tblActuals35415[Team 1],$CU17,tblActuals35415[Team 2],FO$3)</f>
        <v>0</v>
      </c>
      <c r="FP17" s="56">
        <f>SUMIFS(tblActuals35415[Team 2 Goals],tblActuals35415[Team 2],$CU17,tblActuals35415[Team 1],FP$3)+SUMIFS(tblActuals35415[Team 1 Goals],tblActuals35415[Team 1],$CU17,tblActuals35415[Team 2],FP$3)</f>
        <v>0</v>
      </c>
      <c r="FQ17" s="56">
        <f>SUMIFS(tblActuals35415[Team 2 Goals],tblActuals35415[Team 2],$CU17,tblActuals35415[Team 1],FQ$3)+SUMIFS(tblActuals35415[Team 1 Goals],tblActuals35415[Team 1],$CU17,tblActuals35415[Team 2],FQ$3)</f>
        <v>0</v>
      </c>
      <c r="FR17" s="56">
        <f>SUMIFS(tblActuals35415[Team 2 Goals],tblActuals35415[Team 2],$CU17,tblActuals35415[Team 1],FR$3)+SUMIFS(tblActuals35415[Team 1 Goals],tblActuals35415[Team 1],$CU17,tblActuals35415[Team 2],FR$3)</f>
        <v>0</v>
      </c>
      <c r="FS17" s="56">
        <f>SUMIFS(tblActuals35415[Team 2 Goals],tblActuals35415[Team 2],$CU17,tblActuals35415[Team 1],FS$3)+SUMIFS(tblActuals35415[Team 1 Goals],tblActuals35415[Team 1],$CU17,tblActuals35415[Team 2],FS$3)</f>
        <v>0</v>
      </c>
      <c r="FT17" s="56">
        <f>SUMIFS(tblActuals35415[Team 2 Goals],tblActuals35415[Team 2],$CU17,tblActuals35415[Team 1],FT$3)+SUMIFS(tblActuals35415[Team 1 Goals],tblActuals35415[Team 1],$CU17,tblActuals35415[Team 2],FT$3)</f>
        <v>0</v>
      </c>
      <c r="FU17" s="56">
        <f>SUMIFS(tblActuals35415[Team 2 Goals],tblActuals35415[Team 2],$CU17,tblActuals35415[Team 1],FU$3)+SUMIFS(tblActuals35415[Team 1 Goals],tblActuals35415[Team 1],$CU17,tblActuals35415[Team 2],FU$3)</f>
        <v>0</v>
      </c>
      <c r="FV17" s="56">
        <f>SUMIFS(tblActuals35415[Team 2 Goals],tblActuals35415[Team 2],$CU17,tblActuals35415[Team 1],FV$3)+SUMIFS(tblActuals35415[Team 1 Goals],tblActuals35415[Team 1],$CU17,tblActuals35415[Team 2],FV$3)</f>
        <v>0</v>
      </c>
      <c r="FW17" s="56">
        <f>SUMIFS(tblActuals35415[Team 2 Goals],tblActuals35415[Team 2],$CU17,tblActuals35415[Team 1],FW$3)+SUMIFS(tblActuals35415[Team 1 Goals],tblActuals35415[Team 1],$CU17,tblActuals35415[Team 2],FW$3)</f>
        <v>0</v>
      </c>
      <c r="FX17" s="56">
        <f>SUMIFS(tblActuals35415[Team 2 Goals],tblActuals35415[Team 2],$CU17,tblActuals35415[Team 1],FX$3)+SUMIFS(tblActuals35415[Team 1 Goals],tblActuals35415[Team 1],$CU17,tblActuals35415[Team 2],FX$3)</f>
        <v>0</v>
      </c>
      <c r="FY17" s="56">
        <f>SUMIFS(tblActuals35415[Team 2 Goals],tblActuals35415[Team 2],$CU17,tblActuals35415[Team 1],FY$3)+SUMIFS(tblActuals35415[Team 1 Goals],tblActuals35415[Team 1],$CU17,tblActuals35415[Team 2],FY$3)</f>
        <v>0</v>
      </c>
      <c r="FZ17" s="56">
        <f>SUMIFS(tblActuals35415[Team 2 Goals],tblActuals35415[Team 2],$CU17,tblActuals35415[Team 1],FZ$3)+SUMIFS(tblActuals35415[Team 1 Goals],tblActuals35415[Team 1],$CU17,tblActuals35415[Team 2],FZ$3)</f>
        <v>0</v>
      </c>
      <c r="GA17" s="56">
        <f>SUMIFS(tblActuals35415[Team 2 Goals],tblActuals35415[Team 2],$CU17,tblActuals35415[Team 1],GA$3)+SUMIFS(tblActuals35415[Team 1 Goals],tblActuals35415[Team 1],$CU17,tblActuals35415[Team 2],GA$3)</f>
        <v>0</v>
      </c>
      <c r="GB17" s="56">
        <f>SUMIFS(tblActuals35415[Team 2 Goals],tblActuals35415[Team 2],$CU17,tblActuals35415[Team 1],GB$3)+SUMIFS(tblActuals35415[Team 1 Goals],tblActuals35415[Team 1],$CU17,tblActuals35415[Team 2],GB$3)</f>
        <v>0</v>
      </c>
      <c r="GC17" s="56">
        <f>SUMIFS(tblActuals35415[Team 2 Goals],tblActuals35415[Team 2],$CU17,tblActuals35415[Team 1],GC$3)+SUMIFS(tblActuals35415[Team 1 Goals],tblActuals35415[Team 1],$CU17,tblActuals35415[Team 2],GC$3)</f>
        <v>0</v>
      </c>
      <c r="GD17" s="56">
        <f>SUMIFS(tblActuals35415[Team 2 Goals],tblActuals35415[Team 2],$CU17,tblActuals35415[Team 1],GD$3)+SUMIFS(tblActuals35415[Team 1 Goals],tblActuals35415[Team 1],$CU17,tblActuals35415[Team 2],GD$3)</f>
        <v>0</v>
      </c>
      <c r="GE17" s="56">
        <f>SUMIFS(tblActuals35415[Team 2 Goals],tblActuals35415[Team 2],$CU17,tblActuals35415[Team 1],GE$3)+SUMIFS(tblActuals35415[Team 1 Goals],tblActuals35415[Team 1],$CU17,tblActuals35415[Team 2],GE$3)</f>
        <v>0</v>
      </c>
      <c r="GF17" s="56">
        <f>SUMIFS(tblActuals35415[Team 2 Goals],tblActuals35415[Team 2],$CU17,tblActuals35415[Team 1],GF$3)+SUMIFS(tblActuals35415[Team 1 Goals],tblActuals35415[Team 1],$CU17,tblActuals35415[Team 2],GF$3)</f>
        <v>0</v>
      </c>
      <c r="GG17" s="56">
        <f>SUMIFS(tblActuals35415[Team 2 Goals],tblActuals35415[Team 2],$CU17,tblActuals35415[Team 1],GG$3)+SUMIFS(tblActuals35415[Team 1 Goals],tblActuals35415[Team 1],$CU17,tblActuals35415[Team 2],GG$3)</f>
        <v>0</v>
      </c>
      <c r="GH17" s="56">
        <f>SUMIFS(tblActuals35415[Team 2 Goals],tblActuals35415[Team 2],$CU17,tblActuals35415[Team 1],GH$3)+SUMIFS(tblActuals35415[Team 1 Goals],tblActuals35415[Team 1],$CU17,tblActuals35415[Team 2],GH$3)</f>
        <v>0</v>
      </c>
      <c r="GI17" s="56">
        <f>SUMIFS(tblActuals35415[Team 2 Goals],tblActuals35415[Team 2],$CU17,tblActuals35415[Team 1],GI$3)+SUMIFS(tblActuals35415[Team 1 Goals],tblActuals35415[Team 1],$CU17,tblActuals35415[Team 2],GI$3)</f>
        <v>0</v>
      </c>
      <c r="GJ17" s="57"/>
      <c r="GK17" s="57"/>
      <c r="GL17" s="37"/>
      <c r="GM17" s="37"/>
      <c r="GN17" s="37"/>
      <c r="GO17" s="37"/>
      <c r="GP17" s="37"/>
      <c r="GQ17" s="37"/>
      <c r="GR17" s="75"/>
      <c r="GS17" s="156"/>
      <c r="GT17" s="156"/>
      <c r="GU17" s="75"/>
      <c r="GV17" s="75"/>
      <c r="GW17" s="75"/>
      <c r="GX17" s="75"/>
      <c r="GY17" s="75"/>
      <c r="GZ17" s="75"/>
      <c r="HB17" s="4" t="str">
        <f t="shared" si="12"/>
        <v>BCEF</v>
      </c>
      <c r="HC17" s="45"/>
      <c r="HD17" s="44" t="s">
        <v>5</v>
      </c>
      <c r="HE17" s="44" t="s">
        <v>6</v>
      </c>
      <c r="HF17" s="45"/>
      <c r="HG17" s="44" t="s">
        <v>12</v>
      </c>
      <c r="HH17" s="44" t="s">
        <v>45</v>
      </c>
      <c r="HI17" s="178"/>
      <c r="HJ17" s="45" t="s">
        <v>154</v>
      </c>
      <c r="HK17" s="45" t="s">
        <v>153</v>
      </c>
      <c r="HL17" s="45" t="s">
        <v>152</v>
      </c>
      <c r="HM17" s="45" t="s">
        <v>151</v>
      </c>
    </row>
    <row r="18" spans="1:221" s="11" customFormat="1" ht="30" customHeight="1" x14ac:dyDescent="0.25">
      <c r="A18" s="20"/>
      <c r="B18" s="122">
        <v>15</v>
      </c>
      <c r="C18" s="122" t="s">
        <v>5</v>
      </c>
      <c r="D18" s="123">
        <v>45462</v>
      </c>
      <c r="E18" s="122" t="s">
        <v>84</v>
      </c>
      <c r="F18" s="124">
        <v>0.625</v>
      </c>
      <c r="G18" s="125">
        <f t="shared" si="11"/>
        <v>45462.375</v>
      </c>
      <c r="H18" s="122" t="s">
        <v>103</v>
      </c>
      <c r="I18" s="126"/>
      <c r="J18" s="118"/>
      <c r="K18" s="118"/>
      <c r="L18" s="174">
        <f>IF(I18="",0,IFERROR(IF(SCORING.RULES!$C$8="No",1,((VLOOKUP($B18,ACTUALS!$B$4:$L$100,7,FALSE)=$H18)+(VLOOKUP($B18,ACTUALS!$B$4:$L$100,7,FALSE)=S18)))*(M18+N18+O18+P18+Q18),0))+$R18</f>
        <v>0</v>
      </c>
      <c r="M18" s="168">
        <f>IFERROR(IF($B18="","",IF(U18=INDEX(ACTUALS!$AA$4:$AA$100,MATCH($B18,ACTUALS!$B$4:$B$100,0),1),CorrectScore,0)),0)</f>
        <v>0</v>
      </c>
      <c r="N18" s="157" t="str">
        <f>IFERROR(IF(I18="","",IF(INDEX(ACTUALS!$AB$4:$AB$100,MATCH($B18,ACTUALS!$B$4:$B$100,0),1)=(AB18+AC18+AH18+AI18),CorrectNumberofGoals,0)),0)</f>
        <v/>
      </c>
      <c r="O18" s="157"/>
      <c r="P18" s="157">
        <f>IFERROR(IF(B18="","",IF(INDEX(ACTUALS!$L$4:$L$100,MATCH($B18,ACTUALS!$B$4:$B$100,0),1)=W18,CorrectResult,0)),0)</f>
        <v>3</v>
      </c>
      <c r="Q18" s="157"/>
      <c r="R18" s="157"/>
      <c r="S18" s="157" t="str">
        <f t="shared" si="0"/>
        <v/>
      </c>
      <c r="T18" s="157"/>
      <c r="U18" s="157" t="str">
        <f t="shared" si="1"/>
        <v/>
      </c>
      <c r="V18" s="157" t="str">
        <f t="shared" si="2"/>
        <v/>
      </c>
      <c r="W18" s="119" t="str">
        <f>IF(tblActuals35415[[#This Row],[SCORE]]="","",IF(AB18=AC18,"Draw",IF(AB18&gt;AC18,X18,Y18)))</f>
        <v/>
      </c>
      <c r="X18" s="120" t="str">
        <f>IF(tblActuals35415[[#This Row],[TEAMS]]="","",LEFT(H18,FIND(" -",H18,1)-1))</f>
        <v>Croatia</v>
      </c>
      <c r="Y18" s="120" t="str">
        <f>IF(tblActuals35415[[#This Row],[TEAMS]]="","",MID(H18,FIND("-",H18,1)+2,LEN(H18)-FIND("-",H18,1)+2))</f>
        <v>Albania</v>
      </c>
      <c r="Z18" s="120" t="str">
        <f>IF(tblActuals35415[[#This Row],[Team 1 Goals]]&gt;tblActuals35415[[#This Row],[Team 2 Goals]],tblActuals35415[[#This Row],[Team 1]],IF(tblActuals35415[[#This Row],[Team 2 Goals]]&gt;tblActuals35415[[#This Row],[Team 1 Goals]],tblActuals35415[[#This Row],[Team 2]],""))</f>
        <v/>
      </c>
      <c r="AA18" s="120" t="str">
        <f>IF(tblActuals35415[[#This Row],[Winner]]=tblActuals35415[[#This Row],[Team 1]],tblActuals35415[[#This Row],[Team 2]],IF(tblActuals35415[[#This Row],[Winner]]=tblActuals35415[[#This Row],[Team 2]],tblActuals35415[[#This Row],[Team 1]],""))</f>
        <v/>
      </c>
      <c r="AB18" s="120" t="str">
        <f>IF(tblActuals35415[[#This Row],[SCORE]]="","",LEFT(I18,FIND(":",I18,1)-1)*1)</f>
        <v/>
      </c>
      <c r="AC18" s="120" t="str">
        <f>IF(tblActuals35415[[#This Row],[SCORE]]="","",MID(I18,FIND(":",I18,1)+1,LEN(I18)-FIND(":",I18,1)+1)*1)</f>
        <v/>
      </c>
      <c r="AD18" s="120" t="str">
        <f>IF(OR(tblActuals35415[[#This Row],[Team 1 Goals]]="",tblActuals35415[[#This Row],[Team 2 Goals]]=""),"",tblActuals35415[[#This Row],[Team 1 Goals]]-tblActuals35415[[#This Row],[Team 2 Goals]])</f>
        <v/>
      </c>
      <c r="AE18" s="120" t="str">
        <f>IF(OR(tblActuals35415[[#This Row],[Team 1 Goals]]="",tblActuals35415[[#This Row],[Team 2 Goals]]=""),"",tblActuals35415[[#This Row],[Team 2 Goals]]-tblActuals35415[[#This Row],[Team 1 Goals]])</f>
        <v/>
      </c>
      <c r="AF18" s="120" t="str">
        <f>IF(tblActuals35415[[#This Row],[SCORE]]="","",IF(tblActuals35415[[#This Row],[WINNER / RESULT]]="Draw",1,IF(tblActuals35415[[#This Row],[WINNER / RESULT]]=tblActuals35415[[#This Row],[Team 1]],3,0)))</f>
        <v/>
      </c>
      <c r="AG18" s="120" t="str">
        <f>IF(tblActuals35415[[#This Row],[SCORE]]="","",IF(tblActuals35415[[#This Row],[WINNER / RESULT]]="Draw",1,IF(tblActuals35415[[#This Row],[WINNER / RESULT]]=tblActuals35415[[#This Row],[Team 2]],3,0)))</f>
        <v/>
      </c>
      <c r="AH18" s="121"/>
      <c r="AI18" s="121"/>
      <c r="AJ18" s="121"/>
      <c r="AK18" s="121"/>
      <c r="AL18" s="120" t="e">
        <f>tblActuals35415[[#This Row],[Team 1 Goals]]+tblActuals35415[[#This Row],[Team 1 ET Goals]]&amp;":"&amp;tblActuals35415[[#This Row],[Team 2 Goals]]+tblActuals35415[[#This Row],[Team 2 ET Goals]]</f>
        <v>#VALUE!</v>
      </c>
      <c r="AM18" s="120" t="e">
        <f>+tblActuals35415[[#This Row],[Team 1 Goals]]+tblActuals35415[[#This Row],[Team 2 Goals]]</f>
        <v>#VALUE!</v>
      </c>
      <c r="AN18" s="161">
        <f t="shared" si="3"/>
        <v>45462</v>
      </c>
      <c r="AT18" s="77" t="s">
        <v>6</v>
      </c>
      <c r="AU18" s="136">
        <v>1</v>
      </c>
      <c r="AV18" s="137" t="str">
        <f ca="1">IFERROR(INDEX(BD:BD,MATCH("1"&amp;AT18,BN:BN,0),1),"")</f>
        <v>Denmark</v>
      </c>
      <c r="AW18" s="137" t="str">
        <f ca="1">IF(AV18="","",VLOOKUP(AV18,BD:BI,2,FALSE)&amp;"-"&amp;VLOOKUP(AV18,BD:BI,3,FALSE)&amp;"-"&amp;VLOOKUP(AV18,BD:BI,4,FALSE))</f>
        <v>0-0-0</v>
      </c>
      <c r="AX18" s="137">
        <f ca="1">IF(AV18="","",VLOOKUP(AV18,BD:BK,8,FALSE))</f>
        <v>0</v>
      </c>
      <c r="AY18" s="138">
        <f ca="1">IF(AV18="","",VLOOKUP(AV18,BD:BN,5,FALSE))</f>
        <v>0</v>
      </c>
      <c r="AZ18" s="75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 t="str">
        <f t="shared" si="4"/>
        <v/>
      </c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U18" s="4" t="s">
        <v>129</v>
      </c>
      <c r="CV18" s="56">
        <f>SUMIFS(tblActuals35415[Team 2 Points],tblActuals35415[Team 2],$CU18,tblActuals35415[Team 1],CV$3)+SUMIFS(tblActuals35415[Team 1 Points],tblActuals35415[Team 1],$CU18,tblActuals35415[Team 2],CV$3)</f>
        <v>0</v>
      </c>
      <c r="CW18" s="56">
        <f>SUMIFS(tblActuals35415[Team 2 Points],tblActuals35415[Team 2],$CU18,tblActuals35415[Team 1],CW$3)+SUMIFS(tblActuals35415[Team 1 Points],tblActuals35415[Team 1],$CU18,tblActuals35415[Team 2],CW$3)</f>
        <v>0</v>
      </c>
      <c r="CX18" s="56">
        <f>SUMIFS(tblActuals35415[Team 2 Points],tblActuals35415[Team 2],$CU18,tblActuals35415[Team 1],CX$3)+SUMIFS(tblActuals35415[Team 1 Points],tblActuals35415[Team 1],$CU18,tblActuals35415[Team 2],CX$3)</f>
        <v>0</v>
      </c>
      <c r="CY18" s="56">
        <f>SUMIFS(tblActuals35415[Team 2 Points],tblActuals35415[Team 2],$CU18,tblActuals35415[Team 1],CY$3)+SUMIFS(tblActuals35415[Team 1 Points],tblActuals35415[Team 1],$CU18,tblActuals35415[Team 2],CY$3)</f>
        <v>0</v>
      </c>
      <c r="CZ18" s="56">
        <f>SUMIFS(tblActuals35415[Team 2 Points],tblActuals35415[Team 2],$CU18,tblActuals35415[Team 1],CZ$3)+SUMIFS(tblActuals35415[Team 1 Points],tblActuals35415[Team 1],$CU18,tblActuals35415[Team 2],CZ$3)</f>
        <v>0</v>
      </c>
      <c r="DA18" s="56">
        <f>SUMIFS(tblActuals35415[Team 2 Points],tblActuals35415[Team 2],$CU18,tblActuals35415[Team 1],DA$3)+SUMIFS(tblActuals35415[Team 1 Points],tblActuals35415[Team 1],$CU18,tblActuals35415[Team 2],DA$3)</f>
        <v>0</v>
      </c>
      <c r="DB18" s="56">
        <f>SUMIFS(tblActuals35415[Team 2 Points],tblActuals35415[Team 2],$CU18,tblActuals35415[Team 1],DB$3)+SUMIFS(tblActuals35415[Team 1 Points],tblActuals35415[Team 1],$CU18,tblActuals35415[Team 2],DB$3)</f>
        <v>0</v>
      </c>
      <c r="DC18" s="56">
        <f>SUMIFS(tblActuals35415[Team 2 Points],tblActuals35415[Team 2],$CU18,tblActuals35415[Team 1],DC$3)+SUMIFS(tblActuals35415[Team 1 Points],tblActuals35415[Team 1],$CU18,tblActuals35415[Team 2],DC$3)</f>
        <v>0</v>
      </c>
      <c r="DD18" s="56">
        <f>SUMIFS(tblActuals35415[Team 2 Points],tblActuals35415[Team 2],$CU18,tblActuals35415[Team 1],DD$3)+SUMIFS(tblActuals35415[Team 1 Points],tblActuals35415[Team 1],$CU18,tblActuals35415[Team 2],DD$3)</f>
        <v>0</v>
      </c>
      <c r="DE18" s="56">
        <f>SUMIFS(tblActuals35415[Team 2 Points],tblActuals35415[Team 2],$CU18,tblActuals35415[Team 1],DE$3)+SUMIFS(tblActuals35415[Team 1 Points],tblActuals35415[Team 1],$CU18,tblActuals35415[Team 2],DE$3)</f>
        <v>0</v>
      </c>
      <c r="DF18" s="56">
        <f>SUMIFS(tblActuals35415[Team 2 Points],tblActuals35415[Team 2],$CU18,tblActuals35415[Team 1],DF$3)+SUMIFS(tblActuals35415[Team 1 Points],tblActuals35415[Team 1],$CU18,tblActuals35415[Team 2],DF$3)</f>
        <v>0</v>
      </c>
      <c r="DG18" s="56">
        <f>SUMIFS(tblActuals35415[Team 2 Points],tblActuals35415[Team 2],$CU18,tblActuals35415[Team 1],DG$3)+SUMIFS(tblActuals35415[Team 1 Points],tblActuals35415[Team 1],$CU18,tblActuals35415[Team 2],DG$3)</f>
        <v>0</v>
      </c>
      <c r="DH18" s="56">
        <f>SUMIFS(tblActuals35415[Team 2 Points],tblActuals35415[Team 2],$CU18,tblActuals35415[Team 1],DH$3)+SUMIFS(tblActuals35415[Team 1 Points],tblActuals35415[Team 1],$CU18,tblActuals35415[Team 2],DH$3)</f>
        <v>0</v>
      </c>
      <c r="DI18" s="56">
        <f>SUMIFS(tblActuals35415[Team 2 Points],tblActuals35415[Team 2],$CU18,tblActuals35415[Team 1],DI$3)+SUMIFS(tblActuals35415[Team 1 Points],tblActuals35415[Team 1],$CU18,tblActuals35415[Team 2],DI$3)</f>
        <v>0</v>
      </c>
      <c r="DJ18" s="56">
        <f>SUMIFS(tblActuals35415[Team 2 Points],tblActuals35415[Team 2],$CU18,tblActuals35415[Team 1],DJ$3)+SUMIFS(tblActuals35415[Team 1 Points],tblActuals35415[Team 1],$CU18,tblActuals35415[Team 2],DJ$3)</f>
        <v>0</v>
      </c>
      <c r="DK18" s="56">
        <f>SUMIFS(tblActuals35415[Team 2 Points],tblActuals35415[Team 2],$CU18,tblActuals35415[Team 1],DK$3)+SUMIFS(tblActuals35415[Team 1 Points],tblActuals35415[Team 1],$CU18,tblActuals35415[Team 2],DK$3)</f>
        <v>0</v>
      </c>
      <c r="DL18" s="56">
        <f>SUMIFS(tblActuals35415[Team 2 Points],tblActuals35415[Team 2],$CU18,tblActuals35415[Team 1],DL$3)+SUMIFS(tblActuals35415[Team 1 Points],tblActuals35415[Team 1],$CU18,tblActuals35415[Team 2],DL$3)</f>
        <v>0</v>
      </c>
      <c r="DM18" s="56">
        <f>SUMIFS(tblActuals35415[Team 2 Points],tblActuals35415[Team 2],$CU18,tblActuals35415[Team 1],DM$3)+SUMIFS(tblActuals35415[Team 1 Points],tblActuals35415[Team 1],$CU18,tblActuals35415[Team 2],DM$3)</f>
        <v>0</v>
      </c>
      <c r="DN18" s="56">
        <f>SUMIFS(tblActuals35415[Team 2 Points],tblActuals35415[Team 2],$CU18,tblActuals35415[Team 1],DN$3)+SUMIFS(tblActuals35415[Team 1 Points],tblActuals35415[Team 1],$CU18,tblActuals35415[Team 2],DN$3)</f>
        <v>0</v>
      </c>
      <c r="DO18" s="56">
        <f>SUMIFS(tblActuals35415[Team 2 Points],tblActuals35415[Team 2],$CU18,tblActuals35415[Team 1],DO$3)+SUMIFS(tblActuals35415[Team 1 Points],tblActuals35415[Team 1],$CU18,tblActuals35415[Team 2],DO$3)</f>
        <v>0</v>
      </c>
      <c r="DP18" s="56">
        <f>SUMIFS(tblActuals35415[Team 2 Points],tblActuals35415[Team 2],$CU18,tblActuals35415[Team 1],DP$3)+SUMIFS(tblActuals35415[Team 1 Points],tblActuals35415[Team 1],$CU18,tblActuals35415[Team 2],DP$3)</f>
        <v>0</v>
      </c>
      <c r="DQ18" s="56">
        <f>SUMIFS(tblActuals35415[Team 2 Points],tblActuals35415[Team 2],$CU18,tblActuals35415[Team 1],DQ$3)+SUMIFS(tblActuals35415[Team 1 Points],tblActuals35415[Team 1],$CU18,tblActuals35415[Team 2],DQ$3)</f>
        <v>0</v>
      </c>
      <c r="DR18" s="56">
        <f>SUMIFS(tblActuals35415[Team 2 Points],tblActuals35415[Team 2],$CU18,tblActuals35415[Team 1],DR$3)+SUMIFS(tblActuals35415[Team 1 Points],tblActuals35415[Team 1],$CU18,tblActuals35415[Team 2],DR$3)</f>
        <v>0</v>
      </c>
      <c r="DS18" s="56">
        <f>SUMIFS(tblActuals35415[Team 2 Points],tblActuals35415[Team 2],$CU18,tblActuals35415[Team 1],DS$3)+SUMIFS(tblActuals35415[Team 1 Points],tblActuals35415[Team 1],$CU18,tblActuals35415[Team 2],DS$3)</f>
        <v>0</v>
      </c>
      <c r="DT18" s="57"/>
      <c r="DU18" s="57"/>
      <c r="DV18" s="57"/>
      <c r="DW18" s="57"/>
      <c r="DX18" s="57"/>
      <c r="DY18" s="57"/>
      <c r="DZ18" s="57"/>
      <c r="EA18" s="57"/>
      <c r="EB18" s="4"/>
      <c r="EC18" s="4" t="s">
        <v>129</v>
      </c>
      <c r="ED18" s="56">
        <f>SUMIFS(tblActuals35415[Team 2 GD],tblActuals35415[Team 2],$CU18,tblActuals35415[Team 1],ED$3)+SUMIFS(tblActuals35415[Team 1 GD],tblActuals35415[Team 1],$CU18,tblActuals35415[Team 2],ED$3)</f>
        <v>0</v>
      </c>
      <c r="EE18" s="56">
        <f>SUMIFS(tblActuals35415[Team 2 GD],tblActuals35415[Team 2],$CU18,tblActuals35415[Team 1],EE$3)+SUMIFS(tblActuals35415[Team 1 GD],tblActuals35415[Team 1],$CU18,tblActuals35415[Team 2],EE$3)</f>
        <v>0</v>
      </c>
      <c r="EF18" s="56">
        <f>SUMIFS(tblActuals35415[Team 2 GD],tblActuals35415[Team 2],$CU18,tblActuals35415[Team 1],EF$3)+SUMIFS(tblActuals35415[Team 1 GD],tblActuals35415[Team 1],$CU18,tblActuals35415[Team 2],EF$3)</f>
        <v>0</v>
      </c>
      <c r="EG18" s="56">
        <f>SUMIFS(tblActuals35415[Team 2 GD],tblActuals35415[Team 2],$CU18,tblActuals35415[Team 1],EG$3)+SUMIFS(tblActuals35415[Team 1 GD],tblActuals35415[Team 1],$CU18,tblActuals35415[Team 2],EG$3)</f>
        <v>0</v>
      </c>
      <c r="EH18" s="56">
        <f>SUMIFS(tblActuals35415[Team 2 GD],tblActuals35415[Team 2],$CU18,tblActuals35415[Team 1],EH$3)+SUMIFS(tblActuals35415[Team 1 GD],tblActuals35415[Team 1],$CU18,tblActuals35415[Team 2],EH$3)</f>
        <v>0</v>
      </c>
      <c r="EI18" s="56">
        <f>SUMIFS(tblActuals35415[Team 2 GD],tblActuals35415[Team 2],$CU18,tblActuals35415[Team 1],EI$3)+SUMIFS(tblActuals35415[Team 1 GD],tblActuals35415[Team 1],$CU18,tblActuals35415[Team 2],EI$3)</f>
        <v>0</v>
      </c>
      <c r="EJ18" s="56">
        <f>SUMIFS(tblActuals35415[Team 2 GD],tblActuals35415[Team 2],$CU18,tblActuals35415[Team 1],EJ$3)+SUMIFS(tblActuals35415[Team 1 GD],tblActuals35415[Team 1],$CU18,tblActuals35415[Team 2],EJ$3)</f>
        <v>0</v>
      </c>
      <c r="EK18" s="56">
        <f>SUMIFS(tblActuals35415[Team 2 GD],tblActuals35415[Team 2],$CU18,tblActuals35415[Team 1],EK$3)+SUMIFS(tblActuals35415[Team 1 GD],tblActuals35415[Team 1],$CU18,tblActuals35415[Team 2],EK$3)</f>
        <v>0</v>
      </c>
      <c r="EL18" s="56">
        <f>SUMIFS(tblActuals35415[Team 2 GD],tblActuals35415[Team 2],$CU18,tblActuals35415[Team 1],EL$3)+SUMIFS(tblActuals35415[Team 1 GD],tblActuals35415[Team 1],$CU18,tblActuals35415[Team 2],EL$3)</f>
        <v>0</v>
      </c>
      <c r="EM18" s="56">
        <f>SUMIFS(tblActuals35415[Team 2 GD],tblActuals35415[Team 2],$CU18,tblActuals35415[Team 1],EM$3)+SUMIFS(tblActuals35415[Team 1 GD],tblActuals35415[Team 1],$CU18,tblActuals35415[Team 2],EM$3)</f>
        <v>0</v>
      </c>
      <c r="EN18" s="56">
        <f>SUMIFS(tblActuals35415[Team 2 GD],tblActuals35415[Team 2],$CU18,tblActuals35415[Team 1],EN$3)+SUMIFS(tblActuals35415[Team 1 GD],tblActuals35415[Team 1],$CU18,tblActuals35415[Team 2],EN$3)</f>
        <v>0</v>
      </c>
      <c r="EO18" s="56">
        <f>SUMIFS(tblActuals35415[Team 2 GD],tblActuals35415[Team 2],$CU18,tblActuals35415[Team 1],EO$3)+SUMIFS(tblActuals35415[Team 1 GD],tblActuals35415[Team 1],$CU18,tblActuals35415[Team 2],EO$3)</f>
        <v>0</v>
      </c>
      <c r="EP18" s="56">
        <f>SUMIFS(tblActuals35415[Team 2 GD],tblActuals35415[Team 2],$CU18,tblActuals35415[Team 1],EP$3)+SUMIFS(tblActuals35415[Team 1 GD],tblActuals35415[Team 1],$CU18,tblActuals35415[Team 2],EP$3)</f>
        <v>0</v>
      </c>
      <c r="EQ18" s="56">
        <f>SUMIFS(tblActuals35415[Team 2 GD],tblActuals35415[Team 2],$CU18,tblActuals35415[Team 1],EQ$3)+SUMIFS(tblActuals35415[Team 1 GD],tblActuals35415[Team 1],$CU18,tblActuals35415[Team 2],EQ$3)</f>
        <v>0</v>
      </c>
      <c r="ER18" s="56">
        <f>SUMIFS(tblActuals35415[Team 2 GD],tblActuals35415[Team 2],$CU18,tblActuals35415[Team 1],ER$3)+SUMIFS(tblActuals35415[Team 1 GD],tblActuals35415[Team 1],$CU18,tblActuals35415[Team 2],ER$3)</f>
        <v>0</v>
      </c>
      <c r="ES18" s="56">
        <f>SUMIFS(tblActuals35415[Team 2 GD],tblActuals35415[Team 2],$CU18,tblActuals35415[Team 1],ES$3)+SUMIFS(tblActuals35415[Team 1 GD],tblActuals35415[Team 1],$CU18,tblActuals35415[Team 2],ES$3)</f>
        <v>0</v>
      </c>
      <c r="ET18" s="56">
        <f>SUMIFS(tblActuals35415[Team 2 GD],tblActuals35415[Team 2],$CU18,tblActuals35415[Team 1],ET$3)+SUMIFS(tblActuals35415[Team 1 GD],tblActuals35415[Team 1],$CU18,tblActuals35415[Team 2],ET$3)</f>
        <v>0</v>
      </c>
      <c r="EU18" s="56">
        <f>SUMIFS(tblActuals35415[Team 2 GD],tblActuals35415[Team 2],$CU18,tblActuals35415[Team 1],EU$3)+SUMIFS(tblActuals35415[Team 1 GD],tblActuals35415[Team 1],$CU18,tblActuals35415[Team 2],EU$3)</f>
        <v>0</v>
      </c>
      <c r="EV18" s="56">
        <f>SUMIFS(tblActuals35415[Team 2 GD],tblActuals35415[Team 2],$CU18,tblActuals35415[Team 1],EV$3)+SUMIFS(tblActuals35415[Team 1 GD],tblActuals35415[Team 1],$CU18,tblActuals35415[Team 2],EV$3)</f>
        <v>0</v>
      </c>
      <c r="EW18" s="56">
        <f>SUMIFS(tblActuals35415[Team 2 GD],tblActuals35415[Team 2],$CU18,tblActuals35415[Team 1],EW$3)+SUMIFS(tblActuals35415[Team 1 GD],tblActuals35415[Team 1],$CU18,tblActuals35415[Team 2],EW$3)</f>
        <v>0</v>
      </c>
      <c r="EX18" s="56">
        <f>SUMIFS(tblActuals35415[Team 2 GD],tblActuals35415[Team 2],$CU18,tblActuals35415[Team 1],EX$3)+SUMIFS(tblActuals35415[Team 1 GD],tblActuals35415[Team 1],$CU18,tblActuals35415[Team 2],EX$3)</f>
        <v>0</v>
      </c>
      <c r="EY18" s="56">
        <f>SUMIFS(tblActuals35415[Team 2 GD],tblActuals35415[Team 2],$CU18,tblActuals35415[Team 1],EY$3)+SUMIFS(tblActuals35415[Team 1 GD],tblActuals35415[Team 1],$CU18,tblActuals35415[Team 2],EY$3)</f>
        <v>0</v>
      </c>
      <c r="EZ18" s="56">
        <f>SUMIFS(tblActuals35415[Team 2 GD],tblActuals35415[Team 2],$CU18,tblActuals35415[Team 1],EZ$3)+SUMIFS(tblActuals35415[Team 1 GD],tblActuals35415[Team 1],$CU18,tblActuals35415[Team 2],EZ$3)</f>
        <v>0</v>
      </c>
      <c r="FA18" s="56">
        <f>SUMIFS(tblActuals35415[Team 2 GD],tblActuals35415[Team 2],$CU18,tblActuals35415[Team 1],FA$3)+SUMIFS(tblActuals35415[Team 1 GD],tblActuals35415[Team 1],$CU18,tblActuals35415[Team 2],FA$3)</f>
        <v>0</v>
      </c>
      <c r="FB18" s="57"/>
      <c r="FC18" s="57"/>
      <c r="FD18" s="57"/>
      <c r="FE18" s="57"/>
      <c r="FF18" s="57"/>
      <c r="FG18" s="57"/>
      <c r="FH18" s="57"/>
      <c r="FI18" s="57"/>
      <c r="FJ18" s="4"/>
      <c r="FK18" s="4" t="s">
        <v>129</v>
      </c>
      <c r="FL18" s="56">
        <f>SUMIFS(tblActuals35415[Team 2 Goals],tblActuals35415[Team 2],$CU18,tblActuals35415[Team 1],FL$3)+SUMIFS(tblActuals35415[Team 1 Goals],tblActuals35415[Team 1],$CU18,tblActuals35415[Team 2],FL$3)</f>
        <v>0</v>
      </c>
      <c r="FM18" s="56">
        <f>SUMIFS(tblActuals35415[Team 2 Goals],tblActuals35415[Team 2],$CU18,tblActuals35415[Team 1],FM$3)+SUMIFS(tblActuals35415[Team 1 Goals],tblActuals35415[Team 1],$CU18,tblActuals35415[Team 2],FM$3)</f>
        <v>0</v>
      </c>
      <c r="FN18" s="56">
        <f>SUMIFS(tblActuals35415[Team 2 Goals],tblActuals35415[Team 2],$CU18,tblActuals35415[Team 1],FN$3)+SUMIFS(tblActuals35415[Team 1 Goals],tblActuals35415[Team 1],$CU18,tblActuals35415[Team 2],FN$3)</f>
        <v>0</v>
      </c>
      <c r="FO18" s="56">
        <f>SUMIFS(tblActuals35415[Team 2 Goals],tblActuals35415[Team 2],$CU18,tblActuals35415[Team 1],FO$3)+SUMIFS(tblActuals35415[Team 1 Goals],tblActuals35415[Team 1],$CU18,tblActuals35415[Team 2],FO$3)</f>
        <v>0</v>
      </c>
      <c r="FP18" s="56">
        <f>SUMIFS(tblActuals35415[Team 2 Goals],tblActuals35415[Team 2],$CU18,tblActuals35415[Team 1],FP$3)+SUMIFS(tblActuals35415[Team 1 Goals],tblActuals35415[Team 1],$CU18,tblActuals35415[Team 2],FP$3)</f>
        <v>0</v>
      </c>
      <c r="FQ18" s="56">
        <f>SUMIFS(tblActuals35415[Team 2 Goals],tblActuals35415[Team 2],$CU18,tblActuals35415[Team 1],FQ$3)+SUMIFS(tblActuals35415[Team 1 Goals],tblActuals35415[Team 1],$CU18,tblActuals35415[Team 2],FQ$3)</f>
        <v>0</v>
      </c>
      <c r="FR18" s="56">
        <f>SUMIFS(tblActuals35415[Team 2 Goals],tblActuals35415[Team 2],$CU18,tblActuals35415[Team 1],FR$3)+SUMIFS(tblActuals35415[Team 1 Goals],tblActuals35415[Team 1],$CU18,tblActuals35415[Team 2],FR$3)</f>
        <v>0</v>
      </c>
      <c r="FS18" s="56">
        <f>SUMIFS(tblActuals35415[Team 2 Goals],tblActuals35415[Team 2],$CU18,tblActuals35415[Team 1],FS$3)+SUMIFS(tblActuals35415[Team 1 Goals],tblActuals35415[Team 1],$CU18,tblActuals35415[Team 2],FS$3)</f>
        <v>0</v>
      </c>
      <c r="FT18" s="56">
        <f>SUMIFS(tblActuals35415[Team 2 Goals],tblActuals35415[Team 2],$CU18,tblActuals35415[Team 1],FT$3)+SUMIFS(tblActuals35415[Team 1 Goals],tblActuals35415[Team 1],$CU18,tblActuals35415[Team 2],FT$3)</f>
        <v>0</v>
      </c>
      <c r="FU18" s="56">
        <f>SUMIFS(tblActuals35415[Team 2 Goals],tblActuals35415[Team 2],$CU18,tblActuals35415[Team 1],FU$3)+SUMIFS(tblActuals35415[Team 1 Goals],tblActuals35415[Team 1],$CU18,tblActuals35415[Team 2],FU$3)</f>
        <v>0</v>
      </c>
      <c r="FV18" s="56">
        <f>SUMIFS(tblActuals35415[Team 2 Goals],tblActuals35415[Team 2],$CU18,tblActuals35415[Team 1],FV$3)+SUMIFS(tblActuals35415[Team 1 Goals],tblActuals35415[Team 1],$CU18,tblActuals35415[Team 2],FV$3)</f>
        <v>0</v>
      </c>
      <c r="FW18" s="56">
        <f>SUMIFS(tblActuals35415[Team 2 Goals],tblActuals35415[Team 2],$CU18,tblActuals35415[Team 1],FW$3)+SUMIFS(tblActuals35415[Team 1 Goals],tblActuals35415[Team 1],$CU18,tblActuals35415[Team 2],FW$3)</f>
        <v>0</v>
      </c>
      <c r="FX18" s="56">
        <f>SUMIFS(tblActuals35415[Team 2 Goals],tblActuals35415[Team 2],$CU18,tblActuals35415[Team 1],FX$3)+SUMIFS(tblActuals35415[Team 1 Goals],tblActuals35415[Team 1],$CU18,tblActuals35415[Team 2],FX$3)</f>
        <v>0</v>
      </c>
      <c r="FY18" s="56">
        <f>SUMIFS(tblActuals35415[Team 2 Goals],tblActuals35415[Team 2],$CU18,tblActuals35415[Team 1],FY$3)+SUMIFS(tblActuals35415[Team 1 Goals],tblActuals35415[Team 1],$CU18,tblActuals35415[Team 2],FY$3)</f>
        <v>0</v>
      </c>
      <c r="FZ18" s="56">
        <f>SUMIFS(tblActuals35415[Team 2 Goals],tblActuals35415[Team 2],$CU18,tblActuals35415[Team 1],FZ$3)+SUMIFS(tblActuals35415[Team 1 Goals],tblActuals35415[Team 1],$CU18,tblActuals35415[Team 2],FZ$3)</f>
        <v>0</v>
      </c>
      <c r="GA18" s="56">
        <f>SUMIFS(tblActuals35415[Team 2 Goals],tblActuals35415[Team 2],$CU18,tblActuals35415[Team 1],GA$3)+SUMIFS(tblActuals35415[Team 1 Goals],tblActuals35415[Team 1],$CU18,tblActuals35415[Team 2],GA$3)</f>
        <v>0</v>
      </c>
      <c r="GB18" s="56">
        <f>SUMIFS(tblActuals35415[Team 2 Goals],tblActuals35415[Team 2],$CU18,tblActuals35415[Team 1],GB$3)+SUMIFS(tblActuals35415[Team 1 Goals],tblActuals35415[Team 1],$CU18,tblActuals35415[Team 2],GB$3)</f>
        <v>0</v>
      </c>
      <c r="GC18" s="56">
        <f>SUMIFS(tblActuals35415[Team 2 Goals],tblActuals35415[Team 2],$CU18,tblActuals35415[Team 1],GC$3)+SUMIFS(tblActuals35415[Team 1 Goals],tblActuals35415[Team 1],$CU18,tblActuals35415[Team 2],GC$3)</f>
        <v>0</v>
      </c>
      <c r="GD18" s="56">
        <f>SUMIFS(tblActuals35415[Team 2 Goals],tblActuals35415[Team 2],$CU18,tblActuals35415[Team 1],GD$3)+SUMIFS(tblActuals35415[Team 1 Goals],tblActuals35415[Team 1],$CU18,tblActuals35415[Team 2],GD$3)</f>
        <v>0</v>
      </c>
      <c r="GE18" s="56">
        <f>SUMIFS(tblActuals35415[Team 2 Goals],tblActuals35415[Team 2],$CU18,tblActuals35415[Team 1],GE$3)+SUMIFS(tblActuals35415[Team 1 Goals],tblActuals35415[Team 1],$CU18,tblActuals35415[Team 2],GE$3)</f>
        <v>0</v>
      </c>
      <c r="GF18" s="56">
        <f>SUMIFS(tblActuals35415[Team 2 Goals],tblActuals35415[Team 2],$CU18,tblActuals35415[Team 1],GF$3)+SUMIFS(tblActuals35415[Team 1 Goals],tblActuals35415[Team 1],$CU18,tblActuals35415[Team 2],GF$3)</f>
        <v>0</v>
      </c>
      <c r="GG18" s="56">
        <f>SUMIFS(tblActuals35415[Team 2 Goals],tblActuals35415[Team 2],$CU18,tblActuals35415[Team 1],GG$3)+SUMIFS(tblActuals35415[Team 1 Goals],tblActuals35415[Team 1],$CU18,tblActuals35415[Team 2],GG$3)</f>
        <v>0</v>
      </c>
      <c r="GH18" s="56">
        <f>SUMIFS(tblActuals35415[Team 2 Goals],tblActuals35415[Team 2],$CU18,tblActuals35415[Team 1],GH$3)+SUMIFS(tblActuals35415[Team 1 Goals],tblActuals35415[Team 1],$CU18,tblActuals35415[Team 2],GH$3)</f>
        <v>0</v>
      </c>
      <c r="GI18" s="56">
        <f>SUMIFS(tblActuals35415[Team 2 Goals],tblActuals35415[Team 2],$CU18,tblActuals35415[Team 1],GI$3)+SUMIFS(tblActuals35415[Team 1 Goals],tblActuals35415[Team 1],$CU18,tblActuals35415[Team 2],GI$3)</f>
        <v>0</v>
      </c>
      <c r="GJ18" s="57"/>
      <c r="GK18" s="57"/>
      <c r="GL18" s="37"/>
      <c r="GM18" s="37"/>
      <c r="GN18" s="37"/>
      <c r="GO18" s="37"/>
      <c r="GP18" s="37"/>
      <c r="GQ18" s="37"/>
      <c r="GR18" s="75"/>
      <c r="GS18" s="156"/>
      <c r="GT18" s="156"/>
      <c r="GU18" s="75"/>
      <c r="GV18" s="75"/>
      <c r="GW18" s="75"/>
      <c r="GX18" s="75"/>
      <c r="GY18" s="75"/>
      <c r="GZ18" s="75"/>
      <c r="HB18" s="4" t="str">
        <f t="shared" si="12"/>
        <v>BDEF</v>
      </c>
      <c r="HC18" s="45"/>
      <c r="HD18" s="44" t="s">
        <v>5</v>
      </c>
      <c r="HE18" s="45"/>
      <c r="HF18" s="44" t="s">
        <v>7</v>
      </c>
      <c r="HG18" s="44" t="s">
        <v>12</v>
      </c>
      <c r="HH18" s="44" t="s">
        <v>45</v>
      </c>
      <c r="HI18" s="178"/>
      <c r="HJ18" s="45" t="s">
        <v>154</v>
      </c>
      <c r="HK18" s="45" t="s">
        <v>153</v>
      </c>
      <c r="HL18" s="45" t="s">
        <v>150</v>
      </c>
      <c r="HM18" s="45" t="s">
        <v>151</v>
      </c>
    </row>
    <row r="19" spans="1:221" s="11" customFormat="1" ht="30" customHeight="1" x14ac:dyDescent="0.25">
      <c r="A19" s="20"/>
      <c r="B19" s="122">
        <v>16</v>
      </c>
      <c r="C19" s="122" t="s">
        <v>5</v>
      </c>
      <c r="D19" s="123">
        <v>45463</v>
      </c>
      <c r="E19" s="122" t="s">
        <v>82</v>
      </c>
      <c r="F19" s="124">
        <v>0.875</v>
      </c>
      <c r="G19" s="125">
        <f t="shared" si="11"/>
        <v>45463.625</v>
      </c>
      <c r="H19" s="124" t="s">
        <v>104</v>
      </c>
      <c r="I19" s="126"/>
      <c r="J19" s="118"/>
      <c r="K19" s="118"/>
      <c r="L19" s="174">
        <f>IF(I19="",0,IFERROR(IF(SCORING.RULES!$C$8="No",1,((VLOOKUP($B19,ACTUALS!$B$4:$L$100,7,FALSE)=$H19)+(VLOOKUP($B19,ACTUALS!$B$4:$L$100,7,FALSE)=S19)))*(M19+N19+O19+P19+Q19),0))+$R19</f>
        <v>0</v>
      </c>
      <c r="M19" s="168">
        <f>IFERROR(IF($B19="","",IF(U19=INDEX(ACTUALS!$AA$4:$AA$100,MATCH($B19,ACTUALS!$B$4:$B$100,0),1),CorrectScore,0)),0)</f>
        <v>0</v>
      </c>
      <c r="N19" s="157" t="str">
        <f>IFERROR(IF(I19="","",IF(INDEX(ACTUALS!$AB$4:$AB$100,MATCH($B19,ACTUALS!$B$4:$B$100,0),1)=(AB19+AC19+AH19+AI19),CorrectNumberofGoals,0)),0)</f>
        <v/>
      </c>
      <c r="O19" s="157"/>
      <c r="P19" s="157">
        <f>IFERROR(IF(B19="","",IF(INDEX(ACTUALS!$L$4:$L$100,MATCH($B19,ACTUALS!$B$4:$B$100,0),1)=W19,CorrectResult,0)),0)</f>
        <v>3</v>
      </c>
      <c r="Q19" s="157"/>
      <c r="R19" s="157"/>
      <c r="S19" s="157" t="str">
        <f t="shared" si="0"/>
        <v/>
      </c>
      <c r="T19" s="157"/>
      <c r="U19" s="157" t="str">
        <f t="shared" si="1"/>
        <v/>
      </c>
      <c r="V19" s="157" t="str">
        <f t="shared" si="2"/>
        <v/>
      </c>
      <c r="W19" s="119" t="str">
        <f>IF(tblActuals35415[[#This Row],[SCORE]]="","",IF(AB19=AC19,"Draw",IF(AB19&gt;AC19,X19,Y19)))</f>
        <v/>
      </c>
      <c r="X19" s="120" t="str">
        <f>IF(tblActuals35415[[#This Row],[TEAMS]]="","",LEFT(H19,FIND(" -",H19,1)-1))</f>
        <v>Spain</v>
      </c>
      <c r="Y19" s="120" t="str">
        <f>IF(tblActuals35415[[#This Row],[TEAMS]]="","",MID(H19,FIND("-",H19,1)+2,LEN(H19)-FIND("-",H19,1)+2))</f>
        <v>Italy</v>
      </c>
      <c r="Z19" s="120" t="str">
        <f>IF(tblActuals35415[[#This Row],[Team 1 Goals]]&gt;tblActuals35415[[#This Row],[Team 2 Goals]],tblActuals35415[[#This Row],[Team 1]],IF(tblActuals35415[[#This Row],[Team 2 Goals]]&gt;tblActuals35415[[#This Row],[Team 1 Goals]],tblActuals35415[[#This Row],[Team 2]],""))</f>
        <v/>
      </c>
      <c r="AA19" s="120" t="str">
        <f>IF(tblActuals35415[[#This Row],[Winner]]=tblActuals35415[[#This Row],[Team 1]],tblActuals35415[[#This Row],[Team 2]],IF(tblActuals35415[[#This Row],[Winner]]=tblActuals35415[[#This Row],[Team 2]],tblActuals35415[[#This Row],[Team 1]],""))</f>
        <v/>
      </c>
      <c r="AB19" s="120" t="str">
        <f>IF(tblActuals35415[[#This Row],[SCORE]]="","",LEFT(I19,FIND(":",I19,1)-1)*1)</f>
        <v/>
      </c>
      <c r="AC19" s="120" t="str">
        <f>IF(tblActuals35415[[#This Row],[SCORE]]="","",MID(I19,FIND(":",I19,1)+1,LEN(I19)-FIND(":",I19,1)+1)*1)</f>
        <v/>
      </c>
      <c r="AD19" s="120" t="str">
        <f>IF(OR(tblActuals35415[[#This Row],[Team 1 Goals]]="",tblActuals35415[[#This Row],[Team 2 Goals]]=""),"",tblActuals35415[[#This Row],[Team 1 Goals]]-tblActuals35415[[#This Row],[Team 2 Goals]])</f>
        <v/>
      </c>
      <c r="AE19" s="120" t="str">
        <f>IF(OR(tblActuals35415[[#This Row],[Team 1 Goals]]="",tblActuals35415[[#This Row],[Team 2 Goals]]=""),"",tblActuals35415[[#This Row],[Team 2 Goals]]-tblActuals35415[[#This Row],[Team 1 Goals]])</f>
        <v/>
      </c>
      <c r="AF19" s="120" t="str">
        <f>IF(tblActuals35415[[#This Row],[SCORE]]="","",IF(tblActuals35415[[#This Row],[WINNER / RESULT]]="Draw",1,IF(tblActuals35415[[#This Row],[WINNER / RESULT]]=tblActuals35415[[#This Row],[Team 1]],3,0)))</f>
        <v/>
      </c>
      <c r="AG19" s="120" t="str">
        <f>IF(tblActuals35415[[#This Row],[SCORE]]="","",IF(tblActuals35415[[#This Row],[WINNER / RESULT]]="Draw",1,IF(tblActuals35415[[#This Row],[WINNER / RESULT]]=tblActuals35415[[#This Row],[Team 2]],3,0)))</f>
        <v/>
      </c>
      <c r="AH19" s="121"/>
      <c r="AI19" s="121"/>
      <c r="AJ19" s="121"/>
      <c r="AK19" s="121"/>
      <c r="AL19" s="120" t="e">
        <f>tblActuals35415[[#This Row],[Team 1 Goals]]+tblActuals35415[[#This Row],[Team 1 ET Goals]]&amp;":"&amp;tblActuals35415[[#This Row],[Team 2 Goals]]+tblActuals35415[[#This Row],[Team 2 ET Goals]]</f>
        <v>#VALUE!</v>
      </c>
      <c r="AM19" s="120" t="e">
        <f>+tblActuals35415[[#This Row],[Team 1 Goals]]+tblActuals35415[[#This Row],[Team 2 Goals]]</f>
        <v>#VALUE!</v>
      </c>
      <c r="AN19" s="161">
        <f t="shared" si="3"/>
        <v>45463</v>
      </c>
      <c r="AT19" s="77" t="s">
        <v>6</v>
      </c>
      <c r="AU19" s="139">
        <v>2</v>
      </c>
      <c r="AV19" s="140" t="str">
        <f ca="1">IFERROR(INDEX(BD:BD,MATCH("2"&amp;AT19,BN:BN,0),1),"")</f>
        <v>England</v>
      </c>
      <c r="AW19" s="140" t="str">
        <f ca="1">IF(AV19="","",VLOOKUP(AV19,BD:BI,2,FALSE)&amp;"-"&amp;VLOOKUP(AV19,BD:BI,3,FALSE)&amp;"-"&amp;VLOOKUP(AV19,BD:BI,4,FALSE))</f>
        <v>0-0-0</v>
      </c>
      <c r="AX19" s="140">
        <f ca="1">IF(AV19="","",VLOOKUP(AV19,BD:BK,8,FALSE))</f>
        <v>0</v>
      </c>
      <c r="AY19" s="141">
        <f ca="1">IF(AV19="","",VLOOKUP(AV19,BD:BN,5,FALSE))</f>
        <v>0</v>
      </c>
      <c r="AZ19" s="75"/>
      <c r="BA19" s="4"/>
      <c r="BB19" s="4"/>
      <c r="BC19" s="4" t="s">
        <v>7</v>
      </c>
      <c r="BD19" s="4" t="s">
        <v>129</v>
      </c>
      <c r="BE19" s="4">
        <f>COUNTIF(tblActuals35415[Winner],BD19)</f>
        <v>0</v>
      </c>
      <c r="BF19" s="4">
        <f>COUNTIFS(tblActuals35415[Team 2],BD19,tblActuals35415[WINNER / RESULT],"Draw")+COUNTIFS(tblActuals35415[Team 1],BD19,tblActuals35415[WINNER / RESULT],"Draw")</f>
        <v>0</v>
      </c>
      <c r="BG19" s="4">
        <f>COUNTIF(tblActuals35415[Loser],BD19)</f>
        <v>0</v>
      </c>
      <c r="BH19" s="4">
        <f>BF19+(3*BE19)</f>
        <v>0</v>
      </c>
      <c r="BI19" s="4">
        <f>SUMIFS(tblActuals35415[Team 1 Goals],tblActuals35415[Team 1],BD19)+SUMIFS(tblActuals35415[Team 2 Goals],tblActuals35415[Team 2],BD19)</f>
        <v>0</v>
      </c>
      <c r="BJ19" s="4">
        <f>SUMIFS(tblActuals35415[Team 2 Goals],tblActuals35415[Team 1],BD19)+SUMIFS(tblActuals35415[Team 1 Goals],tblActuals35415[Team 2],BD19)</f>
        <v>0</v>
      </c>
      <c r="BK19" s="4">
        <f>BI19-BJ19</f>
        <v>0</v>
      </c>
      <c r="BL19" s="4">
        <f ca="1">RANK(BY19,$BY$19:$BY$22,1)</f>
        <v>1</v>
      </c>
      <c r="BM19" s="4" t="str">
        <f t="shared" si="4"/>
        <v/>
      </c>
      <c r="BN19" s="4" t="str">
        <f ca="1">IF(BM19="",BL19&amp;BC19,BM19&amp;BC19)</f>
        <v>1D</v>
      </c>
      <c r="BO19" s="4">
        <f>RANK(BH19,$BH$19:$BH$22,0)</f>
        <v>1</v>
      </c>
      <c r="BP19" s="4" cm="1">
        <f t="array" aca="1" ref="BP19" ca="1">SUMPRODUCT((OFFSET($CV$3:$EA$3,MATCH($BD19,$CU$4:$CU$35,0),0))*((IF($BO21=$BO19,$CV$3:$EA$3=$BD21,0))+(IF($BO22=$BO19,$CV$3:$EA$3=$BD22,0))+(IF($BO20=$BO19,$CV$3:$EA$3=$BD20,0))))</f>
        <v>0</v>
      </c>
      <c r="BQ19" s="4" cm="1">
        <f t="array" aca="1" ref="BQ19" ca="1">SUMPRODUCT((OFFSET($ED$3:$FI$3,MATCH($BD19,$EC$4:$EC$35,0),0))*((IF($BO21=$BO19,$ED$3:$FI$3=$BD21,0))+(IF($BO22=$BO19,$ED$3:$FI$3=$BD22,0))+(IF($BO20=$BO19,$ED$3:$FI$3=$BD20,0))))</f>
        <v>0</v>
      </c>
      <c r="BR19" s="4" cm="1">
        <f t="array" aca="1" ref="BR19" ca="1">SUMPRODUCT((OFFSET($FL$3:$GQ$3,MATCH($BD19,$FK$4:$FK$35,0),0))*((IF($BO21=$BO19,$FL$3:$GQ$3=$BD21,0))+(IF($BO22=$BO19,$FL$3:$GQ$3=$BD22,0))+(IF($BO20=$BO19,$FL$3:$GQ$3=$BD20,0))))</f>
        <v>0</v>
      </c>
      <c r="BS19" s="4" cm="1">
        <f t="array" aca="1" ref="BS19" ca="1">SUMPRODUCT((OFFSET($CV$3:$EA$3,MATCH($BD19,$CU$4:$CU$35,0),0))*((IF($BO21&lt;&gt;$BO19,$CV$3:$EA$3=$BD21,0))+(IF($BO22&lt;&gt;$BO19,$CV$3:$EA$3=$BD22,0))+(IF($BO20&lt;&gt;$BO19,$CV$3:$EA$3=$BD20,0))))</f>
        <v>0</v>
      </c>
      <c r="BT19" s="4" cm="1">
        <f t="array" aca="1" ref="BT19" ca="1">SUMPRODUCT((OFFSET($ED$3:$FI$3,MATCH($BD19,$EC$4:$EC$35,0),0))*((IF($BO21&lt;&gt;$BO19,$ED$3:$FI$3=$BD21,0))+(IF($BO22&lt;&gt;$BO19,$ED$3:$FI$3=$BD22,0))+(IF($BO20&lt;&gt;$BO19,$ED$3:$FI$3=$BD20,0))))</f>
        <v>0</v>
      </c>
      <c r="BU19" s="4" cm="1">
        <f t="array" aca="1" ref="BU19" ca="1">SUMPRODUCT((OFFSET($FL$3:$GQ$3,MATCH($BD19,$FK$4:$FK$35,0),0))*((IF($BO21&lt;&gt;$BO19,$FL$3:$GQ$3=$BD21,0))+(IF($BO22&lt;&gt;$BO19,$FL$3:$GQ$3=$BD22,0))+(IF($BO20&lt;&gt;$BO19,$FL$3:$GQ$3=$BD20,0))))</f>
        <v>0</v>
      </c>
      <c r="BV19" s="4">
        <f>BK19</f>
        <v>0</v>
      </c>
      <c r="BW19" s="4">
        <f>BI19</f>
        <v>0</v>
      </c>
      <c r="BX19" s="4">
        <f ca="1">(BP19/10)+(BQ19/100)+(BR19/1000)+(BT19/10000)+(BU19/100000)+(BV19/1000000)+(BW19/10000000)+(ROW(BS22)/100000000)</f>
        <v>2.2000000000000001E-7</v>
      </c>
      <c r="BY19" s="4">
        <f ca="1">+BO19-BX19</f>
        <v>0.99999978</v>
      </c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U19" s="4" t="s">
        <v>26</v>
      </c>
      <c r="CV19" s="56">
        <f>SUMIFS(tblActuals35415[Team 2 Points],tblActuals35415[Team 2],$CU19,tblActuals35415[Team 1],CV$3)+SUMIFS(tblActuals35415[Team 1 Points],tblActuals35415[Team 1],$CU19,tblActuals35415[Team 2],CV$3)</f>
        <v>0</v>
      </c>
      <c r="CW19" s="56">
        <f>SUMIFS(tblActuals35415[Team 2 Points],tblActuals35415[Team 2],$CU19,tblActuals35415[Team 1],CW$3)+SUMIFS(tblActuals35415[Team 1 Points],tblActuals35415[Team 1],$CU19,tblActuals35415[Team 2],CW$3)</f>
        <v>0</v>
      </c>
      <c r="CX19" s="56">
        <f>SUMIFS(tblActuals35415[Team 2 Points],tblActuals35415[Team 2],$CU19,tblActuals35415[Team 1],CX$3)+SUMIFS(tblActuals35415[Team 1 Points],tblActuals35415[Team 1],$CU19,tblActuals35415[Team 2],CX$3)</f>
        <v>0</v>
      </c>
      <c r="CY19" s="56">
        <f>SUMIFS(tblActuals35415[Team 2 Points],tblActuals35415[Team 2],$CU19,tblActuals35415[Team 1],CY$3)+SUMIFS(tblActuals35415[Team 1 Points],tblActuals35415[Team 1],$CU19,tblActuals35415[Team 2],CY$3)</f>
        <v>0</v>
      </c>
      <c r="CZ19" s="56">
        <f>SUMIFS(tblActuals35415[Team 2 Points],tblActuals35415[Team 2],$CU19,tblActuals35415[Team 1],CZ$3)+SUMIFS(tblActuals35415[Team 1 Points],tblActuals35415[Team 1],$CU19,tblActuals35415[Team 2],CZ$3)</f>
        <v>0</v>
      </c>
      <c r="DA19" s="56">
        <f>SUMIFS(tblActuals35415[Team 2 Points],tblActuals35415[Team 2],$CU19,tblActuals35415[Team 1],DA$3)+SUMIFS(tblActuals35415[Team 1 Points],tblActuals35415[Team 1],$CU19,tblActuals35415[Team 2],DA$3)</f>
        <v>0</v>
      </c>
      <c r="DB19" s="56">
        <f>SUMIFS(tblActuals35415[Team 2 Points],tblActuals35415[Team 2],$CU19,tblActuals35415[Team 1],DB$3)+SUMIFS(tblActuals35415[Team 1 Points],tblActuals35415[Team 1],$CU19,tblActuals35415[Team 2],DB$3)</f>
        <v>0</v>
      </c>
      <c r="DC19" s="56">
        <f>SUMIFS(tblActuals35415[Team 2 Points],tblActuals35415[Team 2],$CU19,tblActuals35415[Team 1],DC$3)+SUMIFS(tblActuals35415[Team 1 Points],tblActuals35415[Team 1],$CU19,tblActuals35415[Team 2],DC$3)</f>
        <v>0</v>
      </c>
      <c r="DD19" s="56">
        <f>SUMIFS(tblActuals35415[Team 2 Points],tblActuals35415[Team 2],$CU19,tblActuals35415[Team 1],DD$3)+SUMIFS(tblActuals35415[Team 1 Points],tblActuals35415[Team 1],$CU19,tblActuals35415[Team 2],DD$3)</f>
        <v>0</v>
      </c>
      <c r="DE19" s="56">
        <f>SUMIFS(tblActuals35415[Team 2 Points],tblActuals35415[Team 2],$CU19,tblActuals35415[Team 1],DE$3)+SUMIFS(tblActuals35415[Team 1 Points],tblActuals35415[Team 1],$CU19,tblActuals35415[Team 2],DE$3)</f>
        <v>0</v>
      </c>
      <c r="DF19" s="56">
        <f>SUMIFS(tblActuals35415[Team 2 Points],tblActuals35415[Team 2],$CU19,tblActuals35415[Team 1],DF$3)+SUMIFS(tblActuals35415[Team 1 Points],tblActuals35415[Team 1],$CU19,tblActuals35415[Team 2],DF$3)</f>
        <v>0</v>
      </c>
      <c r="DG19" s="56">
        <f>SUMIFS(tblActuals35415[Team 2 Points],tblActuals35415[Team 2],$CU19,tblActuals35415[Team 1],DG$3)+SUMIFS(tblActuals35415[Team 1 Points],tblActuals35415[Team 1],$CU19,tblActuals35415[Team 2],DG$3)</f>
        <v>0</v>
      </c>
      <c r="DH19" s="56">
        <f>SUMIFS(tblActuals35415[Team 2 Points],tblActuals35415[Team 2],$CU19,tblActuals35415[Team 1],DH$3)+SUMIFS(tblActuals35415[Team 1 Points],tblActuals35415[Team 1],$CU19,tblActuals35415[Team 2],DH$3)</f>
        <v>0</v>
      </c>
      <c r="DI19" s="56">
        <f>SUMIFS(tblActuals35415[Team 2 Points],tblActuals35415[Team 2],$CU19,tblActuals35415[Team 1],DI$3)+SUMIFS(tblActuals35415[Team 1 Points],tblActuals35415[Team 1],$CU19,tblActuals35415[Team 2],DI$3)</f>
        <v>0</v>
      </c>
      <c r="DJ19" s="56">
        <f>SUMIFS(tblActuals35415[Team 2 Points],tblActuals35415[Team 2],$CU19,tblActuals35415[Team 1],DJ$3)+SUMIFS(tblActuals35415[Team 1 Points],tblActuals35415[Team 1],$CU19,tblActuals35415[Team 2],DJ$3)</f>
        <v>0</v>
      </c>
      <c r="DK19" s="56">
        <f>SUMIFS(tblActuals35415[Team 2 Points],tblActuals35415[Team 2],$CU19,tblActuals35415[Team 1],DK$3)+SUMIFS(tblActuals35415[Team 1 Points],tblActuals35415[Team 1],$CU19,tblActuals35415[Team 2],DK$3)</f>
        <v>0</v>
      </c>
      <c r="DL19" s="56">
        <f>SUMIFS(tblActuals35415[Team 2 Points],tblActuals35415[Team 2],$CU19,tblActuals35415[Team 1],DL$3)+SUMIFS(tblActuals35415[Team 1 Points],tblActuals35415[Team 1],$CU19,tblActuals35415[Team 2],DL$3)</f>
        <v>0</v>
      </c>
      <c r="DM19" s="56">
        <f>SUMIFS(tblActuals35415[Team 2 Points],tblActuals35415[Team 2],$CU19,tblActuals35415[Team 1],DM$3)+SUMIFS(tblActuals35415[Team 1 Points],tblActuals35415[Team 1],$CU19,tblActuals35415[Team 2],DM$3)</f>
        <v>0</v>
      </c>
      <c r="DN19" s="56">
        <f>SUMIFS(tblActuals35415[Team 2 Points],tblActuals35415[Team 2],$CU19,tblActuals35415[Team 1],DN$3)+SUMIFS(tblActuals35415[Team 1 Points],tblActuals35415[Team 1],$CU19,tblActuals35415[Team 2],DN$3)</f>
        <v>0</v>
      </c>
      <c r="DO19" s="56">
        <f>SUMIFS(tblActuals35415[Team 2 Points],tblActuals35415[Team 2],$CU19,tblActuals35415[Team 1],DO$3)+SUMIFS(tblActuals35415[Team 1 Points],tblActuals35415[Team 1],$CU19,tblActuals35415[Team 2],DO$3)</f>
        <v>0</v>
      </c>
      <c r="DP19" s="56">
        <f>SUMIFS(tblActuals35415[Team 2 Points],tblActuals35415[Team 2],$CU19,tblActuals35415[Team 1],DP$3)+SUMIFS(tblActuals35415[Team 1 Points],tblActuals35415[Team 1],$CU19,tblActuals35415[Team 2],DP$3)</f>
        <v>0</v>
      </c>
      <c r="DQ19" s="56">
        <f>SUMIFS(tblActuals35415[Team 2 Points],tblActuals35415[Team 2],$CU19,tblActuals35415[Team 1],DQ$3)+SUMIFS(tblActuals35415[Team 1 Points],tblActuals35415[Team 1],$CU19,tblActuals35415[Team 2],DQ$3)</f>
        <v>0</v>
      </c>
      <c r="DR19" s="56">
        <f>SUMIFS(tblActuals35415[Team 2 Points],tblActuals35415[Team 2],$CU19,tblActuals35415[Team 1],DR$3)+SUMIFS(tblActuals35415[Team 1 Points],tblActuals35415[Team 1],$CU19,tblActuals35415[Team 2],DR$3)</f>
        <v>0</v>
      </c>
      <c r="DS19" s="56">
        <f>SUMIFS(tblActuals35415[Team 2 Points],tblActuals35415[Team 2],$CU19,tblActuals35415[Team 1],DS$3)+SUMIFS(tblActuals35415[Team 1 Points],tblActuals35415[Team 1],$CU19,tblActuals35415[Team 2],DS$3)</f>
        <v>0</v>
      </c>
      <c r="DT19" s="57"/>
      <c r="DU19" s="57"/>
      <c r="DV19" s="57"/>
      <c r="DW19" s="57"/>
      <c r="DX19" s="57"/>
      <c r="DY19" s="57"/>
      <c r="DZ19" s="57"/>
      <c r="EA19" s="57"/>
      <c r="EB19" s="4"/>
      <c r="EC19" s="4" t="s">
        <v>26</v>
      </c>
      <c r="ED19" s="56">
        <f>SUMIFS(tblActuals35415[Team 2 GD],tblActuals35415[Team 2],$CU19,tblActuals35415[Team 1],ED$3)+SUMIFS(tblActuals35415[Team 1 GD],tblActuals35415[Team 1],$CU19,tblActuals35415[Team 2],ED$3)</f>
        <v>0</v>
      </c>
      <c r="EE19" s="56">
        <f>SUMIFS(tblActuals35415[Team 2 GD],tblActuals35415[Team 2],$CU19,tblActuals35415[Team 1],EE$3)+SUMIFS(tblActuals35415[Team 1 GD],tblActuals35415[Team 1],$CU19,tblActuals35415[Team 2],EE$3)</f>
        <v>0</v>
      </c>
      <c r="EF19" s="56">
        <f>SUMIFS(tblActuals35415[Team 2 GD],tblActuals35415[Team 2],$CU19,tblActuals35415[Team 1],EF$3)+SUMIFS(tblActuals35415[Team 1 GD],tblActuals35415[Team 1],$CU19,tblActuals35415[Team 2],EF$3)</f>
        <v>0</v>
      </c>
      <c r="EG19" s="56">
        <f>SUMIFS(tblActuals35415[Team 2 GD],tblActuals35415[Team 2],$CU19,tblActuals35415[Team 1],EG$3)+SUMIFS(tblActuals35415[Team 1 GD],tblActuals35415[Team 1],$CU19,tblActuals35415[Team 2],EG$3)</f>
        <v>0</v>
      </c>
      <c r="EH19" s="56">
        <f>SUMIFS(tblActuals35415[Team 2 GD],tblActuals35415[Team 2],$CU19,tblActuals35415[Team 1],EH$3)+SUMIFS(tblActuals35415[Team 1 GD],tblActuals35415[Team 1],$CU19,tblActuals35415[Team 2],EH$3)</f>
        <v>0</v>
      </c>
      <c r="EI19" s="56">
        <f>SUMIFS(tblActuals35415[Team 2 GD],tblActuals35415[Team 2],$CU19,tblActuals35415[Team 1],EI$3)+SUMIFS(tblActuals35415[Team 1 GD],tblActuals35415[Team 1],$CU19,tblActuals35415[Team 2],EI$3)</f>
        <v>0</v>
      </c>
      <c r="EJ19" s="56">
        <f>SUMIFS(tblActuals35415[Team 2 GD],tblActuals35415[Team 2],$CU19,tblActuals35415[Team 1],EJ$3)+SUMIFS(tblActuals35415[Team 1 GD],tblActuals35415[Team 1],$CU19,tblActuals35415[Team 2],EJ$3)</f>
        <v>0</v>
      </c>
      <c r="EK19" s="56">
        <f>SUMIFS(tblActuals35415[Team 2 GD],tblActuals35415[Team 2],$CU19,tblActuals35415[Team 1],EK$3)+SUMIFS(tblActuals35415[Team 1 GD],tblActuals35415[Team 1],$CU19,tblActuals35415[Team 2],EK$3)</f>
        <v>0</v>
      </c>
      <c r="EL19" s="56">
        <f>SUMIFS(tblActuals35415[Team 2 GD],tblActuals35415[Team 2],$CU19,tblActuals35415[Team 1],EL$3)+SUMIFS(tblActuals35415[Team 1 GD],tblActuals35415[Team 1],$CU19,tblActuals35415[Team 2],EL$3)</f>
        <v>0</v>
      </c>
      <c r="EM19" s="56">
        <f>SUMIFS(tblActuals35415[Team 2 GD],tblActuals35415[Team 2],$CU19,tblActuals35415[Team 1],EM$3)+SUMIFS(tblActuals35415[Team 1 GD],tblActuals35415[Team 1],$CU19,tblActuals35415[Team 2],EM$3)</f>
        <v>0</v>
      </c>
      <c r="EN19" s="56">
        <f>SUMIFS(tblActuals35415[Team 2 GD],tblActuals35415[Team 2],$CU19,tblActuals35415[Team 1],EN$3)+SUMIFS(tblActuals35415[Team 1 GD],tblActuals35415[Team 1],$CU19,tblActuals35415[Team 2],EN$3)</f>
        <v>0</v>
      </c>
      <c r="EO19" s="56">
        <f>SUMIFS(tblActuals35415[Team 2 GD],tblActuals35415[Team 2],$CU19,tblActuals35415[Team 1],EO$3)+SUMIFS(tblActuals35415[Team 1 GD],tblActuals35415[Team 1],$CU19,tblActuals35415[Team 2],EO$3)</f>
        <v>0</v>
      </c>
      <c r="EP19" s="56">
        <f>SUMIFS(tblActuals35415[Team 2 GD],tblActuals35415[Team 2],$CU19,tblActuals35415[Team 1],EP$3)+SUMIFS(tblActuals35415[Team 1 GD],tblActuals35415[Team 1],$CU19,tblActuals35415[Team 2],EP$3)</f>
        <v>0</v>
      </c>
      <c r="EQ19" s="56">
        <f>SUMIFS(tblActuals35415[Team 2 GD],tblActuals35415[Team 2],$CU19,tblActuals35415[Team 1],EQ$3)+SUMIFS(tblActuals35415[Team 1 GD],tblActuals35415[Team 1],$CU19,tblActuals35415[Team 2],EQ$3)</f>
        <v>0</v>
      </c>
      <c r="ER19" s="56">
        <f>SUMIFS(tblActuals35415[Team 2 GD],tblActuals35415[Team 2],$CU19,tblActuals35415[Team 1],ER$3)+SUMIFS(tblActuals35415[Team 1 GD],tblActuals35415[Team 1],$CU19,tblActuals35415[Team 2],ER$3)</f>
        <v>0</v>
      </c>
      <c r="ES19" s="56">
        <f>SUMIFS(tblActuals35415[Team 2 GD],tblActuals35415[Team 2],$CU19,tblActuals35415[Team 1],ES$3)+SUMIFS(tblActuals35415[Team 1 GD],tblActuals35415[Team 1],$CU19,tblActuals35415[Team 2],ES$3)</f>
        <v>0</v>
      </c>
      <c r="ET19" s="56">
        <f>SUMIFS(tblActuals35415[Team 2 GD],tblActuals35415[Team 2],$CU19,tblActuals35415[Team 1],ET$3)+SUMIFS(tblActuals35415[Team 1 GD],tblActuals35415[Team 1],$CU19,tblActuals35415[Team 2],ET$3)</f>
        <v>0</v>
      </c>
      <c r="EU19" s="56">
        <f>SUMIFS(tblActuals35415[Team 2 GD],tblActuals35415[Team 2],$CU19,tblActuals35415[Team 1],EU$3)+SUMIFS(tblActuals35415[Team 1 GD],tblActuals35415[Team 1],$CU19,tblActuals35415[Team 2],EU$3)</f>
        <v>0</v>
      </c>
      <c r="EV19" s="56">
        <f>SUMIFS(tblActuals35415[Team 2 GD],tblActuals35415[Team 2],$CU19,tblActuals35415[Team 1],EV$3)+SUMIFS(tblActuals35415[Team 1 GD],tblActuals35415[Team 1],$CU19,tblActuals35415[Team 2],EV$3)</f>
        <v>0</v>
      </c>
      <c r="EW19" s="56">
        <f>SUMIFS(tblActuals35415[Team 2 GD],tblActuals35415[Team 2],$CU19,tblActuals35415[Team 1],EW$3)+SUMIFS(tblActuals35415[Team 1 GD],tblActuals35415[Team 1],$CU19,tblActuals35415[Team 2],EW$3)</f>
        <v>0</v>
      </c>
      <c r="EX19" s="56">
        <f>SUMIFS(tblActuals35415[Team 2 GD],tblActuals35415[Team 2],$CU19,tblActuals35415[Team 1],EX$3)+SUMIFS(tblActuals35415[Team 1 GD],tblActuals35415[Team 1],$CU19,tblActuals35415[Team 2],EX$3)</f>
        <v>0</v>
      </c>
      <c r="EY19" s="56">
        <f>SUMIFS(tblActuals35415[Team 2 GD],tblActuals35415[Team 2],$CU19,tblActuals35415[Team 1],EY$3)+SUMIFS(tblActuals35415[Team 1 GD],tblActuals35415[Team 1],$CU19,tblActuals35415[Team 2],EY$3)</f>
        <v>0</v>
      </c>
      <c r="EZ19" s="56">
        <f>SUMIFS(tblActuals35415[Team 2 GD],tblActuals35415[Team 2],$CU19,tblActuals35415[Team 1],EZ$3)+SUMIFS(tblActuals35415[Team 1 GD],tblActuals35415[Team 1],$CU19,tblActuals35415[Team 2],EZ$3)</f>
        <v>0</v>
      </c>
      <c r="FA19" s="56">
        <f>SUMIFS(tblActuals35415[Team 2 GD],tblActuals35415[Team 2],$CU19,tblActuals35415[Team 1],FA$3)+SUMIFS(tblActuals35415[Team 1 GD],tblActuals35415[Team 1],$CU19,tblActuals35415[Team 2],FA$3)</f>
        <v>0</v>
      </c>
      <c r="FB19" s="57"/>
      <c r="FC19" s="57"/>
      <c r="FD19" s="57"/>
      <c r="FE19" s="57"/>
      <c r="FF19" s="57"/>
      <c r="FG19" s="57"/>
      <c r="FH19" s="57"/>
      <c r="FI19" s="57"/>
      <c r="FJ19" s="4"/>
      <c r="FK19" s="4" t="s">
        <v>26</v>
      </c>
      <c r="FL19" s="56">
        <f>SUMIFS(tblActuals35415[Team 2 Goals],tblActuals35415[Team 2],$CU19,tblActuals35415[Team 1],FL$3)+SUMIFS(tblActuals35415[Team 1 Goals],tblActuals35415[Team 1],$CU19,tblActuals35415[Team 2],FL$3)</f>
        <v>0</v>
      </c>
      <c r="FM19" s="56">
        <f>SUMIFS(tblActuals35415[Team 2 Goals],tblActuals35415[Team 2],$CU19,tblActuals35415[Team 1],FM$3)+SUMIFS(tblActuals35415[Team 1 Goals],tblActuals35415[Team 1],$CU19,tblActuals35415[Team 2],FM$3)</f>
        <v>0</v>
      </c>
      <c r="FN19" s="56">
        <f>SUMIFS(tblActuals35415[Team 2 Goals],tblActuals35415[Team 2],$CU19,tblActuals35415[Team 1],FN$3)+SUMIFS(tblActuals35415[Team 1 Goals],tblActuals35415[Team 1],$CU19,tblActuals35415[Team 2],FN$3)</f>
        <v>0</v>
      </c>
      <c r="FO19" s="56">
        <f>SUMIFS(tblActuals35415[Team 2 Goals],tblActuals35415[Team 2],$CU19,tblActuals35415[Team 1],FO$3)+SUMIFS(tblActuals35415[Team 1 Goals],tblActuals35415[Team 1],$CU19,tblActuals35415[Team 2],FO$3)</f>
        <v>0</v>
      </c>
      <c r="FP19" s="56">
        <f>SUMIFS(tblActuals35415[Team 2 Goals],tblActuals35415[Team 2],$CU19,tblActuals35415[Team 1],FP$3)+SUMIFS(tblActuals35415[Team 1 Goals],tblActuals35415[Team 1],$CU19,tblActuals35415[Team 2],FP$3)</f>
        <v>0</v>
      </c>
      <c r="FQ19" s="56">
        <f>SUMIFS(tblActuals35415[Team 2 Goals],tblActuals35415[Team 2],$CU19,tblActuals35415[Team 1],FQ$3)+SUMIFS(tblActuals35415[Team 1 Goals],tblActuals35415[Team 1],$CU19,tblActuals35415[Team 2],FQ$3)</f>
        <v>0</v>
      </c>
      <c r="FR19" s="56">
        <f>SUMIFS(tblActuals35415[Team 2 Goals],tblActuals35415[Team 2],$CU19,tblActuals35415[Team 1],FR$3)+SUMIFS(tblActuals35415[Team 1 Goals],tblActuals35415[Team 1],$CU19,tblActuals35415[Team 2],FR$3)</f>
        <v>0</v>
      </c>
      <c r="FS19" s="56">
        <f>SUMIFS(tblActuals35415[Team 2 Goals],tblActuals35415[Team 2],$CU19,tblActuals35415[Team 1],FS$3)+SUMIFS(tblActuals35415[Team 1 Goals],tblActuals35415[Team 1],$CU19,tblActuals35415[Team 2],FS$3)</f>
        <v>0</v>
      </c>
      <c r="FT19" s="56">
        <f>SUMIFS(tblActuals35415[Team 2 Goals],tblActuals35415[Team 2],$CU19,tblActuals35415[Team 1],FT$3)+SUMIFS(tblActuals35415[Team 1 Goals],tblActuals35415[Team 1],$CU19,tblActuals35415[Team 2],FT$3)</f>
        <v>0</v>
      </c>
      <c r="FU19" s="56">
        <f>SUMIFS(tblActuals35415[Team 2 Goals],tblActuals35415[Team 2],$CU19,tblActuals35415[Team 1],FU$3)+SUMIFS(tblActuals35415[Team 1 Goals],tblActuals35415[Team 1],$CU19,tblActuals35415[Team 2],FU$3)</f>
        <v>0</v>
      </c>
      <c r="FV19" s="56">
        <f>SUMIFS(tblActuals35415[Team 2 Goals],tblActuals35415[Team 2],$CU19,tblActuals35415[Team 1],FV$3)+SUMIFS(tblActuals35415[Team 1 Goals],tblActuals35415[Team 1],$CU19,tblActuals35415[Team 2],FV$3)</f>
        <v>0</v>
      </c>
      <c r="FW19" s="56">
        <f>SUMIFS(tblActuals35415[Team 2 Goals],tblActuals35415[Team 2],$CU19,tblActuals35415[Team 1],FW$3)+SUMIFS(tblActuals35415[Team 1 Goals],tblActuals35415[Team 1],$CU19,tblActuals35415[Team 2],FW$3)</f>
        <v>0</v>
      </c>
      <c r="FX19" s="56">
        <f>SUMIFS(tblActuals35415[Team 2 Goals],tblActuals35415[Team 2],$CU19,tblActuals35415[Team 1],FX$3)+SUMIFS(tblActuals35415[Team 1 Goals],tblActuals35415[Team 1],$CU19,tblActuals35415[Team 2],FX$3)</f>
        <v>0</v>
      </c>
      <c r="FY19" s="56">
        <f>SUMIFS(tblActuals35415[Team 2 Goals],tblActuals35415[Team 2],$CU19,tblActuals35415[Team 1],FY$3)+SUMIFS(tblActuals35415[Team 1 Goals],tblActuals35415[Team 1],$CU19,tblActuals35415[Team 2],FY$3)</f>
        <v>0</v>
      </c>
      <c r="FZ19" s="56">
        <f>SUMIFS(tblActuals35415[Team 2 Goals],tblActuals35415[Team 2],$CU19,tblActuals35415[Team 1],FZ$3)+SUMIFS(tblActuals35415[Team 1 Goals],tblActuals35415[Team 1],$CU19,tblActuals35415[Team 2],FZ$3)</f>
        <v>0</v>
      </c>
      <c r="GA19" s="56">
        <f>SUMIFS(tblActuals35415[Team 2 Goals],tblActuals35415[Team 2],$CU19,tblActuals35415[Team 1],GA$3)+SUMIFS(tblActuals35415[Team 1 Goals],tblActuals35415[Team 1],$CU19,tblActuals35415[Team 2],GA$3)</f>
        <v>0</v>
      </c>
      <c r="GB19" s="56">
        <f>SUMIFS(tblActuals35415[Team 2 Goals],tblActuals35415[Team 2],$CU19,tblActuals35415[Team 1],GB$3)+SUMIFS(tblActuals35415[Team 1 Goals],tblActuals35415[Team 1],$CU19,tblActuals35415[Team 2],GB$3)</f>
        <v>0</v>
      </c>
      <c r="GC19" s="56">
        <f>SUMIFS(tblActuals35415[Team 2 Goals],tblActuals35415[Team 2],$CU19,tblActuals35415[Team 1],GC$3)+SUMIFS(tblActuals35415[Team 1 Goals],tblActuals35415[Team 1],$CU19,tblActuals35415[Team 2],GC$3)</f>
        <v>0</v>
      </c>
      <c r="GD19" s="56">
        <f>SUMIFS(tblActuals35415[Team 2 Goals],tblActuals35415[Team 2],$CU19,tblActuals35415[Team 1],GD$3)+SUMIFS(tblActuals35415[Team 1 Goals],tblActuals35415[Team 1],$CU19,tblActuals35415[Team 2],GD$3)</f>
        <v>0</v>
      </c>
      <c r="GE19" s="56">
        <f>SUMIFS(tblActuals35415[Team 2 Goals],tblActuals35415[Team 2],$CU19,tblActuals35415[Team 1],GE$3)+SUMIFS(tblActuals35415[Team 1 Goals],tblActuals35415[Team 1],$CU19,tblActuals35415[Team 2],GE$3)</f>
        <v>0</v>
      </c>
      <c r="GF19" s="56">
        <f>SUMIFS(tblActuals35415[Team 2 Goals],tblActuals35415[Team 2],$CU19,tblActuals35415[Team 1],GF$3)+SUMIFS(tblActuals35415[Team 1 Goals],tblActuals35415[Team 1],$CU19,tblActuals35415[Team 2],GF$3)</f>
        <v>0</v>
      </c>
      <c r="GG19" s="56">
        <f>SUMIFS(tblActuals35415[Team 2 Goals],tblActuals35415[Team 2],$CU19,tblActuals35415[Team 1],GG$3)+SUMIFS(tblActuals35415[Team 1 Goals],tblActuals35415[Team 1],$CU19,tblActuals35415[Team 2],GG$3)</f>
        <v>0</v>
      </c>
      <c r="GH19" s="56">
        <f>SUMIFS(tblActuals35415[Team 2 Goals],tblActuals35415[Team 2],$CU19,tblActuals35415[Team 1],GH$3)+SUMIFS(tblActuals35415[Team 1 Goals],tblActuals35415[Team 1],$CU19,tblActuals35415[Team 2],GH$3)</f>
        <v>0</v>
      </c>
      <c r="GI19" s="56">
        <f>SUMIFS(tblActuals35415[Team 2 Goals],tblActuals35415[Team 2],$CU19,tblActuals35415[Team 1],GI$3)+SUMIFS(tblActuals35415[Team 1 Goals],tblActuals35415[Team 1],$CU19,tblActuals35415[Team 2],GI$3)</f>
        <v>0</v>
      </c>
      <c r="GJ19" s="57"/>
      <c r="GK19" s="57"/>
      <c r="GL19" s="37"/>
      <c r="GM19" s="37"/>
      <c r="GN19" s="37"/>
      <c r="GO19" s="37"/>
      <c r="GP19" s="37"/>
      <c r="GQ19" s="37"/>
      <c r="GR19" s="75"/>
      <c r="GS19" s="156"/>
      <c r="GT19" s="156"/>
      <c r="GU19" s="75"/>
      <c r="GV19" s="75"/>
      <c r="GW19" s="75"/>
      <c r="GX19" s="75"/>
      <c r="GY19" s="75"/>
      <c r="GZ19" s="75"/>
      <c r="HB19" s="4" t="str">
        <f t="shared" si="12"/>
        <v>CDEF</v>
      </c>
      <c r="HC19" s="45"/>
      <c r="HD19" s="45"/>
      <c r="HE19" s="44" t="s">
        <v>6</v>
      </c>
      <c r="HF19" s="44" t="s">
        <v>7</v>
      </c>
      <c r="HG19" s="44" t="s">
        <v>12</v>
      </c>
      <c r="HH19" s="44" t="s">
        <v>45</v>
      </c>
      <c r="HI19" s="178"/>
      <c r="HJ19" s="45" t="s">
        <v>154</v>
      </c>
      <c r="HK19" s="45" t="s">
        <v>153</v>
      </c>
      <c r="HL19" s="45" t="s">
        <v>150</v>
      </c>
      <c r="HM19" s="45" t="s">
        <v>152</v>
      </c>
    </row>
    <row r="20" spans="1:221" s="11" customFormat="1" ht="30" customHeight="1" x14ac:dyDescent="0.25">
      <c r="A20" s="20"/>
      <c r="B20" s="122">
        <v>17</v>
      </c>
      <c r="C20" s="122" t="s">
        <v>6</v>
      </c>
      <c r="D20" s="123">
        <v>45463</v>
      </c>
      <c r="E20" s="122" t="s">
        <v>86</v>
      </c>
      <c r="F20" s="124">
        <v>0.75</v>
      </c>
      <c r="G20" s="125">
        <f t="shared" si="11"/>
        <v>45463.5</v>
      </c>
      <c r="H20" s="122" t="s">
        <v>105</v>
      </c>
      <c r="I20" s="126"/>
      <c r="J20" s="118"/>
      <c r="K20" s="118"/>
      <c r="L20" s="174">
        <f>IF(I20="",0,IFERROR(IF(SCORING.RULES!$C$8="No",1,((VLOOKUP($B20,ACTUALS!$B$4:$L$100,7,FALSE)=$H20)+(VLOOKUP($B20,ACTUALS!$B$4:$L$100,7,FALSE)=S20)))*(M20+N20+O20+P20+Q20),0))+$R20</f>
        <v>0</v>
      </c>
      <c r="M20" s="168">
        <f>IFERROR(IF($B20="","",IF(U20=INDEX(ACTUALS!$AA$4:$AA$100,MATCH($B20,ACTUALS!$B$4:$B$100,0),1),CorrectScore,0)),0)</f>
        <v>0</v>
      </c>
      <c r="N20" s="157" t="str">
        <f>IFERROR(IF(I20="","",IF(INDEX(ACTUALS!$AB$4:$AB$100,MATCH($B20,ACTUALS!$B$4:$B$100,0),1)=(AB20+AC20+AH20+AI20),CorrectNumberofGoals,0)),0)</f>
        <v/>
      </c>
      <c r="O20" s="157"/>
      <c r="P20" s="157">
        <f>IFERROR(IF(B20="","",IF(INDEX(ACTUALS!$L$4:$L$100,MATCH($B20,ACTUALS!$B$4:$B$100,0),1)=W20,CorrectResult,0)),0)</f>
        <v>3</v>
      </c>
      <c r="Q20" s="157"/>
      <c r="R20" s="157"/>
      <c r="S20" s="157" t="str">
        <f t="shared" si="0"/>
        <v/>
      </c>
      <c r="T20" s="157"/>
      <c r="U20" s="157" t="str">
        <f t="shared" si="1"/>
        <v/>
      </c>
      <c r="V20" s="157" t="str">
        <f t="shared" si="2"/>
        <v/>
      </c>
      <c r="W20" s="119" t="str">
        <f>IF(tblActuals35415[[#This Row],[SCORE]]="","",IF(AB20=AC20,"Draw",IF(AB20&gt;AC20,X20,Y20)))</f>
        <v/>
      </c>
      <c r="X20" s="120" t="str">
        <f>IF(tblActuals35415[[#This Row],[TEAMS]]="","",LEFT(H20,FIND(" -",H20,1)-1))</f>
        <v>Denmark</v>
      </c>
      <c r="Y20" s="120" t="str">
        <f>IF(tblActuals35415[[#This Row],[TEAMS]]="","",MID(H20,FIND("-",H20,1)+2,LEN(H20)-FIND("-",H20,1)+2))</f>
        <v>England</v>
      </c>
      <c r="Z20" s="120" t="str">
        <f>IF(tblActuals35415[[#This Row],[Team 1 Goals]]&gt;tblActuals35415[[#This Row],[Team 2 Goals]],tblActuals35415[[#This Row],[Team 1]],IF(tblActuals35415[[#This Row],[Team 2 Goals]]&gt;tblActuals35415[[#This Row],[Team 1 Goals]],tblActuals35415[[#This Row],[Team 2]],""))</f>
        <v/>
      </c>
      <c r="AA20" s="120" t="str">
        <f>IF(tblActuals35415[[#This Row],[Winner]]=tblActuals35415[[#This Row],[Team 1]],tblActuals35415[[#This Row],[Team 2]],IF(tblActuals35415[[#This Row],[Winner]]=tblActuals35415[[#This Row],[Team 2]],tblActuals35415[[#This Row],[Team 1]],""))</f>
        <v/>
      </c>
      <c r="AB20" s="120" t="str">
        <f>IF(tblActuals35415[[#This Row],[SCORE]]="","",LEFT(I20,FIND(":",I20,1)-1)*1)</f>
        <v/>
      </c>
      <c r="AC20" s="120" t="str">
        <f>IF(tblActuals35415[[#This Row],[SCORE]]="","",MID(I20,FIND(":",I20,1)+1,LEN(I20)-FIND(":",I20,1)+1)*1)</f>
        <v/>
      </c>
      <c r="AD20" s="120" t="str">
        <f>IF(OR(tblActuals35415[[#This Row],[Team 1 Goals]]="",tblActuals35415[[#This Row],[Team 2 Goals]]=""),"",tblActuals35415[[#This Row],[Team 1 Goals]]-tblActuals35415[[#This Row],[Team 2 Goals]])</f>
        <v/>
      </c>
      <c r="AE20" s="120" t="str">
        <f>IF(OR(tblActuals35415[[#This Row],[Team 1 Goals]]="",tblActuals35415[[#This Row],[Team 2 Goals]]=""),"",tblActuals35415[[#This Row],[Team 2 Goals]]-tblActuals35415[[#This Row],[Team 1 Goals]])</f>
        <v/>
      </c>
      <c r="AF20" s="120" t="str">
        <f>IF(tblActuals35415[[#This Row],[SCORE]]="","",IF(tblActuals35415[[#This Row],[WINNER / RESULT]]="Draw",1,IF(tblActuals35415[[#This Row],[WINNER / RESULT]]=tblActuals35415[[#This Row],[Team 1]],3,0)))</f>
        <v/>
      </c>
      <c r="AG20" s="120" t="str">
        <f>IF(tblActuals35415[[#This Row],[SCORE]]="","",IF(tblActuals35415[[#This Row],[WINNER / RESULT]]="Draw",1,IF(tblActuals35415[[#This Row],[WINNER / RESULT]]=tblActuals35415[[#This Row],[Team 2]],3,0)))</f>
        <v/>
      </c>
      <c r="AH20" s="121"/>
      <c r="AI20" s="121"/>
      <c r="AJ20" s="121"/>
      <c r="AK20" s="121"/>
      <c r="AL20" s="120" t="e">
        <f>tblActuals35415[[#This Row],[Team 1 Goals]]+tblActuals35415[[#This Row],[Team 1 ET Goals]]&amp;":"&amp;tblActuals35415[[#This Row],[Team 2 Goals]]+tblActuals35415[[#This Row],[Team 2 ET Goals]]</f>
        <v>#VALUE!</v>
      </c>
      <c r="AM20" s="120" t="e">
        <f>+tblActuals35415[[#This Row],[Team 1 Goals]]+tblActuals35415[[#This Row],[Team 2 Goals]]</f>
        <v>#VALUE!</v>
      </c>
      <c r="AN20" s="161">
        <f t="shared" si="3"/>
        <v>45463</v>
      </c>
      <c r="AT20" s="77" t="s">
        <v>6</v>
      </c>
      <c r="AU20" s="142">
        <v>3</v>
      </c>
      <c r="AV20" s="143" t="str">
        <f ca="1">IFERROR(INDEX(BD:BD,MATCH("3"&amp;AT20,BN:BN,0),1),"")</f>
        <v>Serbia</v>
      </c>
      <c r="AW20" s="143" t="str">
        <f ca="1">IF(AV20="","",VLOOKUP(AV20,BD:BI,2,FALSE)&amp;"-"&amp;VLOOKUP(AV20,BD:BI,3,FALSE)&amp;"-"&amp;VLOOKUP(AV20,BD:BI,4,FALSE))</f>
        <v>0-0-0</v>
      </c>
      <c r="AX20" s="143">
        <f ca="1">IF(AV20="","",VLOOKUP(AV20,BD:BK,8,FALSE))</f>
        <v>0</v>
      </c>
      <c r="AY20" s="144">
        <f ca="1">IF(AV20="","",VLOOKUP(AV20,BD:BN,5,FALSE))</f>
        <v>0</v>
      </c>
      <c r="AZ20" s="75" t="str">
        <f ca="1">IF(INDEX($AU$43:$AU$48,MATCH(AV20,$AV$43:$AV$48,0),1)&lt;=4,"X","")</f>
        <v>X</v>
      </c>
      <c r="BA20" s="4"/>
      <c r="BB20" s="4"/>
      <c r="BC20" s="4" t="s">
        <v>7</v>
      </c>
      <c r="BD20" s="4" t="s">
        <v>26</v>
      </c>
      <c r="BE20" s="4">
        <f>COUNTIF(tblActuals35415[Winner],BD20)</f>
        <v>0</v>
      </c>
      <c r="BF20" s="4">
        <f>COUNTIFS(tblActuals35415[Team 2],BD20,tblActuals35415[WINNER / RESULT],"Draw")+COUNTIFS(tblActuals35415[Team 1],BD20,tblActuals35415[WINNER / RESULT],"Draw")</f>
        <v>0</v>
      </c>
      <c r="BG20" s="4">
        <f>COUNTIF(tblActuals35415[Loser],BD20)</f>
        <v>0</v>
      </c>
      <c r="BH20" s="4">
        <f>BF20+(3*BE20)</f>
        <v>0</v>
      </c>
      <c r="BI20" s="4">
        <f>SUMIFS(tblActuals35415[Team 1 Goals],tblActuals35415[Team 1],BD20)+SUMIFS(tblActuals35415[Team 2 Goals],tblActuals35415[Team 2],BD20)</f>
        <v>0</v>
      </c>
      <c r="BJ20" s="4">
        <f>SUMIFS(tblActuals35415[Team 2 Goals],tblActuals35415[Team 1],BD20)+SUMIFS(tblActuals35415[Team 1 Goals],tblActuals35415[Team 2],BD20)</f>
        <v>0</v>
      </c>
      <c r="BK20" s="4">
        <f>BI20-BJ20</f>
        <v>0</v>
      </c>
      <c r="BL20" s="4">
        <f ca="1">RANK(BY20,$BY$19:$BY$22,1)</f>
        <v>2</v>
      </c>
      <c r="BM20" s="4" t="str">
        <f t="shared" si="4"/>
        <v/>
      </c>
      <c r="BN20" s="4" t="str">
        <f ca="1">IF(BM20="",BL20&amp;BC20,BM20&amp;BC20)</f>
        <v>2D</v>
      </c>
      <c r="BO20" s="4">
        <f>RANK(BH20,$BH$19:$BH$22,0)</f>
        <v>1</v>
      </c>
      <c r="BP20" s="4" cm="1">
        <f t="array" aca="1" ref="BP20" ca="1">SUMPRODUCT((OFFSET($CV$3:$EA$3,MATCH($BD20,$CU$4:$CU$35,0),0))*((IF($BO21=$BO20,$CV$3:$EA$3=$BD21,0))+(IF($BO22=$BO20,$CV$3:$EA$3=$BD22,0))+(IF($BO19=$BO20,$CV$3:$EA$3=$BD19,0))))</f>
        <v>0</v>
      </c>
      <c r="BQ20" s="4" cm="1">
        <f t="array" aca="1" ref="BQ20" ca="1">SUMPRODUCT((OFFSET($ED$3:$FI$3,MATCH($BD20,$EC$4:$EC$35,0),0))*((IF($BO21=$BO20,$ED$3:$FI$3=$BD21,0))+(IF($BO22=$BO20,$ED$3:$FI$3=$BD22,0))+(IF($BO19=$BO20,$ED$3:$FI$3=$BD19,0))))</f>
        <v>0</v>
      </c>
      <c r="BR20" s="4" cm="1">
        <f t="array" aca="1" ref="BR20" ca="1">SUMPRODUCT((OFFSET($FL$3:$GQ$3,MATCH($BD20,$FK$4:$FK$35,0),0))*((IF($BO21=$BO20,$FL$3:$GQ$3=$BD21,0))+(IF($BO22=$BO20,$FL$3:$GQ$3=$BD22,0))+(IF($BO19=$BO20,$FL$3:$GQ$3=$BD19,0))))</f>
        <v>0</v>
      </c>
      <c r="BS20" s="4" cm="1">
        <f t="array" aca="1" ref="BS20" ca="1">SUMPRODUCT((OFFSET($CV$3:$EA$3,MATCH($BD20,$CU$4:$CU$35,0),0))*((IF($BO21&lt;&gt;$BO20,$CV$3:$EA$3=$BD21,0))+(IF($BO22&lt;&gt;$BO20,$CV$3:$EA$3=$BD22,0))+(IF($BO19&lt;&gt;$BO20,$CV$3:$EA$3=$BD19,0))))</f>
        <v>0</v>
      </c>
      <c r="BT20" s="4" cm="1">
        <f t="array" aca="1" ref="BT20" ca="1">SUMPRODUCT((OFFSET($ED$3:$FI$3,MATCH($BD20,$EC$4:$EC$35,0),0))*((IF($BO21&lt;&gt;$BO20,$ED$3:$FI$3=$BD21,0))+(IF($BO22&lt;&gt;$BO20,$ED$3:$FI$3=$BD22,0))+(IF($BO19&lt;&gt;$BO20,$ED$3:$FI$3=$BD19,0))))</f>
        <v>0</v>
      </c>
      <c r="BU20" s="4" cm="1">
        <f t="array" aca="1" ref="BU20" ca="1">SUMPRODUCT((OFFSET($FL$3:$GQ$3,MATCH($BD20,$FK$4:$FK$35,0),0))*((IF($BO21&lt;&gt;$BO20,$FL$3:$GQ$3=$BD21,0))+(IF($BO22&lt;&gt;$BO20,$FL$3:$GQ$3=$BD22,0))+(IF($BO19&lt;&gt;$BO20,$FL$3:$GQ$3=$BD19,0))))</f>
        <v>0</v>
      </c>
      <c r="BV20" s="4">
        <f>BK20</f>
        <v>0</v>
      </c>
      <c r="BW20" s="4">
        <f>BI20</f>
        <v>0</v>
      </c>
      <c r="BX20" s="4">
        <f ca="1">(BP20/10)+(BQ20/100)+(BR20/1000)+(BT20/10000)+(BU20/100000)+(BV20/1000000)+(BW20/10000000)+(ROW(BS21)/100000000)</f>
        <v>2.1E-7</v>
      </c>
      <c r="BY20" s="4">
        <f ca="1">+BO20-BX20</f>
        <v>0.99999979000000006</v>
      </c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U20" s="4" t="s">
        <v>29</v>
      </c>
      <c r="CV20" s="56">
        <f>SUMIFS(tblActuals35415[Team 2 Points],tblActuals35415[Team 2],$CU20,tblActuals35415[Team 1],CV$3)+SUMIFS(tblActuals35415[Team 1 Points],tblActuals35415[Team 1],$CU20,tblActuals35415[Team 2],CV$3)</f>
        <v>0</v>
      </c>
      <c r="CW20" s="56">
        <f>SUMIFS(tblActuals35415[Team 2 Points],tblActuals35415[Team 2],$CU20,tblActuals35415[Team 1],CW$3)+SUMIFS(tblActuals35415[Team 1 Points],tblActuals35415[Team 1],$CU20,tblActuals35415[Team 2],CW$3)</f>
        <v>0</v>
      </c>
      <c r="CX20" s="56">
        <f>SUMIFS(tblActuals35415[Team 2 Points],tblActuals35415[Team 2],$CU20,tblActuals35415[Team 1],CX$3)+SUMIFS(tblActuals35415[Team 1 Points],tblActuals35415[Team 1],$CU20,tblActuals35415[Team 2],CX$3)</f>
        <v>0</v>
      </c>
      <c r="CY20" s="56">
        <f>SUMIFS(tblActuals35415[Team 2 Points],tblActuals35415[Team 2],$CU20,tblActuals35415[Team 1],CY$3)+SUMIFS(tblActuals35415[Team 1 Points],tblActuals35415[Team 1],$CU20,tblActuals35415[Team 2],CY$3)</f>
        <v>0</v>
      </c>
      <c r="CZ20" s="56">
        <f>SUMIFS(tblActuals35415[Team 2 Points],tblActuals35415[Team 2],$CU20,tblActuals35415[Team 1],CZ$3)+SUMIFS(tblActuals35415[Team 1 Points],tblActuals35415[Team 1],$CU20,tblActuals35415[Team 2],CZ$3)</f>
        <v>0</v>
      </c>
      <c r="DA20" s="56">
        <f>SUMIFS(tblActuals35415[Team 2 Points],tblActuals35415[Team 2],$CU20,tblActuals35415[Team 1],DA$3)+SUMIFS(tblActuals35415[Team 1 Points],tblActuals35415[Team 1],$CU20,tblActuals35415[Team 2],DA$3)</f>
        <v>0</v>
      </c>
      <c r="DB20" s="56">
        <f>SUMIFS(tblActuals35415[Team 2 Points],tblActuals35415[Team 2],$CU20,tblActuals35415[Team 1],DB$3)+SUMIFS(tblActuals35415[Team 1 Points],tblActuals35415[Team 1],$CU20,tblActuals35415[Team 2],DB$3)</f>
        <v>0</v>
      </c>
      <c r="DC20" s="56">
        <f>SUMIFS(tblActuals35415[Team 2 Points],tblActuals35415[Team 2],$CU20,tblActuals35415[Team 1],DC$3)+SUMIFS(tblActuals35415[Team 1 Points],tblActuals35415[Team 1],$CU20,tblActuals35415[Team 2],DC$3)</f>
        <v>0</v>
      </c>
      <c r="DD20" s="56">
        <f>SUMIFS(tblActuals35415[Team 2 Points],tblActuals35415[Team 2],$CU20,tblActuals35415[Team 1],DD$3)+SUMIFS(tblActuals35415[Team 1 Points],tblActuals35415[Team 1],$CU20,tblActuals35415[Team 2],DD$3)</f>
        <v>0</v>
      </c>
      <c r="DE20" s="56">
        <f>SUMIFS(tblActuals35415[Team 2 Points],tblActuals35415[Team 2],$CU20,tblActuals35415[Team 1],DE$3)+SUMIFS(tblActuals35415[Team 1 Points],tblActuals35415[Team 1],$CU20,tblActuals35415[Team 2],DE$3)</f>
        <v>0</v>
      </c>
      <c r="DF20" s="56">
        <f>SUMIFS(tblActuals35415[Team 2 Points],tblActuals35415[Team 2],$CU20,tblActuals35415[Team 1],DF$3)+SUMIFS(tblActuals35415[Team 1 Points],tblActuals35415[Team 1],$CU20,tblActuals35415[Team 2],DF$3)</f>
        <v>0</v>
      </c>
      <c r="DG20" s="56">
        <f>SUMIFS(tblActuals35415[Team 2 Points],tblActuals35415[Team 2],$CU20,tblActuals35415[Team 1],DG$3)+SUMIFS(tblActuals35415[Team 1 Points],tblActuals35415[Team 1],$CU20,tblActuals35415[Team 2],DG$3)</f>
        <v>0</v>
      </c>
      <c r="DH20" s="56">
        <f>SUMIFS(tblActuals35415[Team 2 Points],tblActuals35415[Team 2],$CU20,tblActuals35415[Team 1],DH$3)+SUMIFS(tblActuals35415[Team 1 Points],tblActuals35415[Team 1],$CU20,tblActuals35415[Team 2],DH$3)</f>
        <v>0</v>
      </c>
      <c r="DI20" s="56">
        <f>SUMIFS(tblActuals35415[Team 2 Points],tblActuals35415[Team 2],$CU20,tblActuals35415[Team 1],DI$3)+SUMIFS(tblActuals35415[Team 1 Points],tblActuals35415[Team 1],$CU20,tblActuals35415[Team 2],DI$3)</f>
        <v>0</v>
      </c>
      <c r="DJ20" s="56">
        <f>SUMIFS(tblActuals35415[Team 2 Points],tblActuals35415[Team 2],$CU20,tblActuals35415[Team 1],DJ$3)+SUMIFS(tblActuals35415[Team 1 Points],tblActuals35415[Team 1],$CU20,tblActuals35415[Team 2],DJ$3)</f>
        <v>0</v>
      </c>
      <c r="DK20" s="56">
        <f>SUMIFS(tblActuals35415[Team 2 Points],tblActuals35415[Team 2],$CU20,tblActuals35415[Team 1],DK$3)+SUMIFS(tblActuals35415[Team 1 Points],tblActuals35415[Team 1],$CU20,tblActuals35415[Team 2],DK$3)</f>
        <v>0</v>
      </c>
      <c r="DL20" s="56">
        <f>SUMIFS(tblActuals35415[Team 2 Points],tblActuals35415[Team 2],$CU20,tblActuals35415[Team 1],DL$3)+SUMIFS(tblActuals35415[Team 1 Points],tblActuals35415[Team 1],$CU20,tblActuals35415[Team 2],DL$3)</f>
        <v>0</v>
      </c>
      <c r="DM20" s="56">
        <f>SUMIFS(tblActuals35415[Team 2 Points],tblActuals35415[Team 2],$CU20,tblActuals35415[Team 1],DM$3)+SUMIFS(tblActuals35415[Team 1 Points],tblActuals35415[Team 1],$CU20,tblActuals35415[Team 2],DM$3)</f>
        <v>0</v>
      </c>
      <c r="DN20" s="56">
        <f>SUMIFS(tblActuals35415[Team 2 Points],tblActuals35415[Team 2],$CU20,tblActuals35415[Team 1],DN$3)+SUMIFS(tblActuals35415[Team 1 Points],tblActuals35415[Team 1],$CU20,tblActuals35415[Team 2],DN$3)</f>
        <v>0</v>
      </c>
      <c r="DO20" s="56">
        <f>SUMIFS(tblActuals35415[Team 2 Points],tblActuals35415[Team 2],$CU20,tblActuals35415[Team 1],DO$3)+SUMIFS(tblActuals35415[Team 1 Points],tblActuals35415[Team 1],$CU20,tblActuals35415[Team 2],DO$3)</f>
        <v>0</v>
      </c>
      <c r="DP20" s="56">
        <f>SUMIFS(tblActuals35415[Team 2 Points],tblActuals35415[Team 2],$CU20,tblActuals35415[Team 1],DP$3)+SUMIFS(tblActuals35415[Team 1 Points],tblActuals35415[Team 1],$CU20,tblActuals35415[Team 2],DP$3)</f>
        <v>0</v>
      </c>
      <c r="DQ20" s="56">
        <f>SUMIFS(tblActuals35415[Team 2 Points],tblActuals35415[Team 2],$CU20,tblActuals35415[Team 1],DQ$3)+SUMIFS(tblActuals35415[Team 1 Points],tblActuals35415[Team 1],$CU20,tblActuals35415[Team 2],DQ$3)</f>
        <v>0</v>
      </c>
      <c r="DR20" s="56">
        <f>SUMIFS(tblActuals35415[Team 2 Points],tblActuals35415[Team 2],$CU20,tblActuals35415[Team 1],DR$3)+SUMIFS(tblActuals35415[Team 1 Points],tblActuals35415[Team 1],$CU20,tblActuals35415[Team 2],DR$3)</f>
        <v>0</v>
      </c>
      <c r="DS20" s="56">
        <f>SUMIFS(tblActuals35415[Team 2 Points],tblActuals35415[Team 2],$CU20,tblActuals35415[Team 1],DS$3)+SUMIFS(tblActuals35415[Team 1 Points],tblActuals35415[Team 1],$CU20,tblActuals35415[Team 2],DS$3)</f>
        <v>0</v>
      </c>
      <c r="DT20" s="57"/>
      <c r="DU20" s="57"/>
      <c r="DV20" s="57"/>
      <c r="DW20" s="57"/>
      <c r="DX20" s="57"/>
      <c r="DY20" s="57"/>
      <c r="DZ20" s="57"/>
      <c r="EA20" s="57"/>
      <c r="EB20" s="4"/>
      <c r="EC20" s="4" t="s">
        <v>29</v>
      </c>
      <c r="ED20" s="56">
        <f>SUMIFS(tblActuals35415[Team 2 GD],tblActuals35415[Team 2],$CU20,tblActuals35415[Team 1],ED$3)+SUMIFS(tblActuals35415[Team 1 GD],tblActuals35415[Team 1],$CU20,tblActuals35415[Team 2],ED$3)</f>
        <v>0</v>
      </c>
      <c r="EE20" s="56">
        <f>SUMIFS(tblActuals35415[Team 2 GD],tblActuals35415[Team 2],$CU20,tblActuals35415[Team 1],EE$3)+SUMIFS(tblActuals35415[Team 1 GD],tblActuals35415[Team 1],$CU20,tblActuals35415[Team 2],EE$3)</f>
        <v>0</v>
      </c>
      <c r="EF20" s="56">
        <f>SUMIFS(tblActuals35415[Team 2 GD],tblActuals35415[Team 2],$CU20,tblActuals35415[Team 1],EF$3)+SUMIFS(tblActuals35415[Team 1 GD],tblActuals35415[Team 1],$CU20,tblActuals35415[Team 2],EF$3)</f>
        <v>0</v>
      </c>
      <c r="EG20" s="56">
        <f>SUMIFS(tblActuals35415[Team 2 GD],tblActuals35415[Team 2],$CU20,tblActuals35415[Team 1],EG$3)+SUMIFS(tblActuals35415[Team 1 GD],tblActuals35415[Team 1],$CU20,tblActuals35415[Team 2],EG$3)</f>
        <v>0</v>
      </c>
      <c r="EH20" s="56">
        <f>SUMIFS(tblActuals35415[Team 2 GD],tblActuals35415[Team 2],$CU20,tblActuals35415[Team 1],EH$3)+SUMIFS(tblActuals35415[Team 1 GD],tblActuals35415[Team 1],$CU20,tblActuals35415[Team 2],EH$3)</f>
        <v>0</v>
      </c>
      <c r="EI20" s="56">
        <f>SUMIFS(tblActuals35415[Team 2 GD],tblActuals35415[Team 2],$CU20,tblActuals35415[Team 1],EI$3)+SUMIFS(tblActuals35415[Team 1 GD],tblActuals35415[Team 1],$CU20,tblActuals35415[Team 2],EI$3)</f>
        <v>0</v>
      </c>
      <c r="EJ20" s="56">
        <f>SUMIFS(tblActuals35415[Team 2 GD],tblActuals35415[Team 2],$CU20,tblActuals35415[Team 1],EJ$3)+SUMIFS(tblActuals35415[Team 1 GD],tblActuals35415[Team 1],$CU20,tblActuals35415[Team 2],EJ$3)</f>
        <v>0</v>
      </c>
      <c r="EK20" s="56">
        <f>SUMIFS(tblActuals35415[Team 2 GD],tblActuals35415[Team 2],$CU20,tblActuals35415[Team 1],EK$3)+SUMIFS(tblActuals35415[Team 1 GD],tblActuals35415[Team 1],$CU20,tblActuals35415[Team 2],EK$3)</f>
        <v>0</v>
      </c>
      <c r="EL20" s="56">
        <f>SUMIFS(tblActuals35415[Team 2 GD],tblActuals35415[Team 2],$CU20,tblActuals35415[Team 1],EL$3)+SUMIFS(tblActuals35415[Team 1 GD],tblActuals35415[Team 1],$CU20,tblActuals35415[Team 2],EL$3)</f>
        <v>0</v>
      </c>
      <c r="EM20" s="56">
        <f>SUMIFS(tblActuals35415[Team 2 GD],tblActuals35415[Team 2],$CU20,tblActuals35415[Team 1],EM$3)+SUMIFS(tblActuals35415[Team 1 GD],tblActuals35415[Team 1],$CU20,tblActuals35415[Team 2],EM$3)</f>
        <v>0</v>
      </c>
      <c r="EN20" s="56">
        <f>SUMIFS(tblActuals35415[Team 2 GD],tblActuals35415[Team 2],$CU20,tblActuals35415[Team 1],EN$3)+SUMIFS(tblActuals35415[Team 1 GD],tblActuals35415[Team 1],$CU20,tblActuals35415[Team 2],EN$3)</f>
        <v>0</v>
      </c>
      <c r="EO20" s="56">
        <f>SUMIFS(tblActuals35415[Team 2 GD],tblActuals35415[Team 2],$CU20,tblActuals35415[Team 1],EO$3)+SUMIFS(tblActuals35415[Team 1 GD],tblActuals35415[Team 1],$CU20,tblActuals35415[Team 2],EO$3)</f>
        <v>0</v>
      </c>
      <c r="EP20" s="56">
        <f>SUMIFS(tblActuals35415[Team 2 GD],tblActuals35415[Team 2],$CU20,tblActuals35415[Team 1],EP$3)+SUMIFS(tblActuals35415[Team 1 GD],tblActuals35415[Team 1],$CU20,tblActuals35415[Team 2],EP$3)</f>
        <v>0</v>
      </c>
      <c r="EQ20" s="56">
        <f>SUMIFS(tblActuals35415[Team 2 GD],tblActuals35415[Team 2],$CU20,tblActuals35415[Team 1],EQ$3)+SUMIFS(tblActuals35415[Team 1 GD],tblActuals35415[Team 1],$CU20,tblActuals35415[Team 2],EQ$3)</f>
        <v>0</v>
      </c>
      <c r="ER20" s="56">
        <f>SUMIFS(tblActuals35415[Team 2 GD],tblActuals35415[Team 2],$CU20,tblActuals35415[Team 1],ER$3)+SUMIFS(tblActuals35415[Team 1 GD],tblActuals35415[Team 1],$CU20,tblActuals35415[Team 2],ER$3)</f>
        <v>0</v>
      </c>
      <c r="ES20" s="56">
        <f>SUMIFS(tblActuals35415[Team 2 GD],tblActuals35415[Team 2],$CU20,tblActuals35415[Team 1],ES$3)+SUMIFS(tblActuals35415[Team 1 GD],tblActuals35415[Team 1],$CU20,tblActuals35415[Team 2],ES$3)</f>
        <v>0</v>
      </c>
      <c r="ET20" s="56">
        <f>SUMIFS(tblActuals35415[Team 2 GD],tblActuals35415[Team 2],$CU20,tblActuals35415[Team 1],ET$3)+SUMIFS(tblActuals35415[Team 1 GD],tblActuals35415[Team 1],$CU20,tblActuals35415[Team 2],ET$3)</f>
        <v>0</v>
      </c>
      <c r="EU20" s="56">
        <f>SUMIFS(tblActuals35415[Team 2 GD],tblActuals35415[Team 2],$CU20,tblActuals35415[Team 1],EU$3)+SUMIFS(tblActuals35415[Team 1 GD],tblActuals35415[Team 1],$CU20,tblActuals35415[Team 2],EU$3)</f>
        <v>0</v>
      </c>
      <c r="EV20" s="56">
        <f>SUMIFS(tblActuals35415[Team 2 GD],tblActuals35415[Team 2],$CU20,tblActuals35415[Team 1],EV$3)+SUMIFS(tblActuals35415[Team 1 GD],tblActuals35415[Team 1],$CU20,tblActuals35415[Team 2],EV$3)</f>
        <v>0</v>
      </c>
      <c r="EW20" s="56">
        <f>SUMIFS(tblActuals35415[Team 2 GD],tblActuals35415[Team 2],$CU20,tblActuals35415[Team 1],EW$3)+SUMIFS(tblActuals35415[Team 1 GD],tblActuals35415[Team 1],$CU20,tblActuals35415[Team 2],EW$3)</f>
        <v>0</v>
      </c>
      <c r="EX20" s="56">
        <f>SUMIFS(tblActuals35415[Team 2 GD],tblActuals35415[Team 2],$CU20,tblActuals35415[Team 1],EX$3)+SUMIFS(tblActuals35415[Team 1 GD],tblActuals35415[Team 1],$CU20,tblActuals35415[Team 2],EX$3)</f>
        <v>0</v>
      </c>
      <c r="EY20" s="56">
        <f>SUMIFS(tblActuals35415[Team 2 GD],tblActuals35415[Team 2],$CU20,tblActuals35415[Team 1],EY$3)+SUMIFS(tblActuals35415[Team 1 GD],tblActuals35415[Team 1],$CU20,tblActuals35415[Team 2],EY$3)</f>
        <v>0</v>
      </c>
      <c r="EZ20" s="56">
        <f>SUMIFS(tblActuals35415[Team 2 GD],tblActuals35415[Team 2],$CU20,tblActuals35415[Team 1],EZ$3)+SUMIFS(tblActuals35415[Team 1 GD],tblActuals35415[Team 1],$CU20,tblActuals35415[Team 2],EZ$3)</f>
        <v>0</v>
      </c>
      <c r="FA20" s="56">
        <f>SUMIFS(tblActuals35415[Team 2 GD],tblActuals35415[Team 2],$CU20,tblActuals35415[Team 1],FA$3)+SUMIFS(tblActuals35415[Team 1 GD],tblActuals35415[Team 1],$CU20,tblActuals35415[Team 2],FA$3)</f>
        <v>0</v>
      </c>
      <c r="FB20" s="57"/>
      <c r="FC20" s="57"/>
      <c r="FD20" s="57"/>
      <c r="FE20" s="57"/>
      <c r="FF20" s="57"/>
      <c r="FG20" s="57"/>
      <c r="FH20" s="57"/>
      <c r="FI20" s="57"/>
      <c r="FJ20" s="4"/>
      <c r="FK20" s="4" t="s">
        <v>29</v>
      </c>
      <c r="FL20" s="56">
        <f>SUMIFS(tblActuals35415[Team 2 Goals],tblActuals35415[Team 2],$CU20,tblActuals35415[Team 1],FL$3)+SUMIFS(tblActuals35415[Team 1 Goals],tblActuals35415[Team 1],$CU20,tblActuals35415[Team 2],FL$3)</f>
        <v>0</v>
      </c>
      <c r="FM20" s="56">
        <f>SUMIFS(tblActuals35415[Team 2 Goals],tblActuals35415[Team 2],$CU20,tblActuals35415[Team 1],FM$3)+SUMIFS(tblActuals35415[Team 1 Goals],tblActuals35415[Team 1],$CU20,tblActuals35415[Team 2],FM$3)</f>
        <v>0</v>
      </c>
      <c r="FN20" s="56">
        <f>SUMIFS(tblActuals35415[Team 2 Goals],tblActuals35415[Team 2],$CU20,tblActuals35415[Team 1],FN$3)+SUMIFS(tblActuals35415[Team 1 Goals],tblActuals35415[Team 1],$CU20,tblActuals35415[Team 2],FN$3)</f>
        <v>0</v>
      </c>
      <c r="FO20" s="56">
        <f>SUMIFS(tblActuals35415[Team 2 Goals],tblActuals35415[Team 2],$CU20,tblActuals35415[Team 1],FO$3)+SUMIFS(tblActuals35415[Team 1 Goals],tblActuals35415[Team 1],$CU20,tblActuals35415[Team 2],FO$3)</f>
        <v>0</v>
      </c>
      <c r="FP20" s="56">
        <f>SUMIFS(tblActuals35415[Team 2 Goals],tblActuals35415[Team 2],$CU20,tblActuals35415[Team 1],FP$3)+SUMIFS(tblActuals35415[Team 1 Goals],tblActuals35415[Team 1],$CU20,tblActuals35415[Team 2],FP$3)</f>
        <v>0</v>
      </c>
      <c r="FQ20" s="56">
        <f>SUMIFS(tblActuals35415[Team 2 Goals],tblActuals35415[Team 2],$CU20,tblActuals35415[Team 1],FQ$3)+SUMIFS(tblActuals35415[Team 1 Goals],tblActuals35415[Team 1],$CU20,tblActuals35415[Team 2],FQ$3)</f>
        <v>0</v>
      </c>
      <c r="FR20" s="56">
        <f>SUMIFS(tblActuals35415[Team 2 Goals],tblActuals35415[Team 2],$CU20,tblActuals35415[Team 1],FR$3)+SUMIFS(tblActuals35415[Team 1 Goals],tblActuals35415[Team 1],$CU20,tblActuals35415[Team 2],FR$3)</f>
        <v>0</v>
      </c>
      <c r="FS20" s="56">
        <f>SUMIFS(tblActuals35415[Team 2 Goals],tblActuals35415[Team 2],$CU20,tblActuals35415[Team 1],FS$3)+SUMIFS(tblActuals35415[Team 1 Goals],tblActuals35415[Team 1],$CU20,tblActuals35415[Team 2],FS$3)</f>
        <v>0</v>
      </c>
      <c r="FT20" s="56">
        <f>SUMIFS(tblActuals35415[Team 2 Goals],tblActuals35415[Team 2],$CU20,tblActuals35415[Team 1],FT$3)+SUMIFS(tblActuals35415[Team 1 Goals],tblActuals35415[Team 1],$CU20,tblActuals35415[Team 2],FT$3)</f>
        <v>0</v>
      </c>
      <c r="FU20" s="56">
        <f>SUMIFS(tblActuals35415[Team 2 Goals],tblActuals35415[Team 2],$CU20,tblActuals35415[Team 1],FU$3)+SUMIFS(tblActuals35415[Team 1 Goals],tblActuals35415[Team 1],$CU20,tblActuals35415[Team 2],FU$3)</f>
        <v>0</v>
      </c>
      <c r="FV20" s="56">
        <f>SUMIFS(tblActuals35415[Team 2 Goals],tblActuals35415[Team 2],$CU20,tblActuals35415[Team 1],FV$3)+SUMIFS(tblActuals35415[Team 1 Goals],tblActuals35415[Team 1],$CU20,tblActuals35415[Team 2],FV$3)</f>
        <v>0</v>
      </c>
      <c r="FW20" s="56">
        <f>SUMIFS(tblActuals35415[Team 2 Goals],tblActuals35415[Team 2],$CU20,tblActuals35415[Team 1],FW$3)+SUMIFS(tblActuals35415[Team 1 Goals],tblActuals35415[Team 1],$CU20,tblActuals35415[Team 2],FW$3)</f>
        <v>0</v>
      </c>
      <c r="FX20" s="56">
        <f>SUMIFS(tblActuals35415[Team 2 Goals],tblActuals35415[Team 2],$CU20,tblActuals35415[Team 1],FX$3)+SUMIFS(tblActuals35415[Team 1 Goals],tblActuals35415[Team 1],$CU20,tblActuals35415[Team 2],FX$3)</f>
        <v>0</v>
      </c>
      <c r="FY20" s="56">
        <f>SUMIFS(tblActuals35415[Team 2 Goals],tblActuals35415[Team 2],$CU20,tblActuals35415[Team 1],FY$3)+SUMIFS(tblActuals35415[Team 1 Goals],tblActuals35415[Team 1],$CU20,tblActuals35415[Team 2],FY$3)</f>
        <v>0</v>
      </c>
      <c r="FZ20" s="56">
        <f>SUMIFS(tblActuals35415[Team 2 Goals],tblActuals35415[Team 2],$CU20,tblActuals35415[Team 1],FZ$3)+SUMIFS(tblActuals35415[Team 1 Goals],tblActuals35415[Team 1],$CU20,tblActuals35415[Team 2],FZ$3)</f>
        <v>0</v>
      </c>
      <c r="GA20" s="56">
        <f>SUMIFS(tblActuals35415[Team 2 Goals],tblActuals35415[Team 2],$CU20,tblActuals35415[Team 1],GA$3)+SUMIFS(tblActuals35415[Team 1 Goals],tblActuals35415[Team 1],$CU20,tblActuals35415[Team 2],GA$3)</f>
        <v>0</v>
      </c>
      <c r="GB20" s="56">
        <f>SUMIFS(tblActuals35415[Team 2 Goals],tblActuals35415[Team 2],$CU20,tblActuals35415[Team 1],GB$3)+SUMIFS(tblActuals35415[Team 1 Goals],tblActuals35415[Team 1],$CU20,tblActuals35415[Team 2],GB$3)</f>
        <v>0</v>
      </c>
      <c r="GC20" s="56">
        <f>SUMIFS(tblActuals35415[Team 2 Goals],tblActuals35415[Team 2],$CU20,tblActuals35415[Team 1],GC$3)+SUMIFS(tblActuals35415[Team 1 Goals],tblActuals35415[Team 1],$CU20,tblActuals35415[Team 2],GC$3)</f>
        <v>0</v>
      </c>
      <c r="GD20" s="56">
        <f>SUMIFS(tblActuals35415[Team 2 Goals],tblActuals35415[Team 2],$CU20,tblActuals35415[Team 1],GD$3)+SUMIFS(tblActuals35415[Team 1 Goals],tblActuals35415[Team 1],$CU20,tblActuals35415[Team 2],GD$3)</f>
        <v>0</v>
      </c>
      <c r="GE20" s="56">
        <f>SUMIFS(tblActuals35415[Team 2 Goals],tblActuals35415[Team 2],$CU20,tblActuals35415[Team 1],GE$3)+SUMIFS(tblActuals35415[Team 1 Goals],tblActuals35415[Team 1],$CU20,tblActuals35415[Team 2],GE$3)</f>
        <v>0</v>
      </c>
      <c r="GF20" s="56">
        <f>SUMIFS(tblActuals35415[Team 2 Goals],tblActuals35415[Team 2],$CU20,tblActuals35415[Team 1],GF$3)+SUMIFS(tblActuals35415[Team 1 Goals],tblActuals35415[Team 1],$CU20,tblActuals35415[Team 2],GF$3)</f>
        <v>0</v>
      </c>
      <c r="GG20" s="56">
        <f>SUMIFS(tblActuals35415[Team 2 Goals],tblActuals35415[Team 2],$CU20,tblActuals35415[Team 1],GG$3)+SUMIFS(tblActuals35415[Team 1 Goals],tblActuals35415[Team 1],$CU20,tblActuals35415[Team 2],GG$3)</f>
        <v>0</v>
      </c>
      <c r="GH20" s="56">
        <f>SUMIFS(tblActuals35415[Team 2 Goals],tblActuals35415[Team 2],$CU20,tblActuals35415[Team 1],GH$3)+SUMIFS(tblActuals35415[Team 1 Goals],tblActuals35415[Team 1],$CU20,tblActuals35415[Team 2],GH$3)</f>
        <v>0</v>
      </c>
      <c r="GI20" s="56">
        <f>SUMIFS(tblActuals35415[Team 2 Goals],tblActuals35415[Team 2],$CU20,tblActuals35415[Team 1],GI$3)+SUMIFS(tblActuals35415[Team 1 Goals],tblActuals35415[Team 1],$CU20,tblActuals35415[Team 2],GI$3)</f>
        <v>0</v>
      </c>
      <c r="GJ20" s="57"/>
      <c r="GK20" s="57"/>
      <c r="GL20" s="37"/>
      <c r="GM20" s="37"/>
      <c r="GN20" s="37"/>
      <c r="GO20" s="37"/>
      <c r="GP20" s="37"/>
      <c r="GQ20" s="37"/>
      <c r="GR20" s="75"/>
      <c r="GS20" s="156"/>
      <c r="GT20" s="156"/>
      <c r="GU20" s="75"/>
      <c r="GV20" s="75"/>
      <c r="GW20" s="75"/>
      <c r="GX20" s="75"/>
      <c r="GY20" s="75"/>
      <c r="GZ20" s="75"/>
    </row>
    <row r="21" spans="1:221" s="11" customFormat="1" ht="30" customHeight="1" thickBot="1" x14ac:dyDescent="0.3">
      <c r="A21" s="20"/>
      <c r="B21" s="122">
        <v>18</v>
      </c>
      <c r="C21" s="122" t="s">
        <v>6</v>
      </c>
      <c r="D21" s="123">
        <v>45463</v>
      </c>
      <c r="E21" s="122" t="s">
        <v>78</v>
      </c>
      <c r="F21" s="124">
        <v>0.625</v>
      </c>
      <c r="G21" s="125">
        <f t="shared" si="11"/>
        <v>45463.375</v>
      </c>
      <c r="H21" s="122" t="s">
        <v>106</v>
      </c>
      <c r="I21" s="126"/>
      <c r="J21" s="118"/>
      <c r="K21" s="118"/>
      <c r="L21" s="174">
        <f>IF(I21="",0,IFERROR(IF(SCORING.RULES!$C$8="No",1,((VLOOKUP($B21,ACTUALS!$B$4:$L$100,7,FALSE)=$H21)+(VLOOKUP($B21,ACTUALS!$B$4:$L$100,7,FALSE)=S21)))*(M21+N21+O21+P21+Q21),0))+$R21</f>
        <v>0</v>
      </c>
      <c r="M21" s="168">
        <f>IFERROR(IF($B21="","",IF(U21=INDEX(ACTUALS!$AA$4:$AA$100,MATCH($B21,ACTUALS!$B$4:$B$100,0),1),CorrectScore,0)),0)</f>
        <v>0</v>
      </c>
      <c r="N21" s="157" t="str">
        <f>IFERROR(IF(I21="","",IF(INDEX(ACTUALS!$AB$4:$AB$100,MATCH($B21,ACTUALS!$B$4:$B$100,0),1)=(AB21+AC21+AH21+AI21),CorrectNumberofGoals,0)),0)</f>
        <v/>
      </c>
      <c r="O21" s="157"/>
      <c r="P21" s="157">
        <f>IFERROR(IF(B21="","",IF(INDEX(ACTUALS!$L$4:$L$100,MATCH($B21,ACTUALS!$B$4:$B$100,0),1)=W21,CorrectResult,0)),0)</f>
        <v>3</v>
      </c>
      <c r="Q21" s="157"/>
      <c r="R21" s="157"/>
      <c r="S21" s="157" t="str">
        <f t="shared" si="0"/>
        <v/>
      </c>
      <c r="T21" s="157"/>
      <c r="U21" s="157" t="str">
        <f t="shared" si="1"/>
        <v/>
      </c>
      <c r="V21" s="157" t="str">
        <f t="shared" si="2"/>
        <v/>
      </c>
      <c r="W21" s="119" t="str">
        <f>IF(tblActuals35415[[#This Row],[SCORE]]="","",IF(AB21=AC21,"Draw",IF(AB21&gt;AC21,X21,Y21)))</f>
        <v/>
      </c>
      <c r="X21" s="120" t="str">
        <f>IF(tblActuals35415[[#This Row],[TEAMS]]="","",LEFT(H21,FIND(" -",H21,1)-1))</f>
        <v>Slovenia</v>
      </c>
      <c r="Y21" s="120" t="str">
        <f>IF(tblActuals35415[[#This Row],[TEAMS]]="","",MID(H21,FIND("-",H21,1)+2,LEN(H21)-FIND("-",H21,1)+2))</f>
        <v>Serbia</v>
      </c>
      <c r="Z21" s="120" t="str">
        <f>IF(tblActuals35415[[#This Row],[Team 1 Goals]]&gt;tblActuals35415[[#This Row],[Team 2 Goals]],tblActuals35415[[#This Row],[Team 1]],IF(tblActuals35415[[#This Row],[Team 2 Goals]]&gt;tblActuals35415[[#This Row],[Team 1 Goals]],tblActuals35415[[#This Row],[Team 2]],""))</f>
        <v/>
      </c>
      <c r="AA21" s="120" t="str">
        <f>IF(tblActuals35415[[#This Row],[Winner]]=tblActuals35415[[#This Row],[Team 1]],tblActuals35415[[#This Row],[Team 2]],IF(tblActuals35415[[#This Row],[Winner]]=tblActuals35415[[#This Row],[Team 2]],tblActuals35415[[#This Row],[Team 1]],""))</f>
        <v/>
      </c>
      <c r="AB21" s="120" t="str">
        <f>IF(tblActuals35415[[#This Row],[SCORE]]="","",LEFT(I21,FIND(":",I21,1)-1)*1)</f>
        <v/>
      </c>
      <c r="AC21" s="120" t="str">
        <f>IF(tblActuals35415[[#This Row],[SCORE]]="","",MID(I21,FIND(":",I21,1)+1,LEN(I21)-FIND(":",I21,1)+1)*1)</f>
        <v/>
      </c>
      <c r="AD21" s="120" t="str">
        <f>IF(OR(tblActuals35415[[#This Row],[Team 1 Goals]]="",tblActuals35415[[#This Row],[Team 2 Goals]]=""),"",tblActuals35415[[#This Row],[Team 1 Goals]]-tblActuals35415[[#This Row],[Team 2 Goals]])</f>
        <v/>
      </c>
      <c r="AE21" s="120" t="str">
        <f>IF(OR(tblActuals35415[[#This Row],[Team 1 Goals]]="",tblActuals35415[[#This Row],[Team 2 Goals]]=""),"",tblActuals35415[[#This Row],[Team 2 Goals]]-tblActuals35415[[#This Row],[Team 1 Goals]])</f>
        <v/>
      </c>
      <c r="AF21" s="120" t="str">
        <f>IF(tblActuals35415[[#This Row],[SCORE]]="","",IF(tblActuals35415[[#This Row],[WINNER / RESULT]]="Draw",1,IF(tblActuals35415[[#This Row],[WINNER / RESULT]]=tblActuals35415[[#This Row],[Team 1]],3,0)))</f>
        <v/>
      </c>
      <c r="AG21" s="120" t="str">
        <f>IF(tblActuals35415[[#This Row],[SCORE]]="","",IF(tblActuals35415[[#This Row],[WINNER / RESULT]]="Draw",1,IF(tblActuals35415[[#This Row],[WINNER / RESULT]]=tblActuals35415[[#This Row],[Team 2]],3,0)))</f>
        <v/>
      </c>
      <c r="AH21" s="121"/>
      <c r="AI21" s="121"/>
      <c r="AJ21" s="121"/>
      <c r="AK21" s="121"/>
      <c r="AL21" s="120" t="e">
        <f>tblActuals35415[[#This Row],[Team 1 Goals]]+tblActuals35415[[#This Row],[Team 1 ET Goals]]&amp;":"&amp;tblActuals35415[[#This Row],[Team 2 Goals]]+tblActuals35415[[#This Row],[Team 2 ET Goals]]</f>
        <v>#VALUE!</v>
      </c>
      <c r="AM21" s="120" t="e">
        <f>+tblActuals35415[[#This Row],[Team 1 Goals]]+tblActuals35415[[#This Row],[Team 2 Goals]]</f>
        <v>#VALUE!</v>
      </c>
      <c r="AN21" s="161">
        <f t="shared" si="3"/>
        <v>45463</v>
      </c>
      <c r="AT21" s="77" t="s">
        <v>6</v>
      </c>
      <c r="AU21" s="145">
        <v>4</v>
      </c>
      <c r="AV21" s="146" t="str">
        <f ca="1">IFERROR(INDEX(BD:BD,MATCH("4"&amp;AT21,BN:BN,0),1),"")</f>
        <v>Slovenia</v>
      </c>
      <c r="AW21" s="146" t="str">
        <f ca="1">IF(AV21="","",VLOOKUP(AV21,BD:BI,2,FALSE)&amp;"-"&amp;VLOOKUP(AV21,BD:BI,3,FALSE)&amp;"-"&amp;VLOOKUP(AV21,BD:BI,4,FALSE))</f>
        <v>0-0-0</v>
      </c>
      <c r="AX21" s="146">
        <f ca="1">IF(AV21="","",VLOOKUP(AV21,BD:BK,8,FALSE))</f>
        <v>0</v>
      </c>
      <c r="AY21" s="147">
        <f ca="1">IF(AV21="","",VLOOKUP(AV21,BD:BN,5,FALSE))</f>
        <v>0</v>
      </c>
      <c r="AZ21" s="75"/>
      <c r="BA21" s="4"/>
      <c r="BB21" s="4"/>
      <c r="BC21" s="4" t="s">
        <v>7</v>
      </c>
      <c r="BD21" s="4" t="s">
        <v>8</v>
      </c>
      <c r="BE21" s="4">
        <f>COUNTIF(tblActuals35415[Winner],BD21)</f>
        <v>0</v>
      </c>
      <c r="BF21" s="4">
        <f>COUNTIFS(tblActuals35415[Team 2],BD21,tblActuals35415[WINNER / RESULT],"Draw")+COUNTIFS(tblActuals35415[Team 1],BD21,tblActuals35415[WINNER / RESULT],"Draw")</f>
        <v>0</v>
      </c>
      <c r="BG21" s="4">
        <f>COUNTIF(tblActuals35415[Loser],BD21)</f>
        <v>0</v>
      </c>
      <c r="BH21" s="4">
        <f>BF21+(3*BE21)</f>
        <v>0</v>
      </c>
      <c r="BI21" s="4">
        <f>SUMIFS(tblActuals35415[Team 1 Goals],tblActuals35415[Team 1],BD21)+SUMIFS(tblActuals35415[Team 2 Goals],tblActuals35415[Team 2],BD21)</f>
        <v>0</v>
      </c>
      <c r="BJ21" s="4">
        <f>SUMIFS(tblActuals35415[Team 2 Goals],tblActuals35415[Team 1],BD21)+SUMIFS(tblActuals35415[Team 1 Goals],tblActuals35415[Team 2],BD21)</f>
        <v>0</v>
      </c>
      <c r="BK21" s="4">
        <f>BI21-BJ21</f>
        <v>0</v>
      </c>
      <c r="BL21" s="4">
        <f ca="1">RANK(BY21,$BY$19:$BY$22,1)</f>
        <v>3</v>
      </c>
      <c r="BM21" s="4" t="str">
        <f t="shared" si="4"/>
        <v/>
      </c>
      <c r="BN21" s="4" t="str">
        <f ca="1">IF(BM21="",BL21&amp;BC21,BM21&amp;BC21)</f>
        <v>3D</v>
      </c>
      <c r="BO21" s="4">
        <f>RANK(BH21,$BH$19:$BH$22,0)</f>
        <v>1</v>
      </c>
      <c r="BP21" s="4" cm="1">
        <f t="array" aca="1" ref="BP21" ca="1">SUMPRODUCT((OFFSET($CV$3:$EA$3,MATCH($BD21,$CU$4:$CU$35,0),0))*((IF($BO19=$BO21,$CV$3:$EA$3=$BD19,0))+(IF($BO22=$BO21,$CV$3:$EA$3=$BD22,0))+(IF($BO20=$BO21,$CV$3:$EA$3=$BD20,0))))</f>
        <v>0</v>
      </c>
      <c r="BQ21" s="4" cm="1">
        <f t="array" aca="1" ref="BQ21" ca="1">SUMPRODUCT((OFFSET($ED$3:$FI$3,MATCH($BD21,$EC$4:$EC$35,0),0))*((IF($BO19=$BO21,$ED$3:$FI$3=$BD19,0))+(IF($BO22=$BO21,$ED$3:$FI$3=$BD22,0))+(IF($BO20=$BO21,$ED$3:$FI$3=$BD20,0))))</f>
        <v>0</v>
      </c>
      <c r="BR21" s="4" cm="1">
        <f t="array" aca="1" ref="BR21" ca="1">SUMPRODUCT((OFFSET($FL$3:$GQ$3,MATCH($BD21,$FK$4:$FK$35,0),0))*((IF($BO19=$BO21,$FL$3:$GQ$3=$BD19,0))+(IF($BO22=$BO21,$FL$3:$GQ$3=$BD22,0))+(IF($BO20=$BO21,$FL$3:$GQ$3=$BD20,0))))</f>
        <v>0</v>
      </c>
      <c r="BS21" s="4" cm="1">
        <f t="array" aca="1" ref="BS21" ca="1">SUMPRODUCT((OFFSET($CV$3:$EA$3,MATCH($BD21,$CU$4:$CU$35,0),0))*((IF($BO19&lt;&gt;$BO21,$CV$3:$EA$3=$BD19,0))+(IF($BO22&lt;&gt;$BO21,$CV$3:$EA$3=$BD22,0))+(IF($BO20&lt;&gt;$BO21,$CV$3:$EA$3=$BD20,0))))</f>
        <v>0</v>
      </c>
      <c r="BT21" s="4" cm="1">
        <f t="array" aca="1" ref="BT21" ca="1">SUMPRODUCT((OFFSET($ED$3:$FI$3,MATCH($BD21,$EC$4:$EC$35,0),0))*((IF($BO19&lt;&gt;$BO21,$ED$3:$FI$3=$BD19,0))+(IF($BO22&lt;&gt;$BO21,$ED$3:$FI$3=$BD22,0))+(IF($BO20&lt;&gt;$BO21,$ED$3:$FI$3=$BD20,0))))</f>
        <v>0</v>
      </c>
      <c r="BU21" s="4" cm="1">
        <f t="array" aca="1" ref="BU21" ca="1">SUMPRODUCT((OFFSET($FL$3:$GQ$3,MATCH($BD21,$FK$4:$FK$35,0),0))*((IF($BO19&lt;&gt;$BO21,$FL$3:$GQ$3=$BD19,0))+(IF($BO22&lt;&gt;$BO21,$FL$3:$GQ$3=$BD22,0))+(IF($BO20&lt;&gt;$BO21,$FL$3:$GQ$3=$BD20,0))))</f>
        <v>0</v>
      </c>
      <c r="BV21" s="4">
        <f>BK21</f>
        <v>0</v>
      </c>
      <c r="BW21" s="4">
        <f>BI21</f>
        <v>0</v>
      </c>
      <c r="BX21" s="4">
        <f ca="1">(BP21/10)+(BQ21/100)+(BR21/1000)+(BT21/10000)+(BU21/100000)+(BV21/1000000)+(BW21/10000000)+(ROW(BS20)/100000000)</f>
        <v>1.9999999999999999E-7</v>
      </c>
      <c r="BY21" s="4">
        <f ca="1">+BO21-BX21</f>
        <v>0.99999979999999999</v>
      </c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U21" s="4" t="s">
        <v>130</v>
      </c>
      <c r="CV21" s="56">
        <f>SUMIFS(tblActuals35415[Team 2 Points],tblActuals35415[Team 2],$CU21,tblActuals35415[Team 1],CV$3)+SUMIFS(tblActuals35415[Team 1 Points],tblActuals35415[Team 1],$CU21,tblActuals35415[Team 2],CV$3)</f>
        <v>0</v>
      </c>
      <c r="CW21" s="56">
        <f>SUMIFS(tblActuals35415[Team 2 Points],tblActuals35415[Team 2],$CU21,tblActuals35415[Team 1],CW$3)+SUMIFS(tblActuals35415[Team 1 Points],tblActuals35415[Team 1],$CU21,tblActuals35415[Team 2],CW$3)</f>
        <v>0</v>
      </c>
      <c r="CX21" s="56">
        <f>SUMIFS(tblActuals35415[Team 2 Points],tblActuals35415[Team 2],$CU21,tblActuals35415[Team 1],CX$3)+SUMIFS(tblActuals35415[Team 1 Points],tblActuals35415[Team 1],$CU21,tblActuals35415[Team 2],CX$3)</f>
        <v>0</v>
      </c>
      <c r="CY21" s="56">
        <f>SUMIFS(tblActuals35415[Team 2 Points],tblActuals35415[Team 2],$CU21,tblActuals35415[Team 1],CY$3)+SUMIFS(tblActuals35415[Team 1 Points],tblActuals35415[Team 1],$CU21,tblActuals35415[Team 2],CY$3)</f>
        <v>0</v>
      </c>
      <c r="CZ21" s="56">
        <f>SUMIFS(tblActuals35415[Team 2 Points],tblActuals35415[Team 2],$CU21,tblActuals35415[Team 1],CZ$3)+SUMIFS(tblActuals35415[Team 1 Points],tblActuals35415[Team 1],$CU21,tblActuals35415[Team 2],CZ$3)</f>
        <v>0</v>
      </c>
      <c r="DA21" s="56">
        <f>SUMIFS(tblActuals35415[Team 2 Points],tblActuals35415[Team 2],$CU21,tblActuals35415[Team 1],DA$3)+SUMIFS(tblActuals35415[Team 1 Points],tblActuals35415[Team 1],$CU21,tblActuals35415[Team 2],DA$3)</f>
        <v>0</v>
      </c>
      <c r="DB21" s="56">
        <f>SUMIFS(tblActuals35415[Team 2 Points],tblActuals35415[Team 2],$CU21,tblActuals35415[Team 1],DB$3)+SUMIFS(tblActuals35415[Team 1 Points],tblActuals35415[Team 1],$CU21,tblActuals35415[Team 2],DB$3)</f>
        <v>0</v>
      </c>
      <c r="DC21" s="56">
        <f>SUMIFS(tblActuals35415[Team 2 Points],tblActuals35415[Team 2],$CU21,tblActuals35415[Team 1],DC$3)+SUMIFS(tblActuals35415[Team 1 Points],tblActuals35415[Team 1],$CU21,tblActuals35415[Team 2],DC$3)</f>
        <v>0</v>
      </c>
      <c r="DD21" s="56">
        <f>SUMIFS(tblActuals35415[Team 2 Points],tblActuals35415[Team 2],$CU21,tblActuals35415[Team 1],DD$3)+SUMIFS(tblActuals35415[Team 1 Points],tblActuals35415[Team 1],$CU21,tblActuals35415[Team 2],DD$3)</f>
        <v>0</v>
      </c>
      <c r="DE21" s="56">
        <f>SUMIFS(tblActuals35415[Team 2 Points],tblActuals35415[Team 2],$CU21,tblActuals35415[Team 1],DE$3)+SUMIFS(tblActuals35415[Team 1 Points],tblActuals35415[Team 1],$CU21,tblActuals35415[Team 2],DE$3)</f>
        <v>0</v>
      </c>
      <c r="DF21" s="56">
        <f>SUMIFS(tblActuals35415[Team 2 Points],tblActuals35415[Team 2],$CU21,tblActuals35415[Team 1],DF$3)+SUMIFS(tblActuals35415[Team 1 Points],tblActuals35415[Team 1],$CU21,tblActuals35415[Team 2],DF$3)</f>
        <v>0</v>
      </c>
      <c r="DG21" s="56">
        <f>SUMIFS(tblActuals35415[Team 2 Points],tblActuals35415[Team 2],$CU21,tblActuals35415[Team 1],DG$3)+SUMIFS(tblActuals35415[Team 1 Points],tblActuals35415[Team 1],$CU21,tblActuals35415[Team 2],DG$3)</f>
        <v>0</v>
      </c>
      <c r="DH21" s="56">
        <f>SUMIFS(tblActuals35415[Team 2 Points],tblActuals35415[Team 2],$CU21,tblActuals35415[Team 1],DH$3)+SUMIFS(tblActuals35415[Team 1 Points],tblActuals35415[Team 1],$CU21,tblActuals35415[Team 2],DH$3)</f>
        <v>0</v>
      </c>
      <c r="DI21" s="56">
        <f>SUMIFS(tblActuals35415[Team 2 Points],tblActuals35415[Team 2],$CU21,tblActuals35415[Team 1],DI$3)+SUMIFS(tblActuals35415[Team 1 Points],tblActuals35415[Team 1],$CU21,tblActuals35415[Team 2],DI$3)</f>
        <v>0</v>
      </c>
      <c r="DJ21" s="56">
        <f>SUMIFS(tblActuals35415[Team 2 Points],tblActuals35415[Team 2],$CU21,tblActuals35415[Team 1],DJ$3)+SUMIFS(tblActuals35415[Team 1 Points],tblActuals35415[Team 1],$CU21,tblActuals35415[Team 2],DJ$3)</f>
        <v>0</v>
      </c>
      <c r="DK21" s="56">
        <f>SUMIFS(tblActuals35415[Team 2 Points],tblActuals35415[Team 2],$CU21,tblActuals35415[Team 1],DK$3)+SUMIFS(tblActuals35415[Team 1 Points],tblActuals35415[Team 1],$CU21,tblActuals35415[Team 2],DK$3)</f>
        <v>0</v>
      </c>
      <c r="DL21" s="56">
        <f>SUMIFS(tblActuals35415[Team 2 Points],tblActuals35415[Team 2],$CU21,tblActuals35415[Team 1],DL$3)+SUMIFS(tblActuals35415[Team 1 Points],tblActuals35415[Team 1],$CU21,tblActuals35415[Team 2],DL$3)</f>
        <v>0</v>
      </c>
      <c r="DM21" s="56">
        <f>SUMIFS(tblActuals35415[Team 2 Points],tblActuals35415[Team 2],$CU21,tblActuals35415[Team 1],DM$3)+SUMIFS(tblActuals35415[Team 1 Points],tblActuals35415[Team 1],$CU21,tblActuals35415[Team 2],DM$3)</f>
        <v>0</v>
      </c>
      <c r="DN21" s="56">
        <f>SUMIFS(tblActuals35415[Team 2 Points],tblActuals35415[Team 2],$CU21,tblActuals35415[Team 1],DN$3)+SUMIFS(tblActuals35415[Team 1 Points],tblActuals35415[Team 1],$CU21,tblActuals35415[Team 2],DN$3)</f>
        <v>0</v>
      </c>
      <c r="DO21" s="56">
        <f>SUMIFS(tblActuals35415[Team 2 Points],tblActuals35415[Team 2],$CU21,tblActuals35415[Team 1],DO$3)+SUMIFS(tblActuals35415[Team 1 Points],tblActuals35415[Team 1],$CU21,tblActuals35415[Team 2],DO$3)</f>
        <v>0</v>
      </c>
      <c r="DP21" s="56">
        <f>SUMIFS(tblActuals35415[Team 2 Points],tblActuals35415[Team 2],$CU21,tblActuals35415[Team 1],DP$3)+SUMIFS(tblActuals35415[Team 1 Points],tblActuals35415[Team 1],$CU21,tblActuals35415[Team 2],DP$3)</f>
        <v>0</v>
      </c>
      <c r="DQ21" s="56">
        <f>SUMIFS(tblActuals35415[Team 2 Points],tblActuals35415[Team 2],$CU21,tblActuals35415[Team 1],DQ$3)+SUMIFS(tblActuals35415[Team 1 Points],tblActuals35415[Team 1],$CU21,tblActuals35415[Team 2],DQ$3)</f>
        <v>0</v>
      </c>
      <c r="DR21" s="56">
        <f>SUMIFS(tblActuals35415[Team 2 Points],tblActuals35415[Team 2],$CU21,tblActuals35415[Team 1],DR$3)+SUMIFS(tblActuals35415[Team 1 Points],tblActuals35415[Team 1],$CU21,tblActuals35415[Team 2],DR$3)</f>
        <v>0</v>
      </c>
      <c r="DS21" s="56">
        <f>SUMIFS(tblActuals35415[Team 2 Points],tblActuals35415[Team 2],$CU21,tblActuals35415[Team 1],DS$3)+SUMIFS(tblActuals35415[Team 1 Points],tblActuals35415[Team 1],$CU21,tblActuals35415[Team 2],DS$3)</f>
        <v>0</v>
      </c>
      <c r="DT21" s="57"/>
      <c r="DU21" s="57"/>
      <c r="DV21" s="57"/>
      <c r="DW21" s="57"/>
      <c r="DX21" s="57"/>
      <c r="DY21" s="57"/>
      <c r="DZ21" s="57"/>
      <c r="EA21" s="57"/>
      <c r="EB21" s="4"/>
      <c r="EC21" s="4" t="s">
        <v>130</v>
      </c>
      <c r="ED21" s="56">
        <f>SUMIFS(tblActuals35415[Team 2 GD],tblActuals35415[Team 2],$CU21,tblActuals35415[Team 1],ED$3)+SUMIFS(tblActuals35415[Team 1 GD],tblActuals35415[Team 1],$CU21,tblActuals35415[Team 2],ED$3)</f>
        <v>0</v>
      </c>
      <c r="EE21" s="56">
        <f>SUMIFS(tblActuals35415[Team 2 GD],tblActuals35415[Team 2],$CU21,tblActuals35415[Team 1],EE$3)+SUMIFS(tblActuals35415[Team 1 GD],tblActuals35415[Team 1],$CU21,tblActuals35415[Team 2],EE$3)</f>
        <v>0</v>
      </c>
      <c r="EF21" s="56">
        <f>SUMIFS(tblActuals35415[Team 2 GD],tblActuals35415[Team 2],$CU21,tblActuals35415[Team 1],EF$3)+SUMIFS(tblActuals35415[Team 1 GD],tblActuals35415[Team 1],$CU21,tblActuals35415[Team 2],EF$3)</f>
        <v>0</v>
      </c>
      <c r="EG21" s="56">
        <f>SUMIFS(tblActuals35415[Team 2 GD],tblActuals35415[Team 2],$CU21,tblActuals35415[Team 1],EG$3)+SUMIFS(tblActuals35415[Team 1 GD],tblActuals35415[Team 1],$CU21,tblActuals35415[Team 2],EG$3)</f>
        <v>0</v>
      </c>
      <c r="EH21" s="56">
        <f>SUMIFS(tblActuals35415[Team 2 GD],tblActuals35415[Team 2],$CU21,tblActuals35415[Team 1],EH$3)+SUMIFS(tblActuals35415[Team 1 GD],tblActuals35415[Team 1],$CU21,tblActuals35415[Team 2],EH$3)</f>
        <v>0</v>
      </c>
      <c r="EI21" s="56">
        <f>SUMIFS(tblActuals35415[Team 2 GD],tblActuals35415[Team 2],$CU21,tblActuals35415[Team 1],EI$3)+SUMIFS(tblActuals35415[Team 1 GD],tblActuals35415[Team 1],$CU21,tblActuals35415[Team 2],EI$3)</f>
        <v>0</v>
      </c>
      <c r="EJ21" s="56">
        <f>SUMIFS(tblActuals35415[Team 2 GD],tblActuals35415[Team 2],$CU21,tblActuals35415[Team 1],EJ$3)+SUMIFS(tblActuals35415[Team 1 GD],tblActuals35415[Team 1],$CU21,tblActuals35415[Team 2],EJ$3)</f>
        <v>0</v>
      </c>
      <c r="EK21" s="56">
        <f>SUMIFS(tblActuals35415[Team 2 GD],tblActuals35415[Team 2],$CU21,tblActuals35415[Team 1],EK$3)+SUMIFS(tblActuals35415[Team 1 GD],tblActuals35415[Team 1],$CU21,tblActuals35415[Team 2],EK$3)</f>
        <v>0</v>
      </c>
      <c r="EL21" s="56">
        <f>SUMIFS(tblActuals35415[Team 2 GD],tblActuals35415[Team 2],$CU21,tblActuals35415[Team 1],EL$3)+SUMIFS(tblActuals35415[Team 1 GD],tblActuals35415[Team 1],$CU21,tblActuals35415[Team 2],EL$3)</f>
        <v>0</v>
      </c>
      <c r="EM21" s="56">
        <f>SUMIFS(tblActuals35415[Team 2 GD],tblActuals35415[Team 2],$CU21,tblActuals35415[Team 1],EM$3)+SUMIFS(tblActuals35415[Team 1 GD],tblActuals35415[Team 1],$CU21,tblActuals35415[Team 2],EM$3)</f>
        <v>0</v>
      </c>
      <c r="EN21" s="56">
        <f>SUMIFS(tblActuals35415[Team 2 GD],tblActuals35415[Team 2],$CU21,tblActuals35415[Team 1],EN$3)+SUMIFS(tblActuals35415[Team 1 GD],tblActuals35415[Team 1],$CU21,tblActuals35415[Team 2],EN$3)</f>
        <v>0</v>
      </c>
      <c r="EO21" s="56">
        <f>SUMIFS(tblActuals35415[Team 2 GD],tblActuals35415[Team 2],$CU21,tblActuals35415[Team 1],EO$3)+SUMIFS(tblActuals35415[Team 1 GD],tblActuals35415[Team 1],$CU21,tblActuals35415[Team 2],EO$3)</f>
        <v>0</v>
      </c>
      <c r="EP21" s="56">
        <f>SUMIFS(tblActuals35415[Team 2 GD],tblActuals35415[Team 2],$CU21,tblActuals35415[Team 1],EP$3)+SUMIFS(tblActuals35415[Team 1 GD],tblActuals35415[Team 1],$CU21,tblActuals35415[Team 2],EP$3)</f>
        <v>0</v>
      </c>
      <c r="EQ21" s="56">
        <f>SUMIFS(tblActuals35415[Team 2 GD],tblActuals35415[Team 2],$CU21,tblActuals35415[Team 1],EQ$3)+SUMIFS(tblActuals35415[Team 1 GD],tblActuals35415[Team 1],$CU21,tblActuals35415[Team 2],EQ$3)</f>
        <v>0</v>
      </c>
      <c r="ER21" s="56">
        <f>SUMIFS(tblActuals35415[Team 2 GD],tblActuals35415[Team 2],$CU21,tblActuals35415[Team 1],ER$3)+SUMIFS(tblActuals35415[Team 1 GD],tblActuals35415[Team 1],$CU21,tblActuals35415[Team 2],ER$3)</f>
        <v>0</v>
      </c>
      <c r="ES21" s="56">
        <f>SUMIFS(tblActuals35415[Team 2 GD],tblActuals35415[Team 2],$CU21,tblActuals35415[Team 1],ES$3)+SUMIFS(tblActuals35415[Team 1 GD],tblActuals35415[Team 1],$CU21,tblActuals35415[Team 2],ES$3)</f>
        <v>0</v>
      </c>
      <c r="ET21" s="56">
        <f>SUMIFS(tblActuals35415[Team 2 GD],tblActuals35415[Team 2],$CU21,tblActuals35415[Team 1],ET$3)+SUMIFS(tblActuals35415[Team 1 GD],tblActuals35415[Team 1],$CU21,tblActuals35415[Team 2],ET$3)</f>
        <v>0</v>
      </c>
      <c r="EU21" s="56">
        <f>SUMIFS(tblActuals35415[Team 2 GD],tblActuals35415[Team 2],$CU21,tblActuals35415[Team 1],EU$3)+SUMIFS(tblActuals35415[Team 1 GD],tblActuals35415[Team 1],$CU21,tblActuals35415[Team 2],EU$3)</f>
        <v>0</v>
      </c>
      <c r="EV21" s="56">
        <f>SUMIFS(tblActuals35415[Team 2 GD],tblActuals35415[Team 2],$CU21,tblActuals35415[Team 1],EV$3)+SUMIFS(tblActuals35415[Team 1 GD],tblActuals35415[Team 1],$CU21,tblActuals35415[Team 2],EV$3)</f>
        <v>0</v>
      </c>
      <c r="EW21" s="56">
        <f>SUMIFS(tblActuals35415[Team 2 GD],tblActuals35415[Team 2],$CU21,tblActuals35415[Team 1],EW$3)+SUMIFS(tblActuals35415[Team 1 GD],tblActuals35415[Team 1],$CU21,tblActuals35415[Team 2],EW$3)</f>
        <v>0</v>
      </c>
      <c r="EX21" s="56">
        <f>SUMIFS(tblActuals35415[Team 2 GD],tblActuals35415[Team 2],$CU21,tblActuals35415[Team 1],EX$3)+SUMIFS(tblActuals35415[Team 1 GD],tblActuals35415[Team 1],$CU21,tblActuals35415[Team 2],EX$3)</f>
        <v>0</v>
      </c>
      <c r="EY21" s="56">
        <f>SUMIFS(tblActuals35415[Team 2 GD],tblActuals35415[Team 2],$CU21,tblActuals35415[Team 1],EY$3)+SUMIFS(tblActuals35415[Team 1 GD],tblActuals35415[Team 1],$CU21,tblActuals35415[Team 2],EY$3)</f>
        <v>0</v>
      </c>
      <c r="EZ21" s="56">
        <f>SUMIFS(tblActuals35415[Team 2 GD],tblActuals35415[Team 2],$CU21,tblActuals35415[Team 1],EZ$3)+SUMIFS(tblActuals35415[Team 1 GD],tblActuals35415[Team 1],$CU21,tblActuals35415[Team 2],EZ$3)</f>
        <v>0</v>
      </c>
      <c r="FA21" s="56">
        <f>SUMIFS(tblActuals35415[Team 2 GD],tblActuals35415[Team 2],$CU21,tblActuals35415[Team 1],FA$3)+SUMIFS(tblActuals35415[Team 1 GD],tblActuals35415[Team 1],$CU21,tblActuals35415[Team 2],FA$3)</f>
        <v>0</v>
      </c>
      <c r="FB21" s="57"/>
      <c r="FC21" s="57"/>
      <c r="FD21" s="57"/>
      <c r="FE21" s="57"/>
      <c r="FF21" s="57"/>
      <c r="FG21" s="57"/>
      <c r="FH21" s="57"/>
      <c r="FI21" s="57"/>
      <c r="FJ21" s="4"/>
      <c r="FK21" s="4" t="s">
        <v>130</v>
      </c>
      <c r="FL21" s="56">
        <f>SUMIFS(tblActuals35415[Team 2 Goals],tblActuals35415[Team 2],$CU21,tblActuals35415[Team 1],FL$3)+SUMIFS(tblActuals35415[Team 1 Goals],tblActuals35415[Team 1],$CU21,tblActuals35415[Team 2],FL$3)</f>
        <v>0</v>
      </c>
      <c r="FM21" s="56">
        <f>SUMIFS(tblActuals35415[Team 2 Goals],tblActuals35415[Team 2],$CU21,tblActuals35415[Team 1],FM$3)+SUMIFS(tblActuals35415[Team 1 Goals],tblActuals35415[Team 1],$CU21,tblActuals35415[Team 2],FM$3)</f>
        <v>0</v>
      </c>
      <c r="FN21" s="56">
        <f>SUMIFS(tblActuals35415[Team 2 Goals],tblActuals35415[Team 2],$CU21,tblActuals35415[Team 1],FN$3)+SUMIFS(tblActuals35415[Team 1 Goals],tblActuals35415[Team 1],$CU21,tblActuals35415[Team 2],FN$3)</f>
        <v>0</v>
      </c>
      <c r="FO21" s="56">
        <f>SUMIFS(tblActuals35415[Team 2 Goals],tblActuals35415[Team 2],$CU21,tblActuals35415[Team 1],FO$3)+SUMIFS(tblActuals35415[Team 1 Goals],tblActuals35415[Team 1],$CU21,tblActuals35415[Team 2],FO$3)</f>
        <v>0</v>
      </c>
      <c r="FP21" s="56">
        <f>SUMIFS(tblActuals35415[Team 2 Goals],tblActuals35415[Team 2],$CU21,tblActuals35415[Team 1],FP$3)+SUMIFS(tblActuals35415[Team 1 Goals],tblActuals35415[Team 1],$CU21,tblActuals35415[Team 2],FP$3)</f>
        <v>0</v>
      </c>
      <c r="FQ21" s="56">
        <f>SUMIFS(tblActuals35415[Team 2 Goals],tblActuals35415[Team 2],$CU21,tblActuals35415[Team 1],FQ$3)+SUMIFS(tblActuals35415[Team 1 Goals],tblActuals35415[Team 1],$CU21,tblActuals35415[Team 2],FQ$3)</f>
        <v>0</v>
      </c>
      <c r="FR21" s="56">
        <f>SUMIFS(tblActuals35415[Team 2 Goals],tblActuals35415[Team 2],$CU21,tblActuals35415[Team 1],FR$3)+SUMIFS(tblActuals35415[Team 1 Goals],tblActuals35415[Team 1],$CU21,tblActuals35415[Team 2],FR$3)</f>
        <v>0</v>
      </c>
      <c r="FS21" s="56">
        <f>SUMIFS(tblActuals35415[Team 2 Goals],tblActuals35415[Team 2],$CU21,tblActuals35415[Team 1],FS$3)+SUMIFS(tblActuals35415[Team 1 Goals],tblActuals35415[Team 1],$CU21,tblActuals35415[Team 2],FS$3)</f>
        <v>0</v>
      </c>
      <c r="FT21" s="56">
        <f>SUMIFS(tblActuals35415[Team 2 Goals],tblActuals35415[Team 2],$CU21,tblActuals35415[Team 1],FT$3)+SUMIFS(tblActuals35415[Team 1 Goals],tblActuals35415[Team 1],$CU21,tblActuals35415[Team 2],FT$3)</f>
        <v>0</v>
      </c>
      <c r="FU21" s="56">
        <f>SUMIFS(tblActuals35415[Team 2 Goals],tblActuals35415[Team 2],$CU21,tblActuals35415[Team 1],FU$3)+SUMIFS(tblActuals35415[Team 1 Goals],tblActuals35415[Team 1],$CU21,tblActuals35415[Team 2],FU$3)</f>
        <v>0</v>
      </c>
      <c r="FV21" s="56">
        <f>SUMIFS(tblActuals35415[Team 2 Goals],tblActuals35415[Team 2],$CU21,tblActuals35415[Team 1],FV$3)+SUMIFS(tblActuals35415[Team 1 Goals],tblActuals35415[Team 1],$CU21,tblActuals35415[Team 2],FV$3)</f>
        <v>0</v>
      </c>
      <c r="FW21" s="56">
        <f>SUMIFS(tblActuals35415[Team 2 Goals],tblActuals35415[Team 2],$CU21,tblActuals35415[Team 1],FW$3)+SUMIFS(tblActuals35415[Team 1 Goals],tblActuals35415[Team 1],$CU21,tblActuals35415[Team 2],FW$3)</f>
        <v>0</v>
      </c>
      <c r="FX21" s="56">
        <f>SUMIFS(tblActuals35415[Team 2 Goals],tblActuals35415[Team 2],$CU21,tblActuals35415[Team 1],FX$3)+SUMIFS(tblActuals35415[Team 1 Goals],tblActuals35415[Team 1],$CU21,tblActuals35415[Team 2],FX$3)</f>
        <v>0</v>
      </c>
      <c r="FY21" s="56">
        <f>SUMIFS(tblActuals35415[Team 2 Goals],tblActuals35415[Team 2],$CU21,tblActuals35415[Team 1],FY$3)+SUMIFS(tblActuals35415[Team 1 Goals],tblActuals35415[Team 1],$CU21,tblActuals35415[Team 2],FY$3)</f>
        <v>0</v>
      </c>
      <c r="FZ21" s="56">
        <f>SUMIFS(tblActuals35415[Team 2 Goals],tblActuals35415[Team 2],$CU21,tblActuals35415[Team 1],FZ$3)+SUMIFS(tblActuals35415[Team 1 Goals],tblActuals35415[Team 1],$CU21,tblActuals35415[Team 2],FZ$3)</f>
        <v>0</v>
      </c>
      <c r="GA21" s="56">
        <f>SUMIFS(tblActuals35415[Team 2 Goals],tblActuals35415[Team 2],$CU21,tblActuals35415[Team 1],GA$3)+SUMIFS(tblActuals35415[Team 1 Goals],tblActuals35415[Team 1],$CU21,tblActuals35415[Team 2],GA$3)</f>
        <v>0</v>
      </c>
      <c r="GB21" s="56">
        <f>SUMIFS(tblActuals35415[Team 2 Goals],tblActuals35415[Team 2],$CU21,tblActuals35415[Team 1],GB$3)+SUMIFS(tblActuals35415[Team 1 Goals],tblActuals35415[Team 1],$CU21,tblActuals35415[Team 2],GB$3)</f>
        <v>0</v>
      </c>
      <c r="GC21" s="56">
        <f>SUMIFS(tblActuals35415[Team 2 Goals],tblActuals35415[Team 2],$CU21,tblActuals35415[Team 1],GC$3)+SUMIFS(tblActuals35415[Team 1 Goals],tblActuals35415[Team 1],$CU21,tblActuals35415[Team 2],GC$3)</f>
        <v>0</v>
      </c>
      <c r="GD21" s="56">
        <f>SUMIFS(tblActuals35415[Team 2 Goals],tblActuals35415[Team 2],$CU21,tblActuals35415[Team 1],GD$3)+SUMIFS(tblActuals35415[Team 1 Goals],tblActuals35415[Team 1],$CU21,tblActuals35415[Team 2],GD$3)</f>
        <v>0</v>
      </c>
      <c r="GE21" s="56">
        <f>SUMIFS(tblActuals35415[Team 2 Goals],tblActuals35415[Team 2],$CU21,tblActuals35415[Team 1],GE$3)+SUMIFS(tblActuals35415[Team 1 Goals],tblActuals35415[Team 1],$CU21,tblActuals35415[Team 2],GE$3)</f>
        <v>0</v>
      </c>
      <c r="GF21" s="56">
        <f>SUMIFS(tblActuals35415[Team 2 Goals],tblActuals35415[Team 2],$CU21,tblActuals35415[Team 1],GF$3)+SUMIFS(tblActuals35415[Team 1 Goals],tblActuals35415[Team 1],$CU21,tblActuals35415[Team 2],GF$3)</f>
        <v>0</v>
      </c>
      <c r="GG21" s="56">
        <f>SUMIFS(tblActuals35415[Team 2 Goals],tblActuals35415[Team 2],$CU21,tblActuals35415[Team 1],GG$3)+SUMIFS(tblActuals35415[Team 1 Goals],tblActuals35415[Team 1],$CU21,tblActuals35415[Team 2],GG$3)</f>
        <v>0</v>
      </c>
      <c r="GH21" s="56">
        <f>SUMIFS(tblActuals35415[Team 2 Goals],tblActuals35415[Team 2],$CU21,tblActuals35415[Team 1],GH$3)+SUMIFS(tblActuals35415[Team 1 Goals],tblActuals35415[Team 1],$CU21,tblActuals35415[Team 2],GH$3)</f>
        <v>0</v>
      </c>
      <c r="GI21" s="56">
        <f>SUMIFS(tblActuals35415[Team 2 Goals],tblActuals35415[Team 2],$CU21,tblActuals35415[Team 1],GI$3)+SUMIFS(tblActuals35415[Team 1 Goals],tblActuals35415[Team 1],$CU21,tblActuals35415[Team 2],GI$3)</f>
        <v>0</v>
      </c>
      <c r="GJ21" s="57"/>
      <c r="GK21" s="57"/>
      <c r="GL21" s="37"/>
      <c r="GM21" s="37"/>
      <c r="GN21" s="37"/>
      <c r="GO21" s="37"/>
      <c r="GP21" s="37"/>
      <c r="GQ21" s="37"/>
      <c r="GR21" s="75"/>
      <c r="GS21" s="156"/>
      <c r="GT21" s="156"/>
      <c r="GU21" s="75"/>
      <c r="GV21" s="75"/>
      <c r="GW21" s="75"/>
      <c r="GX21" s="75"/>
      <c r="GY21" s="75"/>
      <c r="GZ21" s="75"/>
    </row>
    <row r="22" spans="1:221" s="11" customFormat="1" ht="30" customHeight="1" thickBot="1" x14ac:dyDescent="0.3">
      <c r="A22" s="20"/>
      <c r="B22" s="122">
        <v>19</v>
      </c>
      <c r="C22" s="122" t="s">
        <v>7</v>
      </c>
      <c r="D22" s="123">
        <v>45464</v>
      </c>
      <c r="E22" s="122" t="s">
        <v>80</v>
      </c>
      <c r="F22" s="124">
        <v>0.75</v>
      </c>
      <c r="G22" s="125">
        <f t="shared" si="11"/>
        <v>45464.5</v>
      </c>
      <c r="H22" s="122" t="s">
        <v>107</v>
      </c>
      <c r="I22" s="126"/>
      <c r="J22" s="118"/>
      <c r="K22" s="118"/>
      <c r="L22" s="174">
        <f>IF(I22="",0,IFERROR(IF(SCORING.RULES!$C$8="No",1,((VLOOKUP($B22,ACTUALS!$B$4:$L$100,7,FALSE)=$H22)+(VLOOKUP($B22,ACTUALS!$B$4:$L$100,7,FALSE)=S22)))*(M22+N22+O22+P22+Q22),0))+$R22</f>
        <v>0</v>
      </c>
      <c r="M22" s="168">
        <f>IFERROR(IF($B22="","",IF(U22=INDEX(ACTUALS!$AA$4:$AA$100,MATCH($B22,ACTUALS!$B$4:$B$100,0),1),CorrectScore,0)),0)</f>
        <v>0</v>
      </c>
      <c r="N22" s="157" t="str">
        <f>IFERROR(IF(I22="","",IF(INDEX(ACTUALS!$AB$4:$AB$100,MATCH($B22,ACTUALS!$B$4:$B$100,0),1)=(AB22+AC22+AH22+AI22),CorrectNumberofGoals,0)),0)</f>
        <v/>
      </c>
      <c r="O22" s="157"/>
      <c r="P22" s="157">
        <f>IFERROR(IF(B22="","",IF(INDEX(ACTUALS!$L$4:$L$100,MATCH($B22,ACTUALS!$B$4:$B$100,0),1)=W22,CorrectResult,0)),0)</f>
        <v>3</v>
      </c>
      <c r="Q22" s="157"/>
      <c r="R22" s="157"/>
      <c r="S22" s="157" t="str">
        <f t="shared" si="0"/>
        <v/>
      </c>
      <c r="T22" s="157"/>
      <c r="U22" s="157" t="str">
        <f t="shared" si="1"/>
        <v/>
      </c>
      <c r="V22" s="157" t="str">
        <f t="shared" si="2"/>
        <v/>
      </c>
      <c r="W22" s="119" t="str">
        <f>IF(tblActuals35415[[#This Row],[SCORE]]="","",IF(AB22=AC22,"Draw",IF(AB22&gt;AC22,X22,Y22)))</f>
        <v/>
      </c>
      <c r="X22" s="120" t="str">
        <f>IF(tblActuals35415[[#This Row],[TEAMS]]="","",LEFT(H22,FIND(" -",H22,1)-1))</f>
        <v>Poland</v>
      </c>
      <c r="Y22" s="120" t="str">
        <f>IF(tblActuals35415[[#This Row],[TEAMS]]="","",MID(H22,FIND("-",H22,1)+2,LEN(H22)-FIND("-",H22,1)+2))</f>
        <v>Austria</v>
      </c>
      <c r="Z22" s="120" t="str">
        <f>IF(tblActuals35415[[#This Row],[Team 1 Goals]]&gt;tblActuals35415[[#This Row],[Team 2 Goals]],tblActuals35415[[#This Row],[Team 1]],IF(tblActuals35415[[#This Row],[Team 2 Goals]]&gt;tblActuals35415[[#This Row],[Team 1 Goals]],tblActuals35415[[#This Row],[Team 2]],""))</f>
        <v/>
      </c>
      <c r="AA22" s="120" t="str">
        <f>IF(tblActuals35415[[#This Row],[Winner]]=tblActuals35415[[#This Row],[Team 1]],tblActuals35415[[#This Row],[Team 2]],IF(tblActuals35415[[#This Row],[Winner]]=tblActuals35415[[#This Row],[Team 2]],tblActuals35415[[#This Row],[Team 1]],""))</f>
        <v/>
      </c>
      <c r="AB22" s="120" t="str">
        <f>IF(tblActuals35415[[#This Row],[SCORE]]="","",LEFT(I22,FIND(":",I22,1)-1)*1)</f>
        <v/>
      </c>
      <c r="AC22" s="120" t="str">
        <f>IF(tblActuals35415[[#This Row],[SCORE]]="","",MID(I22,FIND(":",I22,1)+1,LEN(I22)-FIND(":",I22,1)+1)*1)</f>
        <v/>
      </c>
      <c r="AD22" s="120" t="str">
        <f>IF(OR(tblActuals35415[[#This Row],[Team 1 Goals]]="",tblActuals35415[[#This Row],[Team 2 Goals]]=""),"",tblActuals35415[[#This Row],[Team 1 Goals]]-tblActuals35415[[#This Row],[Team 2 Goals]])</f>
        <v/>
      </c>
      <c r="AE22" s="120" t="str">
        <f>IF(OR(tblActuals35415[[#This Row],[Team 1 Goals]]="",tblActuals35415[[#This Row],[Team 2 Goals]]=""),"",tblActuals35415[[#This Row],[Team 2 Goals]]-tblActuals35415[[#This Row],[Team 1 Goals]])</f>
        <v/>
      </c>
      <c r="AF22" s="120" t="str">
        <f>IF(tblActuals35415[[#This Row],[SCORE]]="","",IF(tblActuals35415[[#This Row],[WINNER / RESULT]]="Draw",1,IF(tblActuals35415[[#This Row],[WINNER / RESULT]]=tblActuals35415[[#This Row],[Team 1]],3,0)))</f>
        <v/>
      </c>
      <c r="AG22" s="120" t="str">
        <f>IF(tblActuals35415[[#This Row],[SCORE]]="","",IF(tblActuals35415[[#This Row],[WINNER / RESULT]]="Draw",1,IF(tblActuals35415[[#This Row],[WINNER / RESULT]]=tblActuals35415[[#This Row],[Team 2]],3,0)))</f>
        <v/>
      </c>
      <c r="AH22" s="121"/>
      <c r="AI22" s="121"/>
      <c r="AJ22" s="121"/>
      <c r="AK22" s="121"/>
      <c r="AL22" s="120" t="e">
        <f>tblActuals35415[[#This Row],[Team 1 Goals]]+tblActuals35415[[#This Row],[Team 1 ET Goals]]&amp;":"&amp;tblActuals35415[[#This Row],[Team 2 Goals]]+tblActuals35415[[#This Row],[Team 2 ET Goals]]</f>
        <v>#VALUE!</v>
      </c>
      <c r="AM22" s="120" t="e">
        <f>+tblActuals35415[[#This Row],[Team 1 Goals]]+tblActuals35415[[#This Row],[Team 2 Goals]]</f>
        <v>#VALUE!</v>
      </c>
      <c r="AN22" s="161">
        <f t="shared" si="3"/>
        <v>45464</v>
      </c>
      <c r="AT22" s="77"/>
      <c r="AU22" s="148"/>
      <c r="AV22" s="148"/>
      <c r="AW22" s="148"/>
      <c r="AX22" s="148"/>
      <c r="AY22" s="148"/>
      <c r="AZ22" s="75"/>
      <c r="BA22" s="4"/>
      <c r="BB22" s="4"/>
      <c r="BC22" s="4" t="s">
        <v>7</v>
      </c>
      <c r="BD22" s="4" t="s">
        <v>32</v>
      </c>
      <c r="BE22" s="4">
        <f>COUNTIF(tblActuals35415[Winner],BD22)</f>
        <v>0</v>
      </c>
      <c r="BF22" s="4">
        <f>COUNTIFS(tblActuals35415[Team 2],BD22,tblActuals35415[WINNER / RESULT],"Draw")+COUNTIFS(tblActuals35415[Team 1],BD22,tblActuals35415[WINNER / RESULT],"Draw")</f>
        <v>0</v>
      </c>
      <c r="BG22" s="4">
        <f>COUNTIF(tblActuals35415[Loser],BD22)</f>
        <v>0</v>
      </c>
      <c r="BH22" s="4">
        <f>BF22+(3*BE22)</f>
        <v>0</v>
      </c>
      <c r="BI22" s="4">
        <f>SUMIFS(tblActuals35415[Team 1 Goals],tblActuals35415[Team 1],BD22)+SUMIFS(tblActuals35415[Team 2 Goals],tblActuals35415[Team 2],BD22)</f>
        <v>0</v>
      </c>
      <c r="BJ22" s="4">
        <f>SUMIFS(tblActuals35415[Team 2 Goals],tblActuals35415[Team 1],BD22)+SUMIFS(tblActuals35415[Team 1 Goals],tblActuals35415[Team 2],BD22)</f>
        <v>0</v>
      </c>
      <c r="BK22" s="4">
        <f>BI22-BJ22</f>
        <v>0</v>
      </c>
      <c r="BL22" s="4">
        <f ca="1">RANK(BY22,$BY$19:$BY$22,1)</f>
        <v>4</v>
      </c>
      <c r="BM22" s="4" t="str">
        <f t="shared" si="4"/>
        <v/>
      </c>
      <c r="BN22" s="4" t="str">
        <f ca="1">IF(BM22="",BL22&amp;BC22,BM22&amp;BC22)</f>
        <v>4D</v>
      </c>
      <c r="BO22" s="4">
        <f>RANK(BH22,$BH$19:$BH$22,0)</f>
        <v>1</v>
      </c>
      <c r="BP22" s="4" cm="1">
        <f t="array" aca="1" ref="BP22" ca="1">SUMPRODUCT((OFFSET($CV$3:$EA$3,MATCH($BD22,$CU$4:$CU$35,0),0))*((IF($BO20=$BO22,$CV$3:$EA$3=$BD20,0))+(IF($BO19=$BO22,$CV$3:$EA$3=$BD19,0))+(IF($BO21=$BO22,$CV$3:$EA$3=$BD21,0))))</f>
        <v>0</v>
      </c>
      <c r="BQ22" s="4" cm="1">
        <f t="array" aca="1" ref="BQ22" ca="1">SUMPRODUCT((OFFSET($ED$3:$FI$3,MATCH($BD22,$EC$4:$EC$35,0),0))*((IF($BO20=$BO22,$ED$3:$FI$3=$BD20,0))+(IF($BO19=$BO22,$ED$3:$FI$3=$BD19,0))+(IF($BO21=$BO22,$ED$3:$FI$3=$BD21,0))))</f>
        <v>0</v>
      </c>
      <c r="BR22" s="4" cm="1">
        <f t="array" aca="1" ref="BR22" ca="1">SUMPRODUCT((OFFSET($FL$3:$GQ$3,MATCH($BD22,$FK$4:$FK$35,0),0))*((IF($BO20=$BO22,$FL$3:$GQ$3=$BD20,0))+(IF($BO19=$BO22,$FL$3:$GQ$3=$BD19,0))+(IF($BO21=$BO22,$FL$3:$GQ$3=$BD21,0))))</f>
        <v>0</v>
      </c>
      <c r="BS22" s="4" cm="1">
        <f t="array" aca="1" ref="BS22" ca="1">SUMPRODUCT((OFFSET($CV$3:$EA$3,MATCH($BD22,$CU$4:$CU$35,0),0))*((IF($BO20&lt;&gt;$BO22,$CV$3:$EA$3=$BD20,0))+(IF($BO19&lt;&gt;$BO22,$CV$3:$EA$3=$BD19,0))+(IF($BO21&lt;&gt;$BO22,$CV$3:$EA$3=$BD21,0))))</f>
        <v>0</v>
      </c>
      <c r="BT22" s="4" cm="1">
        <f t="array" aca="1" ref="BT22" ca="1">SUMPRODUCT((OFFSET($ED$3:$FI$3,MATCH($BD22,$EC$4:$EC$35,0),0))*((IF($BO20&lt;&gt;$BO22,$ED$3:$FI$3=$BD20,0))+(IF($BO19&lt;&gt;$BO22,$ED$3:$FI$3=$BD19,0))+(IF($BO21&lt;&gt;$BO22,$ED$3:$FI$3=$BD21,0))))</f>
        <v>0</v>
      </c>
      <c r="BU22" s="4" cm="1">
        <f t="array" aca="1" ref="BU22" ca="1">SUMPRODUCT((OFFSET($FL$3:$GQ$3,MATCH($BD22,$FK$4:$FK$35,0),0))*((IF($BO20&lt;&gt;$BO22,$FL$3:$GQ$3=$BD20,0))+(IF($BO19&lt;&gt;$BO22,$FL$3:$GQ$3=$BD19,0))+(IF($BO21&lt;&gt;$BO22,$FL$3:$GQ$3=$BD21,0))))</f>
        <v>0</v>
      </c>
      <c r="BV22" s="4">
        <f>BK22</f>
        <v>0</v>
      </c>
      <c r="BW22" s="4">
        <f>BI22</f>
        <v>0</v>
      </c>
      <c r="BX22" s="4">
        <f ca="1">(BP22/10)+(BQ22/100)+(BR22/1000)+(BT22/10000)+(BU22/100000)+(BV22/1000000)+(BW22/10000000)+(ROW(BS19)/100000000)</f>
        <v>1.9000000000000001E-7</v>
      </c>
      <c r="BY22" s="4">
        <f ca="1">+BO22-BX22</f>
        <v>0.99999981000000004</v>
      </c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U22" s="4" t="s">
        <v>131</v>
      </c>
      <c r="CV22" s="56">
        <f>SUMIFS(tblActuals35415[Team 2 Points],tblActuals35415[Team 2],$CU22,tblActuals35415[Team 1],CV$3)+SUMIFS(tblActuals35415[Team 1 Points],tblActuals35415[Team 1],$CU22,tblActuals35415[Team 2],CV$3)</f>
        <v>0</v>
      </c>
      <c r="CW22" s="56">
        <f>SUMIFS(tblActuals35415[Team 2 Points],tblActuals35415[Team 2],$CU22,tblActuals35415[Team 1],CW$3)+SUMIFS(tblActuals35415[Team 1 Points],tblActuals35415[Team 1],$CU22,tblActuals35415[Team 2],CW$3)</f>
        <v>0</v>
      </c>
      <c r="CX22" s="56">
        <f>SUMIFS(tblActuals35415[Team 2 Points],tblActuals35415[Team 2],$CU22,tblActuals35415[Team 1],CX$3)+SUMIFS(tblActuals35415[Team 1 Points],tblActuals35415[Team 1],$CU22,tblActuals35415[Team 2],CX$3)</f>
        <v>0</v>
      </c>
      <c r="CY22" s="56">
        <f>SUMIFS(tblActuals35415[Team 2 Points],tblActuals35415[Team 2],$CU22,tblActuals35415[Team 1],CY$3)+SUMIFS(tblActuals35415[Team 1 Points],tblActuals35415[Team 1],$CU22,tblActuals35415[Team 2],CY$3)</f>
        <v>0</v>
      </c>
      <c r="CZ22" s="56">
        <f>SUMIFS(tblActuals35415[Team 2 Points],tblActuals35415[Team 2],$CU22,tblActuals35415[Team 1],CZ$3)+SUMIFS(tblActuals35415[Team 1 Points],tblActuals35415[Team 1],$CU22,tblActuals35415[Team 2],CZ$3)</f>
        <v>0</v>
      </c>
      <c r="DA22" s="56">
        <f>SUMIFS(tblActuals35415[Team 2 Points],tblActuals35415[Team 2],$CU22,tblActuals35415[Team 1],DA$3)+SUMIFS(tblActuals35415[Team 1 Points],tblActuals35415[Team 1],$CU22,tblActuals35415[Team 2],DA$3)</f>
        <v>0</v>
      </c>
      <c r="DB22" s="56">
        <f>SUMIFS(tblActuals35415[Team 2 Points],tblActuals35415[Team 2],$CU22,tblActuals35415[Team 1],DB$3)+SUMIFS(tblActuals35415[Team 1 Points],tblActuals35415[Team 1],$CU22,tblActuals35415[Team 2],DB$3)</f>
        <v>0</v>
      </c>
      <c r="DC22" s="56">
        <f>SUMIFS(tblActuals35415[Team 2 Points],tblActuals35415[Team 2],$CU22,tblActuals35415[Team 1],DC$3)+SUMIFS(tblActuals35415[Team 1 Points],tblActuals35415[Team 1],$CU22,tblActuals35415[Team 2],DC$3)</f>
        <v>0</v>
      </c>
      <c r="DD22" s="56">
        <f>SUMIFS(tblActuals35415[Team 2 Points],tblActuals35415[Team 2],$CU22,tblActuals35415[Team 1],DD$3)+SUMIFS(tblActuals35415[Team 1 Points],tblActuals35415[Team 1],$CU22,tblActuals35415[Team 2],DD$3)</f>
        <v>0</v>
      </c>
      <c r="DE22" s="56">
        <f>SUMIFS(tblActuals35415[Team 2 Points],tblActuals35415[Team 2],$CU22,tblActuals35415[Team 1],DE$3)+SUMIFS(tblActuals35415[Team 1 Points],tblActuals35415[Team 1],$CU22,tblActuals35415[Team 2],DE$3)</f>
        <v>0</v>
      </c>
      <c r="DF22" s="56">
        <f>SUMIFS(tblActuals35415[Team 2 Points],tblActuals35415[Team 2],$CU22,tblActuals35415[Team 1],DF$3)+SUMIFS(tblActuals35415[Team 1 Points],tblActuals35415[Team 1],$CU22,tblActuals35415[Team 2],DF$3)</f>
        <v>0</v>
      </c>
      <c r="DG22" s="56">
        <f>SUMIFS(tblActuals35415[Team 2 Points],tblActuals35415[Team 2],$CU22,tblActuals35415[Team 1],DG$3)+SUMIFS(tblActuals35415[Team 1 Points],tblActuals35415[Team 1],$CU22,tblActuals35415[Team 2],DG$3)</f>
        <v>0</v>
      </c>
      <c r="DH22" s="56">
        <f>SUMIFS(tblActuals35415[Team 2 Points],tblActuals35415[Team 2],$CU22,tblActuals35415[Team 1],DH$3)+SUMIFS(tblActuals35415[Team 1 Points],tblActuals35415[Team 1],$CU22,tblActuals35415[Team 2],DH$3)</f>
        <v>0</v>
      </c>
      <c r="DI22" s="56">
        <f>SUMIFS(tblActuals35415[Team 2 Points],tblActuals35415[Team 2],$CU22,tblActuals35415[Team 1],DI$3)+SUMIFS(tblActuals35415[Team 1 Points],tblActuals35415[Team 1],$CU22,tblActuals35415[Team 2],DI$3)</f>
        <v>0</v>
      </c>
      <c r="DJ22" s="56">
        <f>SUMIFS(tblActuals35415[Team 2 Points],tblActuals35415[Team 2],$CU22,tblActuals35415[Team 1],DJ$3)+SUMIFS(tblActuals35415[Team 1 Points],tblActuals35415[Team 1],$CU22,tblActuals35415[Team 2],DJ$3)</f>
        <v>0</v>
      </c>
      <c r="DK22" s="56">
        <f>SUMIFS(tblActuals35415[Team 2 Points],tblActuals35415[Team 2],$CU22,tblActuals35415[Team 1],DK$3)+SUMIFS(tblActuals35415[Team 1 Points],tblActuals35415[Team 1],$CU22,tblActuals35415[Team 2],DK$3)</f>
        <v>0</v>
      </c>
      <c r="DL22" s="56">
        <f>SUMIFS(tblActuals35415[Team 2 Points],tblActuals35415[Team 2],$CU22,tblActuals35415[Team 1],DL$3)+SUMIFS(tblActuals35415[Team 1 Points],tblActuals35415[Team 1],$CU22,tblActuals35415[Team 2],DL$3)</f>
        <v>0</v>
      </c>
      <c r="DM22" s="56">
        <f>SUMIFS(tblActuals35415[Team 2 Points],tblActuals35415[Team 2],$CU22,tblActuals35415[Team 1],DM$3)+SUMIFS(tblActuals35415[Team 1 Points],tblActuals35415[Team 1],$CU22,tblActuals35415[Team 2],DM$3)</f>
        <v>0</v>
      </c>
      <c r="DN22" s="56">
        <f>SUMIFS(tblActuals35415[Team 2 Points],tblActuals35415[Team 2],$CU22,tblActuals35415[Team 1],DN$3)+SUMIFS(tblActuals35415[Team 1 Points],tblActuals35415[Team 1],$CU22,tblActuals35415[Team 2],DN$3)</f>
        <v>0</v>
      </c>
      <c r="DO22" s="56">
        <f>SUMIFS(tblActuals35415[Team 2 Points],tblActuals35415[Team 2],$CU22,tblActuals35415[Team 1],DO$3)+SUMIFS(tblActuals35415[Team 1 Points],tblActuals35415[Team 1],$CU22,tblActuals35415[Team 2],DO$3)</f>
        <v>0</v>
      </c>
      <c r="DP22" s="56">
        <f>SUMIFS(tblActuals35415[Team 2 Points],tblActuals35415[Team 2],$CU22,tblActuals35415[Team 1],DP$3)+SUMIFS(tblActuals35415[Team 1 Points],tblActuals35415[Team 1],$CU22,tblActuals35415[Team 2],DP$3)</f>
        <v>0</v>
      </c>
      <c r="DQ22" s="56">
        <f>SUMIFS(tblActuals35415[Team 2 Points],tblActuals35415[Team 2],$CU22,tblActuals35415[Team 1],DQ$3)+SUMIFS(tblActuals35415[Team 1 Points],tblActuals35415[Team 1],$CU22,tblActuals35415[Team 2],DQ$3)</f>
        <v>0</v>
      </c>
      <c r="DR22" s="56">
        <f>SUMIFS(tblActuals35415[Team 2 Points],tblActuals35415[Team 2],$CU22,tblActuals35415[Team 1],DR$3)+SUMIFS(tblActuals35415[Team 1 Points],tblActuals35415[Team 1],$CU22,tblActuals35415[Team 2],DR$3)</f>
        <v>0</v>
      </c>
      <c r="DS22" s="56">
        <f>SUMIFS(tblActuals35415[Team 2 Points],tblActuals35415[Team 2],$CU22,tblActuals35415[Team 1],DS$3)+SUMIFS(tblActuals35415[Team 1 Points],tblActuals35415[Team 1],$CU22,tblActuals35415[Team 2],DS$3)</f>
        <v>0</v>
      </c>
      <c r="DT22" s="57"/>
      <c r="DU22" s="57"/>
      <c r="DV22" s="57"/>
      <c r="DW22" s="57"/>
      <c r="DX22" s="57"/>
      <c r="DY22" s="57"/>
      <c r="DZ22" s="57"/>
      <c r="EA22" s="57"/>
      <c r="EB22" s="4"/>
      <c r="EC22" s="4" t="s">
        <v>131</v>
      </c>
      <c r="ED22" s="56">
        <f>SUMIFS(tblActuals35415[Team 2 GD],tblActuals35415[Team 2],$CU22,tblActuals35415[Team 1],ED$3)+SUMIFS(tblActuals35415[Team 1 GD],tblActuals35415[Team 1],$CU22,tblActuals35415[Team 2],ED$3)</f>
        <v>0</v>
      </c>
      <c r="EE22" s="56">
        <f>SUMIFS(tblActuals35415[Team 2 GD],tblActuals35415[Team 2],$CU22,tblActuals35415[Team 1],EE$3)+SUMIFS(tblActuals35415[Team 1 GD],tblActuals35415[Team 1],$CU22,tblActuals35415[Team 2],EE$3)</f>
        <v>0</v>
      </c>
      <c r="EF22" s="56">
        <f>SUMIFS(tblActuals35415[Team 2 GD],tblActuals35415[Team 2],$CU22,tblActuals35415[Team 1],EF$3)+SUMIFS(tblActuals35415[Team 1 GD],tblActuals35415[Team 1],$CU22,tblActuals35415[Team 2],EF$3)</f>
        <v>0</v>
      </c>
      <c r="EG22" s="56">
        <f>SUMIFS(tblActuals35415[Team 2 GD],tblActuals35415[Team 2],$CU22,tblActuals35415[Team 1],EG$3)+SUMIFS(tblActuals35415[Team 1 GD],tblActuals35415[Team 1],$CU22,tblActuals35415[Team 2],EG$3)</f>
        <v>0</v>
      </c>
      <c r="EH22" s="56">
        <f>SUMIFS(tblActuals35415[Team 2 GD],tblActuals35415[Team 2],$CU22,tblActuals35415[Team 1],EH$3)+SUMIFS(tblActuals35415[Team 1 GD],tblActuals35415[Team 1],$CU22,tblActuals35415[Team 2],EH$3)</f>
        <v>0</v>
      </c>
      <c r="EI22" s="56">
        <f>SUMIFS(tblActuals35415[Team 2 GD],tblActuals35415[Team 2],$CU22,tblActuals35415[Team 1],EI$3)+SUMIFS(tblActuals35415[Team 1 GD],tblActuals35415[Team 1],$CU22,tblActuals35415[Team 2],EI$3)</f>
        <v>0</v>
      </c>
      <c r="EJ22" s="56">
        <f>SUMIFS(tblActuals35415[Team 2 GD],tblActuals35415[Team 2],$CU22,tblActuals35415[Team 1],EJ$3)+SUMIFS(tblActuals35415[Team 1 GD],tblActuals35415[Team 1],$CU22,tblActuals35415[Team 2],EJ$3)</f>
        <v>0</v>
      </c>
      <c r="EK22" s="56">
        <f>SUMIFS(tblActuals35415[Team 2 GD],tblActuals35415[Team 2],$CU22,tblActuals35415[Team 1],EK$3)+SUMIFS(tblActuals35415[Team 1 GD],tblActuals35415[Team 1],$CU22,tblActuals35415[Team 2],EK$3)</f>
        <v>0</v>
      </c>
      <c r="EL22" s="56">
        <f>SUMIFS(tblActuals35415[Team 2 GD],tblActuals35415[Team 2],$CU22,tblActuals35415[Team 1],EL$3)+SUMIFS(tblActuals35415[Team 1 GD],tblActuals35415[Team 1],$CU22,tblActuals35415[Team 2],EL$3)</f>
        <v>0</v>
      </c>
      <c r="EM22" s="56">
        <f>SUMIFS(tblActuals35415[Team 2 GD],tblActuals35415[Team 2],$CU22,tblActuals35415[Team 1],EM$3)+SUMIFS(tblActuals35415[Team 1 GD],tblActuals35415[Team 1],$CU22,tblActuals35415[Team 2],EM$3)</f>
        <v>0</v>
      </c>
      <c r="EN22" s="56">
        <f>SUMIFS(tblActuals35415[Team 2 GD],tblActuals35415[Team 2],$CU22,tblActuals35415[Team 1],EN$3)+SUMIFS(tblActuals35415[Team 1 GD],tblActuals35415[Team 1],$CU22,tblActuals35415[Team 2],EN$3)</f>
        <v>0</v>
      </c>
      <c r="EO22" s="56">
        <f>SUMIFS(tblActuals35415[Team 2 GD],tblActuals35415[Team 2],$CU22,tblActuals35415[Team 1],EO$3)+SUMIFS(tblActuals35415[Team 1 GD],tblActuals35415[Team 1],$CU22,tblActuals35415[Team 2],EO$3)</f>
        <v>0</v>
      </c>
      <c r="EP22" s="56">
        <f>SUMIFS(tblActuals35415[Team 2 GD],tblActuals35415[Team 2],$CU22,tblActuals35415[Team 1],EP$3)+SUMIFS(tblActuals35415[Team 1 GD],tblActuals35415[Team 1],$CU22,tblActuals35415[Team 2],EP$3)</f>
        <v>0</v>
      </c>
      <c r="EQ22" s="56">
        <f>SUMIFS(tblActuals35415[Team 2 GD],tblActuals35415[Team 2],$CU22,tblActuals35415[Team 1],EQ$3)+SUMIFS(tblActuals35415[Team 1 GD],tblActuals35415[Team 1],$CU22,tblActuals35415[Team 2],EQ$3)</f>
        <v>0</v>
      </c>
      <c r="ER22" s="56">
        <f>SUMIFS(tblActuals35415[Team 2 GD],tblActuals35415[Team 2],$CU22,tblActuals35415[Team 1],ER$3)+SUMIFS(tblActuals35415[Team 1 GD],tblActuals35415[Team 1],$CU22,tblActuals35415[Team 2],ER$3)</f>
        <v>0</v>
      </c>
      <c r="ES22" s="56">
        <f>SUMIFS(tblActuals35415[Team 2 GD],tblActuals35415[Team 2],$CU22,tblActuals35415[Team 1],ES$3)+SUMIFS(tblActuals35415[Team 1 GD],tblActuals35415[Team 1],$CU22,tblActuals35415[Team 2],ES$3)</f>
        <v>0</v>
      </c>
      <c r="ET22" s="56">
        <f>SUMIFS(tblActuals35415[Team 2 GD],tblActuals35415[Team 2],$CU22,tblActuals35415[Team 1],ET$3)+SUMIFS(tblActuals35415[Team 1 GD],tblActuals35415[Team 1],$CU22,tblActuals35415[Team 2],ET$3)</f>
        <v>0</v>
      </c>
      <c r="EU22" s="56">
        <f>SUMIFS(tblActuals35415[Team 2 GD],tblActuals35415[Team 2],$CU22,tblActuals35415[Team 1],EU$3)+SUMIFS(tblActuals35415[Team 1 GD],tblActuals35415[Team 1],$CU22,tblActuals35415[Team 2],EU$3)</f>
        <v>0</v>
      </c>
      <c r="EV22" s="56">
        <f>SUMIFS(tblActuals35415[Team 2 GD],tblActuals35415[Team 2],$CU22,tblActuals35415[Team 1],EV$3)+SUMIFS(tblActuals35415[Team 1 GD],tblActuals35415[Team 1],$CU22,tblActuals35415[Team 2],EV$3)</f>
        <v>0</v>
      </c>
      <c r="EW22" s="56">
        <f>SUMIFS(tblActuals35415[Team 2 GD],tblActuals35415[Team 2],$CU22,tblActuals35415[Team 1],EW$3)+SUMIFS(tblActuals35415[Team 1 GD],tblActuals35415[Team 1],$CU22,tblActuals35415[Team 2],EW$3)</f>
        <v>0</v>
      </c>
      <c r="EX22" s="56">
        <f>SUMIFS(tblActuals35415[Team 2 GD],tblActuals35415[Team 2],$CU22,tblActuals35415[Team 1],EX$3)+SUMIFS(tblActuals35415[Team 1 GD],tblActuals35415[Team 1],$CU22,tblActuals35415[Team 2],EX$3)</f>
        <v>0</v>
      </c>
      <c r="EY22" s="56">
        <f>SUMIFS(tblActuals35415[Team 2 GD],tblActuals35415[Team 2],$CU22,tblActuals35415[Team 1],EY$3)+SUMIFS(tblActuals35415[Team 1 GD],tblActuals35415[Team 1],$CU22,tblActuals35415[Team 2],EY$3)</f>
        <v>0</v>
      </c>
      <c r="EZ22" s="56">
        <f>SUMIFS(tblActuals35415[Team 2 GD],tblActuals35415[Team 2],$CU22,tblActuals35415[Team 1],EZ$3)+SUMIFS(tblActuals35415[Team 1 GD],tblActuals35415[Team 1],$CU22,tblActuals35415[Team 2],EZ$3)</f>
        <v>0</v>
      </c>
      <c r="FA22" s="56">
        <f>SUMIFS(tblActuals35415[Team 2 GD],tblActuals35415[Team 2],$CU22,tblActuals35415[Team 1],FA$3)+SUMIFS(tblActuals35415[Team 1 GD],tblActuals35415[Team 1],$CU22,tblActuals35415[Team 2],FA$3)</f>
        <v>0</v>
      </c>
      <c r="FB22" s="57"/>
      <c r="FC22" s="57"/>
      <c r="FD22" s="57"/>
      <c r="FE22" s="57"/>
      <c r="FF22" s="57"/>
      <c r="FG22" s="57"/>
      <c r="FH22" s="57"/>
      <c r="FI22" s="57"/>
      <c r="FJ22" s="4"/>
      <c r="FK22" s="4" t="s">
        <v>131</v>
      </c>
      <c r="FL22" s="56">
        <f>SUMIFS(tblActuals35415[Team 2 Goals],tblActuals35415[Team 2],$CU22,tblActuals35415[Team 1],FL$3)+SUMIFS(tblActuals35415[Team 1 Goals],tblActuals35415[Team 1],$CU22,tblActuals35415[Team 2],FL$3)</f>
        <v>0</v>
      </c>
      <c r="FM22" s="56">
        <f>SUMIFS(tblActuals35415[Team 2 Goals],tblActuals35415[Team 2],$CU22,tblActuals35415[Team 1],FM$3)+SUMIFS(tblActuals35415[Team 1 Goals],tblActuals35415[Team 1],$CU22,tblActuals35415[Team 2],FM$3)</f>
        <v>0</v>
      </c>
      <c r="FN22" s="56">
        <f>SUMIFS(tblActuals35415[Team 2 Goals],tblActuals35415[Team 2],$CU22,tblActuals35415[Team 1],FN$3)+SUMIFS(tblActuals35415[Team 1 Goals],tblActuals35415[Team 1],$CU22,tblActuals35415[Team 2],FN$3)</f>
        <v>0</v>
      </c>
      <c r="FO22" s="56">
        <f>SUMIFS(tblActuals35415[Team 2 Goals],tblActuals35415[Team 2],$CU22,tblActuals35415[Team 1],FO$3)+SUMIFS(tblActuals35415[Team 1 Goals],tblActuals35415[Team 1],$CU22,tblActuals35415[Team 2],FO$3)</f>
        <v>0</v>
      </c>
      <c r="FP22" s="56">
        <f>SUMIFS(tblActuals35415[Team 2 Goals],tblActuals35415[Team 2],$CU22,tblActuals35415[Team 1],FP$3)+SUMIFS(tblActuals35415[Team 1 Goals],tblActuals35415[Team 1],$CU22,tblActuals35415[Team 2],FP$3)</f>
        <v>0</v>
      </c>
      <c r="FQ22" s="56">
        <f>SUMIFS(tblActuals35415[Team 2 Goals],tblActuals35415[Team 2],$CU22,tblActuals35415[Team 1],FQ$3)+SUMIFS(tblActuals35415[Team 1 Goals],tblActuals35415[Team 1],$CU22,tblActuals35415[Team 2],FQ$3)</f>
        <v>0</v>
      </c>
      <c r="FR22" s="56">
        <f>SUMIFS(tblActuals35415[Team 2 Goals],tblActuals35415[Team 2],$CU22,tblActuals35415[Team 1],FR$3)+SUMIFS(tblActuals35415[Team 1 Goals],tblActuals35415[Team 1],$CU22,tblActuals35415[Team 2],FR$3)</f>
        <v>0</v>
      </c>
      <c r="FS22" s="56">
        <f>SUMIFS(tblActuals35415[Team 2 Goals],tblActuals35415[Team 2],$CU22,tblActuals35415[Team 1],FS$3)+SUMIFS(tblActuals35415[Team 1 Goals],tblActuals35415[Team 1],$CU22,tblActuals35415[Team 2],FS$3)</f>
        <v>0</v>
      </c>
      <c r="FT22" s="56">
        <f>SUMIFS(tblActuals35415[Team 2 Goals],tblActuals35415[Team 2],$CU22,tblActuals35415[Team 1],FT$3)+SUMIFS(tblActuals35415[Team 1 Goals],tblActuals35415[Team 1],$CU22,tblActuals35415[Team 2],FT$3)</f>
        <v>0</v>
      </c>
      <c r="FU22" s="56">
        <f>SUMIFS(tblActuals35415[Team 2 Goals],tblActuals35415[Team 2],$CU22,tblActuals35415[Team 1],FU$3)+SUMIFS(tblActuals35415[Team 1 Goals],tblActuals35415[Team 1],$CU22,tblActuals35415[Team 2],FU$3)</f>
        <v>0</v>
      </c>
      <c r="FV22" s="56">
        <f>SUMIFS(tblActuals35415[Team 2 Goals],tblActuals35415[Team 2],$CU22,tblActuals35415[Team 1],FV$3)+SUMIFS(tblActuals35415[Team 1 Goals],tblActuals35415[Team 1],$CU22,tblActuals35415[Team 2],FV$3)</f>
        <v>0</v>
      </c>
      <c r="FW22" s="56">
        <f>SUMIFS(tblActuals35415[Team 2 Goals],tblActuals35415[Team 2],$CU22,tblActuals35415[Team 1],FW$3)+SUMIFS(tblActuals35415[Team 1 Goals],tblActuals35415[Team 1],$CU22,tblActuals35415[Team 2],FW$3)</f>
        <v>0</v>
      </c>
      <c r="FX22" s="56">
        <f>SUMIFS(tblActuals35415[Team 2 Goals],tblActuals35415[Team 2],$CU22,tblActuals35415[Team 1],FX$3)+SUMIFS(tblActuals35415[Team 1 Goals],tblActuals35415[Team 1],$CU22,tblActuals35415[Team 2],FX$3)</f>
        <v>0</v>
      </c>
      <c r="FY22" s="56">
        <f>SUMIFS(tblActuals35415[Team 2 Goals],tblActuals35415[Team 2],$CU22,tblActuals35415[Team 1],FY$3)+SUMIFS(tblActuals35415[Team 1 Goals],tblActuals35415[Team 1],$CU22,tblActuals35415[Team 2],FY$3)</f>
        <v>0</v>
      </c>
      <c r="FZ22" s="56">
        <f>SUMIFS(tblActuals35415[Team 2 Goals],tblActuals35415[Team 2],$CU22,tblActuals35415[Team 1],FZ$3)+SUMIFS(tblActuals35415[Team 1 Goals],tblActuals35415[Team 1],$CU22,tblActuals35415[Team 2],FZ$3)</f>
        <v>0</v>
      </c>
      <c r="GA22" s="56">
        <f>SUMIFS(tblActuals35415[Team 2 Goals],tblActuals35415[Team 2],$CU22,tblActuals35415[Team 1],GA$3)+SUMIFS(tblActuals35415[Team 1 Goals],tblActuals35415[Team 1],$CU22,tblActuals35415[Team 2],GA$3)</f>
        <v>0</v>
      </c>
      <c r="GB22" s="56">
        <f>SUMIFS(tblActuals35415[Team 2 Goals],tblActuals35415[Team 2],$CU22,tblActuals35415[Team 1],GB$3)+SUMIFS(tblActuals35415[Team 1 Goals],tblActuals35415[Team 1],$CU22,tblActuals35415[Team 2],GB$3)</f>
        <v>0</v>
      </c>
      <c r="GC22" s="56">
        <f>SUMIFS(tblActuals35415[Team 2 Goals],tblActuals35415[Team 2],$CU22,tblActuals35415[Team 1],GC$3)+SUMIFS(tblActuals35415[Team 1 Goals],tblActuals35415[Team 1],$CU22,tblActuals35415[Team 2],GC$3)</f>
        <v>0</v>
      </c>
      <c r="GD22" s="56">
        <f>SUMIFS(tblActuals35415[Team 2 Goals],tblActuals35415[Team 2],$CU22,tblActuals35415[Team 1],GD$3)+SUMIFS(tblActuals35415[Team 1 Goals],tblActuals35415[Team 1],$CU22,tblActuals35415[Team 2],GD$3)</f>
        <v>0</v>
      </c>
      <c r="GE22" s="56">
        <f>SUMIFS(tblActuals35415[Team 2 Goals],tblActuals35415[Team 2],$CU22,tblActuals35415[Team 1],GE$3)+SUMIFS(tblActuals35415[Team 1 Goals],tblActuals35415[Team 1],$CU22,tblActuals35415[Team 2],GE$3)</f>
        <v>0</v>
      </c>
      <c r="GF22" s="56">
        <f>SUMIFS(tblActuals35415[Team 2 Goals],tblActuals35415[Team 2],$CU22,tblActuals35415[Team 1],GF$3)+SUMIFS(tblActuals35415[Team 1 Goals],tblActuals35415[Team 1],$CU22,tblActuals35415[Team 2],GF$3)</f>
        <v>0</v>
      </c>
      <c r="GG22" s="56">
        <f>SUMIFS(tblActuals35415[Team 2 Goals],tblActuals35415[Team 2],$CU22,tblActuals35415[Team 1],GG$3)+SUMIFS(tblActuals35415[Team 1 Goals],tblActuals35415[Team 1],$CU22,tblActuals35415[Team 2],GG$3)</f>
        <v>0</v>
      </c>
      <c r="GH22" s="56">
        <f>SUMIFS(tblActuals35415[Team 2 Goals],tblActuals35415[Team 2],$CU22,tblActuals35415[Team 1],GH$3)+SUMIFS(tblActuals35415[Team 1 Goals],tblActuals35415[Team 1],$CU22,tblActuals35415[Team 2],GH$3)</f>
        <v>0</v>
      </c>
      <c r="GI22" s="56">
        <f>SUMIFS(tblActuals35415[Team 2 Goals],tblActuals35415[Team 2],$CU22,tblActuals35415[Team 1],GI$3)+SUMIFS(tblActuals35415[Team 1 Goals],tblActuals35415[Team 1],$CU22,tblActuals35415[Team 2],GI$3)</f>
        <v>0</v>
      </c>
      <c r="GJ22" s="57"/>
      <c r="GK22" s="57"/>
      <c r="GL22" s="37"/>
      <c r="GM22" s="37"/>
      <c r="GN22" s="37"/>
      <c r="GO22" s="37"/>
      <c r="GP22" s="37"/>
      <c r="GQ22" s="37"/>
      <c r="GR22" s="75"/>
      <c r="GS22" s="157"/>
      <c r="GT22" s="157"/>
      <c r="GU22" s="75"/>
      <c r="GV22" s="75"/>
      <c r="GW22" s="75"/>
      <c r="GX22" s="75"/>
      <c r="GY22" s="75"/>
      <c r="GZ22" s="75"/>
    </row>
    <row r="23" spans="1:221" s="11" customFormat="1" ht="30" customHeight="1" thickBot="1" x14ac:dyDescent="0.3">
      <c r="A23" s="20"/>
      <c r="B23" s="122">
        <v>20</v>
      </c>
      <c r="C23" s="122" t="s">
        <v>7</v>
      </c>
      <c r="D23" s="123">
        <v>45464</v>
      </c>
      <c r="E23" s="122" t="s">
        <v>87</v>
      </c>
      <c r="F23" s="124">
        <v>0.875</v>
      </c>
      <c r="G23" s="125">
        <f t="shared" si="11"/>
        <v>45464.625</v>
      </c>
      <c r="H23" s="122" t="s">
        <v>108</v>
      </c>
      <c r="I23" s="126"/>
      <c r="J23" s="118"/>
      <c r="K23" s="118"/>
      <c r="L23" s="174">
        <f>IF(I23="",0,IFERROR(IF(SCORING.RULES!$C$8="No",1,((VLOOKUP($B23,ACTUALS!$B$4:$L$100,7,FALSE)=$H23)+(VLOOKUP($B23,ACTUALS!$B$4:$L$100,7,FALSE)=S23)))*(M23+N23+O23+P23+Q23),0))+$R23</f>
        <v>0</v>
      </c>
      <c r="M23" s="168">
        <f>IFERROR(IF($B23="","",IF(U23=INDEX(ACTUALS!$AA$4:$AA$100,MATCH($B23,ACTUALS!$B$4:$B$100,0),1),CorrectScore,0)),0)</f>
        <v>0</v>
      </c>
      <c r="N23" s="157" t="str">
        <f>IFERROR(IF(I23="","",IF(INDEX(ACTUALS!$AB$4:$AB$100,MATCH($B23,ACTUALS!$B$4:$B$100,0),1)=(AB23+AC23+AH23+AI23),CorrectNumberofGoals,0)),0)</f>
        <v/>
      </c>
      <c r="O23" s="157"/>
      <c r="P23" s="157">
        <f>IFERROR(IF(B23="","",IF(INDEX(ACTUALS!$L$4:$L$100,MATCH($B23,ACTUALS!$B$4:$B$100,0),1)=W23,CorrectResult,0)),0)</f>
        <v>3</v>
      </c>
      <c r="Q23" s="157"/>
      <c r="R23" s="157"/>
      <c r="S23" s="157" t="str">
        <f t="shared" si="0"/>
        <v/>
      </c>
      <c r="T23" s="157"/>
      <c r="U23" s="157" t="str">
        <f t="shared" si="1"/>
        <v/>
      </c>
      <c r="V23" s="157" t="str">
        <f t="shared" si="2"/>
        <v/>
      </c>
      <c r="W23" s="119" t="str">
        <f>IF(tblActuals35415[[#This Row],[SCORE]]="","",IF(AB23=AC23,"Draw",IF(AB23&gt;AC23,X23,Y23)))</f>
        <v/>
      </c>
      <c r="X23" s="120" t="str">
        <f>IF(tblActuals35415[[#This Row],[TEAMS]]="","",LEFT(H23,FIND(" -",H23,1)-1))</f>
        <v>Netherlands</v>
      </c>
      <c r="Y23" s="120" t="str">
        <f>IF(tblActuals35415[[#This Row],[TEAMS]]="","",MID(H23,FIND("-",H23,1)+2,LEN(H23)-FIND("-",H23,1)+2))</f>
        <v>France</v>
      </c>
      <c r="Z23" s="120" t="str">
        <f>IF(tblActuals35415[[#This Row],[Team 1 Goals]]&gt;tblActuals35415[[#This Row],[Team 2 Goals]],tblActuals35415[[#This Row],[Team 1]],IF(tblActuals35415[[#This Row],[Team 2 Goals]]&gt;tblActuals35415[[#This Row],[Team 1 Goals]],tblActuals35415[[#This Row],[Team 2]],""))</f>
        <v/>
      </c>
      <c r="AA23" s="120" t="str">
        <f>IF(tblActuals35415[[#This Row],[Winner]]=tblActuals35415[[#This Row],[Team 1]],tblActuals35415[[#This Row],[Team 2]],IF(tblActuals35415[[#This Row],[Winner]]=tblActuals35415[[#This Row],[Team 2]],tblActuals35415[[#This Row],[Team 1]],""))</f>
        <v/>
      </c>
      <c r="AB23" s="120" t="str">
        <f>IF(tblActuals35415[[#This Row],[SCORE]]="","",LEFT(I23,FIND(":",I23,1)-1)*1)</f>
        <v/>
      </c>
      <c r="AC23" s="120" t="str">
        <f>IF(tblActuals35415[[#This Row],[SCORE]]="","",MID(I23,FIND(":",I23,1)+1,LEN(I23)-FIND(":",I23,1)+1)*1)</f>
        <v/>
      </c>
      <c r="AD23" s="120" t="str">
        <f>IF(OR(tblActuals35415[[#This Row],[Team 1 Goals]]="",tblActuals35415[[#This Row],[Team 2 Goals]]=""),"",tblActuals35415[[#This Row],[Team 1 Goals]]-tblActuals35415[[#This Row],[Team 2 Goals]])</f>
        <v/>
      </c>
      <c r="AE23" s="120" t="str">
        <f>IF(OR(tblActuals35415[[#This Row],[Team 1 Goals]]="",tblActuals35415[[#This Row],[Team 2 Goals]]=""),"",tblActuals35415[[#This Row],[Team 2 Goals]]-tblActuals35415[[#This Row],[Team 1 Goals]])</f>
        <v/>
      </c>
      <c r="AF23" s="120" t="str">
        <f>IF(tblActuals35415[[#This Row],[SCORE]]="","",IF(tblActuals35415[[#This Row],[WINNER / RESULT]]="Draw",1,IF(tblActuals35415[[#This Row],[WINNER / RESULT]]=tblActuals35415[[#This Row],[Team 1]],3,0)))</f>
        <v/>
      </c>
      <c r="AG23" s="120" t="str">
        <f>IF(tblActuals35415[[#This Row],[SCORE]]="","",IF(tblActuals35415[[#This Row],[WINNER / RESULT]]="Draw",1,IF(tblActuals35415[[#This Row],[WINNER / RESULT]]=tblActuals35415[[#This Row],[Team 2]],3,0)))</f>
        <v/>
      </c>
      <c r="AH23" s="121"/>
      <c r="AI23" s="121"/>
      <c r="AJ23" s="121"/>
      <c r="AK23" s="121"/>
      <c r="AL23" s="120" t="e">
        <f>tblActuals35415[[#This Row],[Team 1 Goals]]+tblActuals35415[[#This Row],[Team 1 ET Goals]]&amp;":"&amp;tblActuals35415[[#This Row],[Team 2 Goals]]+tblActuals35415[[#This Row],[Team 2 ET Goals]]</f>
        <v>#VALUE!</v>
      </c>
      <c r="AM23" s="120" t="e">
        <f>+tblActuals35415[[#This Row],[Team 1 Goals]]+tblActuals35415[[#This Row],[Team 2 Goals]]</f>
        <v>#VALUE!</v>
      </c>
      <c r="AN23" s="161">
        <f t="shared" si="3"/>
        <v>45464</v>
      </c>
      <c r="AT23" s="78"/>
      <c r="AU23" s="179" t="s">
        <v>54</v>
      </c>
      <c r="AV23" s="180"/>
      <c r="AW23" s="133" t="s">
        <v>46</v>
      </c>
      <c r="AX23" s="134" t="s">
        <v>57</v>
      </c>
      <c r="AY23" s="135" t="s">
        <v>11</v>
      </c>
      <c r="AZ23" s="75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 t="str">
        <f t="shared" si="4"/>
        <v/>
      </c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U23" s="4" t="s">
        <v>132</v>
      </c>
      <c r="CV23" s="56">
        <f>SUMIFS(tblActuals35415[Team 2 Points],tblActuals35415[Team 2],$CU23,tblActuals35415[Team 1],CV$3)+SUMIFS(tblActuals35415[Team 1 Points],tblActuals35415[Team 1],$CU23,tblActuals35415[Team 2],CV$3)</f>
        <v>0</v>
      </c>
      <c r="CW23" s="56">
        <f>SUMIFS(tblActuals35415[Team 2 Points],tblActuals35415[Team 2],$CU23,tblActuals35415[Team 1],CW$3)+SUMIFS(tblActuals35415[Team 1 Points],tblActuals35415[Team 1],$CU23,tblActuals35415[Team 2],CW$3)</f>
        <v>0</v>
      </c>
      <c r="CX23" s="56">
        <f>SUMIFS(tblActuals35415[Team 2 Points],tblActuals35415[Team 2],$CU23,tblActuals35415[Team 1],CX$3)+SUMIFS(tblActuals35415[Team 1 Points],tblActuals35415[Team 1],$CU23,tblActuals35415[Team 2],CX$3)</f>
        <v>0</v>
      </c>
      <c r="CY23" s="56">
        <f>SUMIFS(tblActuals35415[Team 2 Points],tblActuals35415[Team 2],$CU23,tblActuals35415[Team 1],CY$3)+SUMIFS(tblActuals35415[Team 1 Points],tblActuals35415[Team 1],$CU23,tblActuals35415[Team 2],CY$3)</f>
        <v>0</v>
      </c>
      <c r="CZ23" s="56">
        <f>SUMIFS(tblActuals35415[Team 2 Points],tblActuals35415[Team 2],$CU23,tblActuals35415[Team 1],CZ$3)+SUMIFS(tblActuals35415[Team 1 Points],tblActuals35415[Team 1],$CU23,tblActuals35415[Team 2],CZ$3)</f>
        <v>0</v>
      </c>
      <c r="DA23" s="56">
        <f>SUMIFS(tblActuals35415[Team 2 Points],tblActuals35415[Team 2],$CU23,tblActuals35415[Team 1],DA$3)+SUMIFS(tblActuals35415[Team 1 Points],tblActuals35415[Team 1],$CU23,tblActuals35415[Team 2],DA$3)</f>
        <v>0</v>
      </c>
      <c r="DB23" s="56">
        <f>SUMIFS(tblActuals35415[Team 2 Points],tblActuals35415[Team 2],$CU23,tblActuals35415[Team 1],DB$3)+SUMIFS(tblActuals35415[Team 1 Points],tblActuals35415[Team 1],$CU23,tblActuals35415[Team 2],DB$3)</f>
        <v>0</v>
      </c>
      <c r="DC23" s="56">
        <f>SUMIFS(tblActuals35415[Team 2 Points],tblActuals35415[Team 2],$CU23,tblActuals35415[Team 1],DC$3)+SUMIFS(tblActuals35415[Team 1 Points],tblActuals35415[Team 1],$CU23,tblActuals35415[Team 2],DC$3)</f>
        <v>0</v>
      </c>
      <c r="DD23" s="56">
        <f>SUMIFS(tblActuals35415[Team 2 Points],tblActuals35415[Team 2],$CU23,tblActuals35415[Team 1],DD$3)+SUMIFS(tblActuals35415[Team 1 Points],tblActuals35415[Team 1],$CU23,tblActuals35415[Team 2],DD$3)</f>
        <v>0</v>
      </c>
      <c r="DE23" s="56">
        <f>SUMIFS(tblActuals35415[Team 2 Points],tblActuals35415[Team 2],$CU23,tblActuals35415[Team 1],DE$3)+SUMIFS(tblActuals35415[Team 1 Points],tblActuals35415[Team 1],$CU23,tblActuals35415[Team 2],DE$3)</f>
        <v>0</v>
      </c>
      <c r="DF23" s="56">
        <f>SUMIFS(tblActuals35415[Team 2 Points],tblActuals35415[Team 2],$CU23,tblActuals35415[Team 1],DF$3)+SUMIFS(tblActuals35415[Team 1 Points],tblActuals35415[Team 1],$CU23,tblActuals35415[Team 2],DF$3)</f>
        <v>0</v>
      </c>
      <c r="DG23" s="56">
        <f>SUMIFS(tblActuals35415[Team 2 Points],tblActuals35415[Team 2],$CU23,tblActuals35415[Team 1],DG$3)+SUMIFS(tblActuals35415[Team 1 Points],tblActuals35415[Team 1],$CU23,tblActuals35415[Team 2],DG$3)</f>
        <v>0</v>
      </c>
      <c r="DH23" s="56">
        <f>SUMIFS(tblActuals35415[Team 2 Points],tblActuals35415[Team 2],$CU23,tblActuals35415[Team 1],DH$3)+SUMIFS(tblActuals35415[Team 1 Points],tblActuals35415[Team 1],$CU23,tblActuals35415[Team 2],DH$3)</f>
        <v>0</v>
      </c>
      <c r="DI23" s="56">
        <f>SUMIFS(tblActuals35415[Team 2 Points],tblActuals35415[Team 2],$CU23,tblActuals35415[Team 1],DI$3)+SUMIFS(tblActuals35415[Team 1 Points],tblActuals35415[Team 1],$CU23,tblActuals35415[Team 2],DI$3)</f>
        <v>0</v>
      </c>
      <c r="DJ23" s="56">
        <f>SUMIFS(tblActuals35415[Team 2 Points],tblActuals35415[Team 2],$CU23,tblActuals35415[Team 1],DJ$3)+SUMIFS(tblActuals35415[Team 1 Points],tblActuals35415[Team 1],$CU23,tblActuals35415[Team 2],DJ$3)</f>
        <v>0</v>
      </c>
      <c r="DK23" s="56">
        <f>SUMIFS(tblActuals35415[Team 2 Points],tblActuals35415[Team 2],$CU23,tblActuals35415[Team 1],DK$3)+SUMIFS(tblActuals35415[Team 1 Points],tblActuals35415[Team 1],$CU23,tblActuals35415[Team 2],DK$3)</f>
        <v>0</v>
      </c>
      <c r="DL23" s="56">
        <f>SUMIFS(tblActuals35415[Team 2 Points],tblActuals35415[Team 2],$CU23,tblActuals35415[Team 1],DL$3)+SUMIFS(tblActuals35415[Team 1 Points],tblActuals35415[Team 1],$CU23,tblActuals35415[Team 2],DL$3)</f>
        <v>0</v>
      </c>
      <c r="DM23" s="56">
        <f>SUMIFS(tblActuals35415[Team 2 Points],tblActuals35415[Team 2],$CU23,tblActuals35415[Team 1],DM$3)+SUMIFS(tblActuals35415[Team 1 Points],tblActuals35415[Team 1],$CU23,tblActuals35415[Team 2],DM$3)</f>
        <v>0</v>
      </c>
      <c r="DN23" s="56">
        <f>SUMIFS(tblActuals35415[Team 2 Points],tblActuals35415[Team 2],$CU23,tblActuals35415[Team 1],DN$3)+SUMIFS(tblActuals35415[Team 1 Points],tblActuals35415[Team 1],$CU23,tblActuals35415[Team 2],DN$3)</f>
        <v>0</v>
      </c>
      <c r="DO23" s="56">
        <f>SUMIFS(tblActuals35415[Team 2 Points],tblActuals35415[Team 2],$CU23,tblActuals35415[Team 1],DO$3)+SUMIFS(tblActuals35415[Team 1 Points],tblActuals35415[Team 1],$CU23,tblActuals35415[Team 2],DO$3)</f>
        <v>0</v>
      </c>
      <c r="DP23" s="56">
        <f>SUMIFS(tblActuals35415[Team 2 Points],tblActuals35415[Team 2],$CU23,tblActuals35415[Team 1],DP$3)+SUMIFS(tblActuals35415[Team 1 Points],tblActuals35415[Team 1],$CU23,tblActuals35415[Team 2],DP$3)</f>
        <v>0</v>
      </c>
      <c r="DQ23" s="56">
        <f>SUMIFS(tblActuals35415[Team 2 Points],tblActuals35415[Team 2],$CU23,tblActuals35415[Team 1],DQ$3)+SUMIFS(tblActuals35415[Team 1 Points],tblActuals35415[Team 1],$CU23,tblActuals35415[Team 2],DQ$3)</f>
        <v>0</v>
      </c>
      <c r="DR23" s="56">
        <f>SUMIFS(tblActuals35415[Team 2 Points],tblActuals35415[Team 2],$CU23,tblActuals35415[Team 1],DR$3)+SUMIFS(tblActuals35415[Team 1 Points],tblActuals35415[Team 1],$CU23,tblActuals35415[Team 2],DR$3)</f>
        <v>0</v>
      </c>
      <c r="DS23" s="56">
        <f>SUMIFS(tblActuals35415[Team 2 Points],tblActuals35415[Team 2],$CU23,tblActuals35415[Team 1],DS$3)+SUMIFS(tblActuals35415[Team 1 Points],tblActuals35415[Team 1],$CU23,tblActuals35415[Team 2],DS$3)</f>
        <v>0</v>
      </c>
      <c r="DT23" s="57"/>
      <c r="DU23" s="57"/>
      <c r="DV23" s="57"/>
      <c r="DW23" s="57"/>
      <c r="DX23" s="57"/>
      <c r="DY23" s="57"/>
      <c r="DZ23" s="57"/>
      <c r="EA23" s="57"/>
      <c r="EB23" s="4"/>
      <c r="EC23" s="4" t="s">
        <v>132</v>
      </c>
      <c r="ED23" s="56">
        <f>SUMIFS(tblActuals35415[Team 2 GD],tblActuals35415[Team 2],$CU23,tblActuals35415[Team 1],ED$3)+SUMIFS(tblActuals35415[Team 1 GD],tblActuals35415[Team 1],$CU23,tblActuals35415[Team 2],ED$3)</f>
        <v>0</v>
      </c>
      <c r="EE23" s="56">
        <f>SUMIFS(tblActuals35415[Team 2 GD],tblActuals35415[Team 2],$CU23,tblActuals35415[Team 1],EE$3)+SUMIFS(tblActuals35415[Team 1 GD],tblActuals35415[Team 1],$CU23,tblActuals35415[Team 2],EE$3)</f>
        <v>0</v>
      </c>
      <c r="EF23" s="56">
        <f>SUMIFS(tblActuals35415[Team 2 GD],tblActuals35415[Team 2],$CU23,tblActuals35415[Team 1],EF$3)+SUMIFS(tblActuals35415[Team 1 GD],tblActuals35415[Team 1],$CU23,tblActuals35415[Team 2],EF$3)</f>
        <v>0</v>
      </c>
      <c r="EG23" s="56">
        <f>SUMIFS(tblActuals35415[Team 2 GD],tblActuals35415[Team 2],$CU23,tblActuals35415[Team 1],EG$3)+SUMIFS(tblActuals35415[Team 1 GD],tblActuals35415[Team 1],$CU23,tblActuals35415[Team 2],EG$3)</f>
        <v>0</v>
      </c>
      <c r="EH23" s="56">
        <f>SUMIFS(tblActuals35415[Team 2 GD],tblActuals35415[Team 2],$CU23,tblActuals35415[Team 1],EH$3)+SUMIFS(tblActuals35415[Team 1 GD],tblActuals35415[Team 1],$CU23,tblActuals35415[Team 2],EH$3)</f>
        <v>0</v>
      </c>
      <c r="EI23" s="56">
        <f>SUMIFS(tblActuals35415[Team 2 GD],tblActuals35415[Team 2],$CU23,tblActuals35415[Team 1],EI$3)+SUMIFS(tblActuals35415[Team 1 GD],tblActuals35415[Team 1],$CU23,tblActuals35415[Team 2],EI$3)</f>
        <v>0</v>
      </c>
      <c r="EJ23" s="56">
        <f>SUMIFS(tblActuals35415[Team 2 GD],tblActuals35415[Team 2],$CU23,tblActuals35415[Team 1],EJ$3)+SUMIFS(tblActuals35415[Team 1 GD],tblActuals35415[Team 1],$CU23,tblActuals35415[Team 2],EJ$3)</f>
        <v>0</v>
      </c>
      <c r="EK23" s="56">
        <f>SUMIFS(tblActuals35415[Team 2 GD],tblActuals35415[Team 2],$CU23,tblActuals35415[Team 1],EK$3)+SUMIFS(tblActuals35415[Team 1 GD],tblActuals35415[Team 1],$CU23,tblActuals35415[Team 2],EK$3)</f>
        <v>0</v>
      </c>
      <c r="EL23" s="56">
        <f>SUMIFS(tblActuals35415[Team 2 GD],tblActuals35415[Team 2],$CU23,tblActuals35415[Team 1],EL$3)+SUMIFS(tblActuals35415[Team 1 GD],tblActuals35415[Team 1],$CU23,tblActuals35415[Team 2],EL$3)</f>
        <v>0</v>
      </c>
      <c r="EM23" s="56">
        <f>SUMIFS(tblActuals35415[Team 2 GD],tblActuals35415[Team 2],$CU23,tblActuals35415[Team 1],EM$3)+SUMIFS(tblActuals35415[Team 1 GD],tblActuals35415[Team 1],$CU23,tblActuals35415[Team 2],EM$3)</f>
        <v>0</v>
      </c>
      <c r="EN23" s="56">
        <f>SUMIFS(tblActuals35415[Team 2 GD],tblActuals35415[Team 2],$CU23,tblActuals35415[Team 1],EN$3)+SUMIFS(tblActuals35415[Team 1 GD],tblActuals35415[Team 1],$CU23,tblActuals35415[Team 2],EN$3)</f>
        <v>0</v>
      </c>
      <c r="EO23" s="56">
        <f>SUMIFS(tblActuals35415[Team 2 GD],tblActuals35415[Team 2],$CU23,tblActuals35415[Team 1],EO$3)+SUMIFS(tblActuals35415[Team 1 GD],tblActuals35415[Team 1],$CU23,tblActuals35415[Team 2],EO$3)</f>
        <v>0</v>
      </c>
      <c r="EP23" s="56">
        <f>SUMIFS(tblActuals35415[Team 2 GD],tblActuals35415[Team 2],$CU23,tblActuals35415[Team 1],EP$3)+SUMIFS(tblActuals35415[Team 1 GD],tblActuals35415[Team 1],$CU23,tblActuals35415[Team 2],EP$3)</f>
        <v>0</v>
      </c>
      <c r="EQ23" s="56">
        <f>SUMIFS(tblActuals35415[Team 2 GD],tblActuals35415[Team 2],$CU23,tblActuals35415[Team 1],EQ$3)+SUMIFS(tblActuals35415[Team 1 GD],tblActuals35415[Team 1],$CU23,tblActuals35415[Team 2],EQ$3)</f>
        <v>0</v>
      </c>
      <c r="ER23" s="56">
        <f>SUMIFS(tblActuals35415[Team 2 GD],tblActuals35415[Team 2],$CU23,tblActuals35415[Team 1],ER$3)+SUMIFS(tblActuals35415[Team 1 GD],tblActuals35415[Team 1],$CU23,tblActuals35415[Team 2],ER$3)</f>
        <v>0</v>
      </c>
      <c r="ES23" s="56">
        <f>SUMIFS(tblActuals35415[Team 2 GD],tblActuals35415[Team 2],$CU23,tblActuals35415[Team 1],ES$3)+SUMIFS(tblActuals35415[Team 1 GD],tblActuals35415[Team 1],$CU23,tblActuals35415[Team 2],ES$3)</f>
        <v>0</v>
      </c>
      <c r="ET23" s="56">
        <f>SUMIFS(tblActuals35415[Team 2 GD],tblActuals35415[Team 2],$CU23,tblActuals35415[Team 1],ET$3)+SUMIFS(tblActuals35415[Team 1 GD],tblActuals35415[Team 1],$CU23,tblActuals35415[Team 2],ET$3)</f>
        <v>0</v>
      </c>
      <c r="EU23" s="56">
        <f>SUMIFS(tblActuals35415[Team 2 GD],tblActuals35415[Team 2],$CU23,tblActuals35415[Team 1],EU$3)+SUMIFS(tblActuals35415[Team 1 GD],tblActuals35415[Team 1],$CU23,tblActuals35415[Team 2],EU$3)</f>
        <v>0</v>
      </c>
      <c r="EV23" s="56">
        <f>SUMIFS(tblActuals35415[Team 2 GD],tblActuals35415[Team 2],$CU23,tblActuals35415[Team 1],EV$3)+SUMIFS(tblActuals35415[Team 1 GD],tblActuals35415[Team 1],$CU23,tblActuals35415[Team 2],EV$3)</f>
        <v>0</v>
      </c>
      <c r="EW23" s="56">
        <f>SUMIFS(tblActuals35415[Team 2 GD],tblActuals35415[Team 2],$CU23,tblActuals35415[Team 1],EW$3)+SUMIFS(tblActuals35415[Team 1 GD],tblActuals35415[Team 1],$CU23,tblActuals35415[Team 2],EW$3)</f>
        <v>0</v>
      </c>
      <c r="EX23" s="56">
        <f>SUMIFS(tblActuals35415[Team 2 GD],tblActuals35415[Team 2],$CU23,tblActuals35415[Team 1],EX$3)+SUMIFS(tblActuals35415[Team 1 GD],tblActuals35415[Team 1],$CU23,tblActuals35415[Team 2],EX$3)</f>
        <v>0</v>
      </c>
      <c r="EY23" s="56">
        <f>SUMIFS(tblActuals35415[Team 2 GD],tblActuals35415[Team 2],$CU23,tblActuals35415[Team 1],EY$3)+SUMIFS(tblActuals35415[Team 1 GD],tblActuals35415[Team 1],$CU23,tblActuals35415[Team 2],EY$3)</f>
        <v>0</v>
      </c>
      <c r="EZ23" s="56">
        <f>SUMIFS(tblActuals35415[Team 2 GD],tblActuals35415[Team 2],$CU23,tblActuals35415[Team 1],EZ$3)+SUMIFS(tblActuals35415[Team 1 GD],tblActuals35415[Team 1],$CU23,tblActuals35415[Team 2],EZ$3)</f>
        <v>0</v>
      </c>
      <c r="FA23" s="56">
        <f>SUMIFS(tblActuals35415[Team 2 GD],tblActuals35415[Team 2],$CU23,tblActuals35415[Team 1],FA$3)+SUMIFS(tblActuals35415[Team 1 GD],tblActuals35415[Team 1],$CU23,tblActuals35415[Team 2],FA$3)</f>
        <v>0</v>
      </c>
      <c r="FB23" s="57"/>
      <c r="FC23" s="57"/>
      <c r="FD23" s="57"/>
      <c r="FE23" s="57"/>
      <c r="FF23" s="57"/>
      <c r="FG23" s="57"/>
      <c r="FH23" s="57"/>
      <c r="FI23" s="57"/>
      <c r="FJ23" s="4"/>
      <c r="FK23" s="4" t="s">
        <v>132</v>
      </c>
      <c r="FL23" s="56">
        <f>SUMIFS(tblActuals35415[Team 2 Goals],tblActuals35415[Team 2],$CU23,tblActuals35415[Team 1],FL$3)+SUMIFS(tblActuals35415[Team 1 Goals],tblActuals35415[Team 1],$CU23,tblActuals35415[Team 2],FL$3)</f>
        <v>0</v>
      </c>
      <c r="FM23" s="56">
        <f>SUMIFS(tblActuals35415[Team 2 Goals],tblActuals35415[Team 2],$CU23,tblActuals35415[Team 1],FM$3)+SUMIFS(tblActuals35415[Team 1 Goals],tblActuals35415[Team 1],$CU23,tblActuals35415[Team 2],FM$3)</f>
        <v>0</v>
      </c>
      <c r="FN23" s="56">
        <f>SUMIFS(tblActuals35415[Team 2 Goals],tblActuals35415[Team 2],$CU23,tblActuals35415[Team 1],FN$3)+SUMIFS(tblActuals35415[Team 1 Goals],tblActuals35415[Team 1],$CU23,tblActuals35415[Team 2],FN$3)</f>
        <v>0</v>
      </c>
      <c r="FO23" s="56">
        <f>SUMIFS(tblActuals35415[Team 2 Goals],tblActuals35415[Team 2],$CU23,tblActuals35415[Team 1],FO$3)+SUMIFS(tblActuals35415[Team 1 Goals],tblActuals35415[Team 1],$CU23,tblActuals35415[Team 2],FO$3)</f>
        <v>0</v>
      </c>
      <c r="FP23" s="56">
        <f>SUMIFS(tblActuals35415[Team 2 Goals],tblActuals35415[Team 2],$CU23,tblActuals35415[Team 1],FP$3)+SUMIFS(tblActuals35415[Team 1 Goals],tblActuals35415[Team 1],$CU23,tblActuals35415[Team 2],FP$3)</f>
        <v>0</v>
      </c>
      <c r="FQ23" s="56">
        <f>SUMIFS(tblActuals35415[Team 2 Goals],tblActuals35415[Team 2],$CU23,tblActuals35415[Team 1],FQ$3)+SUMIFS(tblActuals35415[Team 1 Goals],tblActuals35415[Team 1],$CU23,tblActuals35415[Team 2],FQ$3)</f>
        <v>0</v>
      </c>
      <c r="FR23" s="56">
        <f>SUMIFS(tblActuals35415[Team 2 Goals],tblActuals35415[Team 2],$CU23,tblActuals35415[Team 1],FR$3)+SUMIFS(tblActuals35415[Team 1 Goals],tblActuals35415[Team 1],$CU23,tblActuals35415[Team 2],FR$3)</f>
        <v>0</v>
      </c>
      <c r="FS23" s="56">
        <f>SUMIFS(tblActuals35415[Team 2 Goals],tblActuals35415[Team 2],$CU23,tblActuals35415[Team 1],FS$3)+SUMIFS(tblActuals35415[Team 1 Goals],tblActuals35415[Team 1],$CU23,tblActuals35415[Team 2],FS$3)</f>
        <v>0</v>
      </c>
      <c r="FT23" s="56">
        <f>SUMIFS(tblActuals35415[Team 2 Goals],tblActuals35415[Team 2],$CU23,tblActuals35415[Team 1],FT$3)+SUMIFS(tblActuals35415[Team 1 Goals],tblActuals35415[Team 1],$CU23,tblActuals35415[Team 2],FT$3)</f>
        <v>0</v>
      </c>
      <c r="FU23" s="56">
        <f>SUMIFS(tblActuals35415[Team 2 Goals],tblActuals35415[Team 2],$CU23,tblActuals35415[Team 1],FU$3)+SUMIFS(tblActuals35415[Team 1 Goals],tblActuals35415[Team 1],$CU23,tblActuals35415[Team 2],FU$3)</f>
        <v>0</v>
      </c>
      <c r="FV23" s="56">
        <f>SUMIFS(tblActuals35415[Team 2 Goals],tblActuals35415[Team 2],$CU23,tblActuals35415[Team 1],FV$3)+SUMIFS(tblActuals35415[Team 1 Goals],tblActuals35415[Team 1],$CU23,tblActuals35415[Team 2],FV$3)</f>
        <v>0</v>
      </c>
      <c r="FW23" s="56">
        <f>SUMIFS(tblActuals35415[Team 2 Goals],tblActuals35415[Team 2],$CU23,tblActuals35415[Team 1],FW$3)+SUMIFS(tblActuals35415[Team 1 Goals],tblActuals35415[Team 1],$CU23,tblActuals35415[Team 2],FW$3)</f>
        <v>0</v>
      </c>
      <c r="FX23" s="56">
        <f>SUMIFS(tblActuals35415[Team 2 Goals],tblActuals35415[Team 2],$CU23,tblActuals35415[Team 1],FX$3)+SUMIFS(tblActuals35415[Team 1 Goals],tblActuals35415[Team 1],$CU23,tblActuals35415[Team 2],FX$3)</f>
        <v>0</v>
      </c>
      <c r="FY23" s="56">
        <f>SUMIFS(tblActuals35415[Team 2 Goals],tblActuals35415[Team 2],$CU23,tblActuals35415[Team 1],FY$3)+SUMIFS(tblActuals35415[Team 1 Goals],tblActuals35415[Team 1],$CU23,tblActuals35415[Team 2],FY$3)</f>
        <v>0</v>
      </c>
      <c r="FZ23" s="56">
        <f>SUMIFS(tblActuals35415[Team 2 Goals],tblActuals35415[Team 2],$CU23,tblActuals35415[Team 1],FZ$3)+SUMIFS(tblActuals35415[Team 1 Goals],tblActuals35415[Team 1],$CU23,tblActuals35415[Team 2],FZ$3)</f>
        <v>0</v>
      </c>
      <c r="GA23" s="56">
        <f>SUMIFS(tblActuals35415[Team 2 Goals],tblActuals35415[Team 2],$CU23,tblActuals35415[Team 1],GA$3)+SUMIFS(tblActuals35415[Team 1 Goals],tblActuals35415[Team 1],$CU23,tblActuals35415[Team 2],GA$3)</f>
        <v>0</v>
      </c>
      <c r="GB23" s="56">
        <f>SUMIFS(tblActuals35415[Team 2 Goals],tblActuals35415[Team 2],$CU23,tblActuals35415[Team 1],GB$3)+SUMIFS(tblActuals35415[Team 1 Goals],tblActuals35415[Team 1],$CU23,tblActuals35415[Team 2],GB$3)</f>
        <v>0</v>
      </c>
      <c r="GC23" s="56">
        <f>SUMIFS(tblActuals35415[Team 2 Goals],tblActuals35415[Team 2],$CU23,tblActuals35415[Team 1],GC$3)+SUMIFS(tblActuals35415[Team 1 Goals],tblActuals35415[Team 1],$CU23,tblActuals35415[Team 2],GC$3)</f>
        <v>0</v>
      </c>
      <c r="GD23" s="56">
        <f>SUMIFS(tblActuals35415[Team 2 Goals],tblActuals35415[Team 2],$CU23,tblActuals35415[Team 1],GD$3)+SUMIFS(tblActuals35415[Team 1 Goals],tblActuals35415[Team 1],$CU23,tblActuals35415[Team 2],GD$3)</f>
        <v>0</v>
      </c>
      <c r="GE23" s="56">
        <f>SUMIFS(tblActuals35415[Team 2 Goals],tblActuals35415[Team 2],$CU23,tblActuals35415[Team 1],GE$3)+SUMIFS(tblActuals35415[Team 1 Goals],tblActuals35415[Team 1],$CU23,tblActuals35415[Team 2],GE$3)</f>
        <v>0</v>
      </c>
      <c r="GF23" s="56">
        <f>SUMIFS(tblActuals35415[Team 2 Goals],tblActuals35415[Team 2],$CU23,tblActuals35415[Team 1],GF$3)+SUMIFS(tblActuals35415[Team 1 Goals],tblActuals35415[Team 1],$CU23,tblActuals35415[Team 2],GF$3)</f>
        <v>0</v>
      </c>
      <c r="GG23" s="56">
        <f>SUMIFS(tblActuals35415[Team 2 Goals],tblActuals35415[Team 2],$CU23,tblActuals35415[Team 1],GG$3)+SUMIFS(tblActuals35415[Team 1 Goals],tblActuals35415[Team 1],$CU23,tblActuals35415[Team 2],GG$3)</f>
        <v>0</v>
      </c>
      <c r="GH23" s="56">
        <f>SUMIFS(tblActuals35415[Team 2 Goals],tblActuals35415[Team 2],$CU23,tblActuals35415[Team 1],GH$3)+SUMIFS(tblActuals35415[Team 1 Goals],tblActuals35415[Team 1],$CU23,tblActuals35415[Team 2],GH$3)</f>
        <v>0</v>
      </c>
      <c r="GI23" s="56">
        <f>SUMIFS(tblActuals35415[Team 2 Goals],tblActuals35415[Team 2],$CU23,tblActuals35415[Team 1],GI$3)+SUMIFS(tblActuals35415[Team 1 Goals],tblActuals35415[Team 1],$CU23,tblActuals35415[Team 2],GI$3)</f>
        <v>0</v>
      </c>
      <c r="GJ23" s="57"/>
      <c r="GK23" s="57"/>
      <c r="GL23" s="37"/>
      <c r="GM23" s="37"/>
      <c r="GN23" s="37"/>
      <c r="GO23" s="37"/>
      <c r="GP23" s="37"/>
      <c r="GQ23" s="37"/>
      <c r="GR23" s="75"/>
      <c r="GS23" s="148"/>
      <c r="GT23" s="158"/>
      <c r="GU23" s="75"/>
      <c r="GV23" s="75"/>
      <c r="GW23" s="75"/>
      <c r="GX23" s="75"/>
      <c r="GY23" s="75"/>
      <c r="GZ23" s="75"/>
    </row>
    <row r="24" spans="1:221" s="11" customFormat="1" ht="30" customHeight="1" x14ac:dyDescent="0.25">
      <c r="A24" s="20"/>
      <c r="B24" s="122">
        <v>21</v>
      </c>
      <c r="C24" s="122" t="s">
        <v>12</v>
      </c>
      <c r="D24" s="123">
        <v>45464</v>
      </c>
      <c r="E24" s="122" t="s">
        <v>85</v>
      </c>
      <c r="F24" s="124">
        <v>0.625</v>
      </c>
      <c r="G24" s="125">
        <f t="shared" si="11"/>
        <v>45464.375</v>
      </c>
      <c r="H24" s="122" t="s">
        <v>109</v>
      </c>
      <c r="I24" s="126"/>
      <c r="J24" s="118"/>
      <c r="K24" s="118"/>
      <c r="L24" s="174">
        <f>IF(I24="",0,IFERROR(IF(SCORING.RULES!$C$8="No",1,((VLOOKUP($B24,ACTUALS!$B$4:$L$100,7,FALSE)=$H24)+(VLOOKUP($B24,ACTUALS!$B$4:$L$100,7,FALSE)=S24)))*(M24+N24+O24+P24+Q24),0))+$R24</f>
        <v>0</v>
      </c>
      <c r="M24" s="168">
        <f>IFERROR(IF($B24="","",IF(U24=INDEX(ACTUALS!$AA$4:$AA$100,MATCH($B24,ACTUALS!$B$4:$B$100,0),1),CorrectScore,0)),0)</f>
        <v>0</v>
      </c>
      <c r="N24" s="157" t="str">
        <f>IFERROR(IF(I24="","",IF(INDEX(ACTUALS!$AB$4:$AB$100,MATCH($B24,ACTUALS!$B$4:$B$100,0),1)=(AB24+AC24+AH24+AI24),CorrectNumberofGoals,0)),0)</f>
        <v/>
      </c>
      <c r="O24" s="157"/>
      <c r="P24" s="157">
        <f>IFERROR(IF(B24="","",IF(INDEX(ACTUALS!$L$4:$L$100,MATCH($B24,ACTUALS!$B$4:$B$100,0),1)=W24,CorrectResult,0)),0)</f>
        <v>3</v>
      </c>
      <c r="Q24" s="157"/>
      <c r="R24" s="157"/>
      <c r="S24" s="157" t="str">
        <f t="shared" si="0"/>
        <v/>
      </c>
      <c r="T24" s="157"/>
      <c r="U24" s="157" t="str">
        <f t="shared" si="1"/>
        <v/>
      </c>
      <c r="V24" s="157" t="str">
        <f t="shared" si="2"/>
        <v/>
      </c>
      <c r="W24" s="119" t="str">
        <f>IF(tblActuals35415[[#This Row],[SCORE]]="","",IF(AB24=AC24,"Draw",IF(AB24&gt;AC24,X24,Y24)))</f>
        <v/>
      </c>
      <c r="X24" s="120" t="str">
        <f>IF(tblActuals35415[[#This Row],[TEAMS]]="","",LEFT(H24,FIND(" -",H24,1)-1))</f>
        <v>Slovakia</v>
      </c>
      <c r="Y24" s="120" t="str">
        <f>IF(tblActuals35415[[#This Row],[TEAMS]]="","",MID(H24,FIND("-",H24,1)+2,LEN(H24)-FIND("-",H24,1)+2))</f>
        <v>Ukraine</v>
      </c>
      <c r="Z24" s="120" t="str">
        <f>IF(tblActuals35415[[#This Row],[Team 1 Goals]]&gt;tblActuals35415[[#This Row],[Team 2 Goals]],tblActuals35415[[#This Row],[Team 1]],IF(tblActuals35415[[#This Row],[Team 2 Goals]]&gt;tblActuals35415[[#This Row],[Team 1 Goals]],tblActuals35415[[#This Row],[Team 2]],""))</f>
        <v/>
      </c>
      <c r="AA24" s="120" t="str">
        <f>IF(tblActuals35415[[#This Row],[Winner]]=tblActuals35415[[#This Row],[Team 1]],tblActuals35415[[#This Row],[Team 2]],IF(tblActuals35415[[#This Row],[Winner]]=tblActuals35415[[#This Row],[Team 2]],tblActuals35415[[#This Row],[Team 1]],""))</f>
        <v/>
      </c>
      <c r="AB24" s="120" t="str">
        <f>IF(tblActuals35415[[#This Row],[SCORE]]="","",LEFT(I24,FIND(":",I24,1)-1)*1)</f>
        <v/>
      </c>
      <c r="AC24" s="120" t="str">
        <f>IF(tblActuals35415[[#This Row],[SCORE]]="","",MID(I24,FIND(":",I24,1)+1,LEN(I24)-FIND(":",I24,1)+1)*1)</f>
        <v/>
      </c>
      <c r="AD24" s="120" t="str">
        <f>IF(OR(tblActuals35415[[#This Row],[Team 1 Goals]]="",tblActuals35415[[#This Row],[Team 2 Goals]]=""),"",tblActuals35415[[#This Row],[Team 1 Goals]]-tblActuals35415[[#This Row],[Team 2 Goals]])</f>
        <v/>
      </c>
      <c r="AE24" s="120" t="str">
        <f>IF(OR(tblActuals35415[[#This Row],[Team 1 Goals]]="",tblActuals35415[[#This Row],[Team 2 Goals]]=""),"",tblActuals35415[[#This Row],[Team 2 Goals]]-tblActuals35415[[#This Row],[Team 1 Goals]])</f>
        <v/>
      </c>
      <c r="AF24" s="120" t="str">
        <f>IF(tblActuals35415[[#This Row],[SCORE]]="","",IF(tblActuals35415[[#This Row],[WINNER / RESULT]]="Draw",1,IF(tblActuals35415[[#This Row],[WINNER / RESULT]]=tblActuals35415[[#This Row],[Team 1]],3,0)))</f>
        <v/>
      </c>
      <c r="AG24" s="120" t="str">
        <f>IF(tblActuals35415[[#This Row],[SCORE]]="","",IF(tblActuals35415[[#This Row],[WINNER / RESULT]]="Draw",1,IF(tblActuals35415[[#This Row],[WINNER / RESULT]]=tblActuals35415[[#This Row],[Team 2]],3,0)))</f>
        <v/>
      </c>
      <c r="AH24" s="121"/>
      <c r="AI24" s="121"/>
      <c r="AJ24" s="121"/>
      <c r="AK24" s="121"/>
      <c r="AL24" s="120" t="e">
        <f>tblActuals35415[[#This Row],[Team 1 Goals]]+tblActuals35415[[#This Row],[Team 1 ET Goals]]&amp;":"&amp;tblActuals35415[[#This Row],[Team 2 Goals]]+tblActuals35415[[#This Row],[Team 2 ET Goals]]</f>
        <v>#VALUE!</v>
      </c>
      <c r="AM24" s="120" t="e">
        <f>+tblActuals35415[[#This Row],[Team 1 Goals]]+tblActuals35415[[#This Row],[Team 2 Goals]]</f>
        <v>#VALUE!</v>
      </c>
      <c r="AN24" s="161">
        <f t="shared" si="3"/>
        <v>45464</v>
      </c>
      <c r="AT24" s="77" t="s">
        <v>7</v>
      </c>
      <c r="AU24" s="136">
        <v>1</v>
      </c>
      <c r="AV24" s="137" t="str">
        <f ca="1">IFERROR(INDEX(BD:BD,MATCH("1"&amp;AT24,BN:BN,0),1),"")</f>
        <v>Austria</v>
      </c>
      <c r="AW24" s="137" t="str">
        <f ca="1">IF(AV24="","",VLOOKUP(AV24,BD:BI,2,FALSE)&amp;"-"&amp;VLOOKUP(AV24,BD:BI,3,FALSE)&amp;"-"&amp;VLOOKUP(AV24,BD:BI,4,FALSE))</f>
        <v>0-0-0</v>
      </c>
      <c r="AX24" s="137">
        <f ca="1">IF(AV24="","",VLOOKUP(AV24,BD:BK,8,FALSE))</f>
        <v>0</v>
      </c>
      <c r="AY24" s="138">
        <f ca="1">IF(AV24="","",VLOOKUP(AV24,BD:BN,5,FALSE))</f>
        <v>0</v>
      </c>
      <c r="AZ24" s="75"/>
      <c r="BA24" s="4"/>
      <c r="BB24" s="4"/>
      <c r="BC24" s="4" t="s">
        <v>12</v>
      </c>
      <c r="BD24" s="4" t="s">
        <v>29</v>
      </c>
      <c r="BE24" s="4">
        <f>COUNTIF(tblActuals35415[Winner],BD24)</f>
        <v>0</v>
      </c>
      <c r="BF24" s="4">
        <f>COUNTIFS(tblActuals35415[Team 2],BD24,tblActuals35415[WINNER / RESULT],"Draw")+COUNTIFS(tblActuals35415[Team 1],BD24,tblActuals35415[WINNER / RESULT],"Draw")</f>
        <v>0</v>
      </c>
      <c r="BG24" s="4">
        <f>COUNTIF(tblActuals35415[Loser],BD24)</f>
        <v>0</v>
      </c>
      <c r="BH24" s="4">
        <f>BF24+(3*BE24)</f>
        <v>0</v>
      </c>
      <c r="BI24" s="4">
        <f>SUMIFS(tblActuals35415[Team 1 Goals],tblActuals35415[Team 1],BD24)+SUMIFS(tblActuals35415[Team 2 Goals],tblActuals35415[Team 2],BD24)</f>
        <v>0</v>
      </c>
      <c r="BJ24" s="4">
        <f>SUMIFS(tblActuals35415[Team 2 Goals],tblActuals35415[Team 1],BD24)+SUMIFS(tblActuals35415[Team 1 Goals],tblActuals35415[Team 2],BD24)</f>
        <v>0</v>
      </c>
      <c r="BK24" s="4">
        <f>BI24-BJ24</f>
        <v>0</v>
      </c>
      <c r="BL24" s="4">
        <f ca="1">RANK(BY24,$BY$24:$BY$27,1)</f>
        <v>1</v>
      </c>
      <c r="BM24" s="4" t="str">
        <f t="shared" si="4"/>
        <v/>
      </c>
      <c r="BN24" s="4" t="str">
        <f ca="1">IF(BM24="",BL24&amp;BC24,BM24&amp;BC24)</f>
        <v>1E</v>
      </c>
      <c r="BO24" s="4">
        <f>RANK(BH24,$BH$24:$BH$27,0)</f>
        <v>1</v>
      </c>
      <c r="BP24" s="4" cm="1">
        <f t="array" aca="1" ref="BP24" ca="1">SUMPRODUCT((OFFSET($CV$3:$EA$3,MATCH($BD24,$CU$4:$CU$35,0),0))*((IF($BO26=$BO24,$CV$3:$EA$3=$BD26,0))+(IF($BO27=$BO24,$CV$3:$EA$3=$BD27,0))+(IF($BO25=$BO24,$CV$3:$EA$3=$BD25,0))))</f>
        <v>0</v>
      </c>
      <c r="BQ24" s="4" cm="1">
        <f t="array" aca="1" ref="BQ24" ca="1">SUMPRODUCT((OFFSET($ED$3:$FI$3,MATCH($BD24,$EC$4:$EC$35,0),0))*((IF($BO26=$BO24,$ED$3:$FI$3=$BD26,0))+(IF($BO27=$BO24,$ED$3:$FI$3=$BD27,0))+(IF($BO25=$BO24,$ED$3:$FI$3=$BD25,0))))</f>
        <v>0</v>
      </c>
      <c r="BR24" s="4" cm="1">
        <f t="array" aca="1" ref="BR24" ca="1">SUMPRODUCT((OFFSET($FL$3:$GQ$3,MATCH($BD24,$FK$4:$FK$35,0),0))*((IF($BO26=$BO24,$FL$3:$GQ$3=$BD26,0))+(IF($BO27=$BO24,$FL$3:$GQ$3=$BD27,0))+(IF($BO25=$BO24,$FL$3:$GQ$3=$BD25,0))))</f>
        <v>0</v>
      </c>
      <c r="BS24" s="4" cm="1">
        <f t="array" aca="1" ref="BS24" ca="1">SUMPRODUCT((OFFSET($CV$3:$EA$3,MATCH($BD24,$CU$4:$CU$35,0),0))*((IF($BO26&lt;&gt;$BO24,$CV$3:$EA$3=$BD26,0))+(IF($BO27&lt;&gt;$BO24,$CV$3:$EA$3=$BD27,0))+(IF($BO25&lt;&gt;$BO24,$CV$3:$EA$3=$BD25,0))))</f>
        <v>0</v>
      </c>
      <c r="BT24" s="4" cm="1">
        <f t="array" aca="1" ref="BT24" ca="1">SUMPRODUCT((OFFSET($ED$3:$FI$3,MATCH($BD24,$EC$4:$EC$35,0),0))*((IF($BO26&lt;&gt;$BO24,$ED$3:$FI$3=$BD26,0))+(IF($BO27&lt;&gt;$BO24,$ED$3:$FI$3=$BD27,0))+(IF($BO25&lt;&gt;$BO24,$ED$3:$FI$3=$BD25,0))))</f>
        <v>0</v>
      </c>
      <c r="BU24" s="4" cm="1">
        <f t="array" aca="1" ref="BU24" ca="1">SUMPRODUCT((OFFSET($FL$3:$GQ$3,MATCH($BD24,$FK$4:$FK$35,0),0))*((IF($BO26&lt;&gt;$BO24,$FL$3:$GQ$3=$BD26,0))+(IF($BO27&lt;&gt;$BO24,$FL$3:$GQ$3=$BD27,0))+(IF($BO25&lt;&gt;$BO24,$FL$3:$GQ$3=$BD25,0))))</f>
        <v>0</v>
      </c>
      <c r="BV24" s="4">
        <f>BK24</f>
        <v>0</v>
      </c>
      <c r="BW24" s="4">
        <f>BI24</f>
        <v>0</v>
      </c>
      <c r="BX24" s="4">
        <f ca="1">(BP24/10)+(BQ24/100)+(BR24/1000)+(BT24/10000)+(BU24/100000)+(BV24/1000000)+(BW24/10000000)+(ROW(BS27)/100000000)</f>
        <v>2.7000000000000001E-7</v>
      </c>
      <c r="BY24" s="4">
        <f ca="1">+BO24-BX24</f>
        <v>0.99999972999999998</v>
      </c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U24" s="4" t="s">
        <v>133</v>
      </c>
      <c r="CV24" s="56">
        <f>SUMIFS(tblActuals35415[Team 2 Points],tblActuals35415[Team 2],$CU24,tblActuals35415[Team 1],CV$3)+SUMIFS(tblActuals35415[Team 1 Points],tblActuals35415[Team 1],$CU24,tblActuals35415[Team 2],CV$3)</f>
        <v>0</v>
      </c>
      <c r="CW24" s="56">
        <f>SUMIFS(tblActuals35415[Team 2 Points],tblActuals35415[Team 2],$CU24,tblActuals35415[Team 1],CW$3)+SUMIFS(tblActuals35415[Team 1 Points],tblActuals35415[Team 1],$CU24,tblActuals35415[Team 2],CW$3)</f>
        <v>0</v>
      </c>
      <c r="CX24" s="56">
        <f>SUMIFS(tblActuals35415[Team 2 Points],tblActuals35415[Team 2],$CU24,tblActuals35415[Team 1],CX$3)+SUMIFS(tblActuals35415[Team 1 Points],tblActuals35415[Team 1],$CU24,tblActuals35415[Team 2],CX$3)</f>
        <v>0</v>
      </c>
      <c r="CY24" s="56">
        <f>SUMIFS(tblActuals35415[Team 2 Points],tblActuals35415[Team 2],$CU24,tblActuals35415[Team 1],CY$3)+SUMIFS(tblActuals35415[Team 1 Points],tblActuals35415[Team 1],$CU24,tblActuals35415[Team 2],CY$3)</f>
        <v>0</v>
      </c>
      <c r="CZ24" s="56">
        <f>SUMIFS(tblActuals35415[Team 2 Points],tblActuals35415[Team 2],$CU24,tblActuals35415[Team 1],CZ$3)+SUMIFS(tblActuals35415[Team 1 Points],tblActuals35415[Team 1],$CU24,tblActuals35415[Team 2],CZ$3)</f>
        <v>0</v>
      </c>
      <c r="DA24" s="56">
        <f>SUMIFS(tblActuals35415[Team 2 Points],tblActuals35415[Team 2],$CU24,tblActuals35415[Team 1],DA$3)+SUMIFS(tblActuals35415[Team 1 Points],tblActuals35415[Team 1],$CU24,tblActuals35415[Team 2],DA$3)</f>
        <v>0</v>
      </c>
      <c r="DB24" s="56">
        <f>SUMIFS(tblActuals35415[Team 2 Points],tblActuals35415[Team 2],$CU24,tblActuals35415[Team 1],DB$3)+SUMIFS(tblActuals35415[Team 1 Points],tblActuals35415[Team 1],$CU24,tblActuals35415[Team 2],DB$3)</f>
        <v>0</v>
      </c>
      <c r="DC24" s="56">
        <f>SUMIFS(tblActuals35415[Team 2 Points],tblActuals35415[Team 2],$CU24,tblActuals35415[Team 1],DC$3)+SUMIFS(tblActuals35415[Team 1 Points],tblActuals35415[Team 1],$CU24,tblActuals35415[Team 2],DC$3)</f>
        <v>0</v>
      </c>
      <c r="DD24" s="56">
        <f>SUMIFS(tblActuals35415[Team 2 Points],tblActuals35415[Team 2],$CU24,tblActuals35415[Team 1],DD$3)+SUMIFS(tblActuals35415[Team 1 Points],tblActuals35415[Team 1],$CU24,tblActuals35415[Team 2],DD$3)</f>
        <v>0</v>
      </c>
      <c r="DE24" s="56">
        <f>SUMIFS(tblActuals35415[Team 2 Points],tblActuals35415[Team 2],$CU24,tblActuals35415[Team 1],DE$3)+SUMIFS(tblActuals35415[Team 1 Points],tblActuals35415[Team 1],$CU24,tblActuals35415[Team 2],DE$3)</f>
        <v>0</v>
      </c>
      <c r="DF24" s="56">
        <f>SUMIFS(tblActuals35415[Team 2 Points],tblActuals35415[Team 2],$CU24,tblActuals35415[Team 1],DF$3)+SUMIFS(tblActuals35415[Team 1 Points],tblActuals35415[Team 1],$CU24,tblActuals35415[Team 2],DF$3)</f>
        <v>0</v>
      </c>
      <c r="DG24" s="56">
        <f>SUMIFS(tblActuals35415[Team 2 Points],tblActuals35415[Team 2],$CU24,tblActuals35415[Team 1],DG$3)+SUMIFS(tblActuals35415[Team 1 Points],tblActuals35415[Team 1],$CU24,tblActuals35415[Team 2],DG$3)</f>
        <v>0</v>
      </c>
      <c r="DH24" s="56">
        <f>SUMIFS(tblActuals35415[Team 2 Points],tblActuals35415[Team 2],$CU24,tblActuals35415[Team 1],DH$3)+SUMIFS(tblActuals35415[Team 1 Points],tblActuals35415[Team 1],$CU24,tblActuals35415[Team 2],DH$3)</f>
        <v>0</v>
      </c>
      <c r="DI24" s="56">
        <f>SUMIFS(tblActuals35415[Team 2 Points],tblActuals35415[Team 2],$CU24,tblActuals35415[Team 1],DI$3)+SUMIFS(tblActuals35415[Team 1 Points],tblActuals35415[Team 1],$CU24,tblActuals35415[Team 2],DI$3)</f>
        <v>0</v>
      </c>
      <c r="DJ24" s="56">
        <f>SUMIFS(tblActuals35415[Team 2 Points],tblActuals35415[Team 2],$CU24,tblActuals35415[Team 1],DJ$3)+SUMIFS(tblActuals35415[Team 1 Points],tblActuals35415[Team 1],$CU24,tblActuals35415[Team 2],DJ$3)</f>
        <v>0</v>
      </c>
      <c r="DK24" s="56">
        <f>SUMIFS(tblActuals35415[Team 2 Points],tblActuals35415[Team 2],$CU24,tblActuals35415[Team 1],DK$3)+SUMIFS(tblActuals35415[Team 1 Points],tblActuals35415[Team 1],$CU24,tblActuals35415[Team 2],DK$3)</f>
        <v>0</v>
      </c>
      <c r="DL24" s="56">
        <f>SUMIFS(tblActuals35415[Team 2 Points],tblActuals35415[Team 2],$CU24,tblActuals35415[Team 1],DL$3)+SUMIFS(tblActuals35415[Team 1 Points],tblActuals35415[Team 1],$CU24,tblActuals35415[Team 2],DL$3)</f>
        <v>0</v>
      </c>
      <c r="DM24" s="56">
        <f>SUMIFS(tblActuals35415[Team 2 Points],tblActuals35415[Team 2],$CU24,tblActuals35415[Team 1],DM$3)+SUMIFS(tblActuals35415[Team 1 Points],tblActuals35415[Team 1],$CU24,tblActuals35415[Team 2],DM$3)</f>
        <v>0</v>
      </c>
      <c r="DN24" s="56">
        <f>SUMIFS(tblActuals35415[Team 2 Points],tblActuals35415[Team 2],$CU24,tblActuals35415[Team 1],DN$3)+SUMIFS(tblActuals35415[Team 1 Points],tblActuals35415[Team 1],$CU24,tblActuals35415[Team 2],DN$3)</f>
        <v>0</v>
      </c>
      <c r="DO24" s="56">
        <f>SUMIFS(tblActuals35415[Team 2 Points],tblActuals35415[Team 2],$CU24,tblActuals35415[Team 1],DO$3)+SUMIFS(tblActuals35415[Team 1 Points],tblActuals35415[Team 1],$CU24,tblActuals35415[Team 2],DO$3)</f>
        <v>0</v>
      </c>
      <c r="DP24" s="56">
        <f>SUMIFS(tblActuals35415[Team 2 Points],tblActuals35415[Team 2],$CU24,tblActuals35415[Team 1],DP$3)+SUMIFS(tblActuals35415[Team 1 Points],tblActuals35415[Team 1],$CU24,tblActuals35415[Team 2],DP$3)</f>
        <v>0</v>
      </c>
      <c r="DQ24" s="56">
        <f>SUMIFS(tblActuals35415[Team 2 Points],tblActuals35415[Team 2],$CU24,tblActuals35415[Team 1],DQ$3)+SUMIFS(tblActuals35415[Team 1 Points],tblActuals35415[Team 1],$CU24,tblActuals35415[Team 2],DQ$3)</f>
        <v>0</v>
      </c>
      <c r="DR24" s="56">
        <f>SUMIFS(tblActuals35415[Team 2 Points],tblActuals35415[Team 2],$CU24,tblActuals35415[Team 1],DR$3)+SUMIFS(tblActuals35415[Team 1 Points],tblActuals35415[Team 1],$CU24,tblActuals35415[Team 2],DR$3)</f>
        <v>0</v>
      </c>
      <c r="DS24" s="56">
        <f>SUMIFS(tblActuals35415[Team 2 Points],tblActuals35415[Team 2],$CU24,tblActuals35415[Team 1],DS$3)+SUMIFS(tblActuals35415[Team 1 Points],tblActuals35415[Team 1],$CU24,tblActuals35415[Team 2],DS$3)</f>
        <v>0</v>
      </c>
      <c r="DT24" s="57"/>
      <c r="DU24" s="57"/>
      <c r="DV24" s="57"/>
      <c r="DW24" s="57"/>
      <c r="DX24" s="57"/>
      <c r="DY24" s="57"/>
      <c r="DZ24" s="57"/>
      <c r="EA24" s="57"/>
      <c r="EB24" s="4"/>
      <c r="EC24" s="4" t="s">
        <v>133</v>
      </c>
      <c r="ED24" s="56">
        <f>SUMIFS(tblActuals35415[Team 2 GD],tblActuals35415[Team 2],$CU24,tblActuals35415[Team 1],ED$3)+SUMIFS(tblActuals35415[Team 1 GD],tblActuals35415[Team 1],$CU24,tblActuals35415[Team 2],ED$3)</f>
        <v>0</v>
      </c>
      <c r="EE24" s="56">
        <f>SUMIFS(tblActuals35415[Team 2 GD],tblActuals35415[Team 2],$CU24,tblActuals35415[Team 1],EE$3)+SUMIFS(tblActuals35415[Team 1 GD],tblActuals35415[Team 1],$CU24,tblActuals35415[Team 2],EE$3)</f>
        <v>0</v>
      </c>
      <c r="EF24" s="56">
        <f>SUMIFS(tblActuals35415[Team 2 GD],tblActuals35415[Team 2],$CU24,tblActuals35415[Team 1],EF$3)+SUMIFS(tblActuals35415[Team 1 GD],tblActuals35415[Team 1],$CU24,tblActuals35415[Team 2],EF$3)</f>
        <v>0</v>
      </c>
      <c r="EG24" s="56">
        <f>SUMIFS(tblActuals35415[Team 2 GD],tblActuals35415[Team 2],$CU24,tblActuals35415[Team 1],EG$3)+SUMIFS(tblActuals35415[Team 1 GD],tblActuals35415[Team 1],$CU24,tblActuals35415[Team 2],EG$3)</f>
        <v>0</v>
      </c>
      <c r="EH24" s="56">
        <f>SUMIFS(tblActuals35415[Team 2 GD],tblActuals35415[Team 2],$CU24,tblActuals35415[Team 1],EH$3)+SUMIFS(tblActuals35415[Team 1 GD],tblActuals35415[Team 1],$CU24,tblActuals35415[Team 2],EH$3)</f>
        <v>0</v>
      </c>
      <c r="EI24" s="56">
        <f>SUMIFS(tblActuals35415[Team 2 GD],tblActuals35415[Team 2],$CU24,tblActuals35415[Team 1],EI$3)+SUMIFS(tblActuals35415[Team 1 GD],tblActuals35415[Team 1],$CU24,tblActuals35415[Team 2],EI$3)</f>
        <v>0</v>
      </c>
      <c r="EJ24" s="56">
        <f>SUMIFS(tblActuals35415[Team 2 GD],tblActuals35415[Team 2],$CU24,tblActuals35415[Team 1],EJ$3)+SUMIFS(tblActuals35415[Team 1 GD],tblActuals35415[Team 1],$CU24,tblActuals35415[Team 2],EJ$3)</f>
        <v>0</v>
      </c>
      <c r="EK24" s="56">
        <f>SUMIFS(tblActuals35415[Team 2 GD],tblActuals35415[Team 2],$CU24,tblActuals35415[Team 1],EK$3)+SUMIFS(tblActuals35415[Team 1 GD],tblActuals35415[Team 1],$CU24,tblActuals35415[Team 2],EK$3)</f>
        <v>0</v>
      </c>
      <c r="EL24" s="56">
        <f>SUMIFS(tblActuals35415[Team 2 GD],tblActuals35415[Team 2],$CU24,tblActuals35415[Team 1],EL$3)+SUMIFS(tblActuals35415[Team 1 GD],tblActuals35415[Team 1],$CU24,tblActuals35415[Team 2],EL$3)</f>
        <v>0</v>
      </c>
      <c r="EM24" s="56">
        <f>SUMIFS(tblActuals35415[Team 2 GD],tblActuals35415[Team 2],$CU24,tblActuals35415[Team 1],EM$3)+SUMIFS(tblActuals35415[Team 1 GD],tblActuals35415[Team 1],$CU24,tblActuals35415[Team 2],EM$3)</f>
        <v>0</v>
      </c>
      <c r="EN24" s="56">
        <f>SUMIFS(tblActuals35415[Team 2 GD],tblActuals35415[Team 2],$CU24,tblActuals35415[Team 1],EN$3)+SUMIFS(tblActuals35415[Team 1 GD],tblActuals35415[Team 1],$CU24,tblActuals35415[Team 2],EN$3)</f>
        <v>0</v>
      </c>
      <c r="EO24" s="56">
        <f>SUMIFS(tblActuals35415[Team 2 GD],tblActuals35415[Team 2],$CU24,tblActuals35415[Team 1],EO$3)+SUMIFS(tblActuals35415[Team 1 GD],tblActuals35415[Team 1],$CU24,tblActuals35415[Team 2],EO$3)</f>
        <v>0</v>
      </c>
      <c r="EP24" s="56">
        <f>SUMIFS(tblActuals35415[Team 2 GD],tblActuals35415[Team 2],$CU24,tblActuals35415[Team 1],EP$3)+SUMIFS(tblActuals35415[Team 1 GD],tblActuals35415[Team 1],$CU24,tblActuals35415[Team 2],EP$3)</f>
        <v>0</v>
      </c>
      <c r="EQ24" s="56">
        <f>SUMIFS(tblActuals35415[Team 2 GD],tblActuals35415[Team 2],$CU24,tblActuals35415[Team 1],EQ$3)+SUMIFS(tblActuals35415[Team 1 GD],tblActuals35415[Team 1],$CU24,tblActuals35415[Team 2],EQ$3)</f>
        <v>0</v>
      </c>
      <c r="ER24" s="56">
        <f>SUMIFS(tblActuals35415[Team 2 GD],tblActuals35415[Team 2],$CU24,tblActuals35415[Team 1],ER$3)+SUMIFS(tblActuals35415[Team 1 GD],tblActuals35415[Team 1],$CU24,tblActuals35415[Team 2],ER$3)</f>
        <v>0</v>
      </c>
      <c r="ES24" s="56">
        <f>SUMIFS(tblActuals35415[Team 2 GD],tblActuals35415[Team 2],$CU24,tblActuals35415[Team 1],ES$3)+SUMIFS(tblActuals35415[Team 1 GD],tblActuals35415[Team 1],$CU24,tblActuals35415[Team 2],ES$3)</f>
        <v>0</v>
      </c>
      <c r="ET24" s="56">
        <f>SUMIFS(tblActuals35415[Team 2 GD],tblActuals35415[Team 2],$CU24,tblActuals35415[Team 1],ET$3)+SUMIFS(tblActuals35415[Team 1 GD],tblActuals35415[Team 1],$CU24,tblActuals35415[Team 2],ET$3)</f>
        <v>0</v>
      </c>
      <c r="EU24" s="56">
        <f>SUMIFS(tblActuals35415[Team 2 GD],tblActuals35415[Team 2],$CU24,tblActuals35415[Team 1],EU$3)+SUMIFS(tblActuals35415[Team 1 GD],tblActuals35415[Team 1],$CU24,tblActuals35415[Team 2],EU$3)</f>
        <v>0</v>
      </c>
      <c r="EV24" s="56">
        <f>SUMIFS(tblActuals35415[Team 2 GD],tblActuals35415[Team 2],$CU24,tblActuals35415[Team 1],EV$3)+SUMIFS(tblActuals35415[Team 1 GD],tblActuals35415[Team 1],$CU24,tblActuals35415[Team 2],EV$3)</f>
        <v>0</v>
      </c>
      <c r="EW24" s="56">
        <f>SUMIFS(tblActuals35415[Team 2 GD],tblActuals35415[Team 2],$CU24,tblActuals35415[Team 1],EW$3)+SUMIFS(tblActuals35415[Team 1 GD],tblActuals35415[Team 1],$CU24,tblActuals35415[Team 2],EW$3)</f>
        <v>0</v>
      </c>
      <c r="EX24" s="56">
        <f>SUMIFS(tblActuals35415[Team 2 GD],tblActuals35415[Team 2],$CU24,tblActuals35415[Team 1],EX$3)+SUMIFS(tblActuals35415[Team 1 GD],tblActuals35415[Team 1],$CU24,tblActuals35415[Team 2],EX$3)</f>
        <v>0</v>
      </c>
      <c r="EY24" s="56">
        <f>SUMIFS(tblActuals35415[Team 2 GD],tblActuals35415[Team 2],$CU24,tblActuals35415[Team 1],EY$3)+SUMIFS(tblActuals35415[Team 1 GD],tblActuals35415[Team 1],$CU24,tblActuals35415[Team 2],EY$3)</f>
        <v>0</v>
      </c>
      <c r="EZ24" s="56">
        <f>SUMIFS(tblActuals35415[Team 2 GD],tblActuals35415[Team 2],$CU24,tblActuals35415[Team 1],EZ$3)+SUMIFS(tblActuals35415[Team 1 GD],tblActuals35415[Team 1],$CU24,tblActuals35415[Team 2],EZ$3)</f>
        <v>0</v>
      </c>
      <c r="FA24" s="56">
        <f>SUMIFS(tblActuals35415[Team 2 GD],tblActuals35415[Team 2],$CU24,tblActuals35415[Team 1],FA$3)+SUMIFS(tblActuals35415[Team 1 GD],tblActuals35415[Team 1],$CU24,tblActuals35415[Team 2],FA$3)</f>
        <v>0</v>
      </c>
      <c r="FB24" s="57"/>
      <c r="FC24" s="57"/>
      <c r="FD24" s="57"/>
      <c r="FE24" s="57"/>
      <c r="FF24" s="57"/>
      <c r="FG24" s="57"/>
      <c r="FH24" s="57"/>
      <c r="FI24" s="57"/>
      <c r="FJ24" s="4"/>
      <c r="FK24" s="4" t="s">
        <v>133</v>
      </c>
      <c r="FL24" s="56">
        <f>SUMIFS(tblActuals35415[Team 2 Goals],tblActuals35415[Team 2],$CU24,tblActuals35415[Team 1],FL$3)+SUMIFS(tblActuals35415[Team 1 Goals],tblActuals35415[Team 1],$CU24,tblActuals35415[Team 2],FL$3)</f>
        <v>0</v>
      </c>
      <c r="FM24" s="56">
        <f>SUMIFS(tblActuals35415[Team 2 Goals],tblActuals35415[Team 2],$CU24,tblActuals35415[Team 1],FM$3)+SUMIFS(tblActuals35415[Team 1 Goals],tblActuals35415[Team 1],$CU24,tblActuals35415[Team 2],FM$3)</f>
        <v>0</v>
      </c>
      <c r="FN24" s="56">
        <f>SUMIFS(tblActuals35415[Team 2 Goals],tblActuals35415[Team 2],$CU24,tblActuals35415[Team 1],FN$3)+SUMIFS(tblActuals35415[Team 1 Goals],tblActuals35415[Team 1],$CU24,tblActuals35415[Team 2],FN$3)</f>
        <v>0</v>
      </c>
      <c r="FO24" s="56">
        <f>SUMIFS(tblActuals35415[Team 2 Goals],tblActuals35415[Team 2],$CU24,tblActuals35415[Team 1],FO$3)+SUMIFS(tblActuals35415[Team 1 Goals],tblActuals35415[Team 1],$CU24,tblActuals35415[Team 2],FO$3)</f>
        <v>0</v>
      </c>
      <c r="FP24" s="56">
        <f>SUMIFS(tblActuals35415[Team 2 Goals],tblActuals35415[Team 2],$CU24,tblActuals35415[Team 1],FP$3)+SUMIFS(tblActuals35415[Team 1 Goals],tblActuals35415[Team 1],$CU24,tblActuals35415[Team 2],FP$3)</f>
        <v>0</v>
      </c>
      <c r="FQ24" s="56">
        <f>SUMIFS(tblActuals35415[Team 2 Goals],tblActuals35415[Team 2],$CU24,tblActuals35415[Team 1],FQ$3)+SUMIFS(tblActuals35415[Team 1 Goals],tblActuals35415[Team 1],$CU24,tblActuals35415[Team 2],FQ$3)</f>
        <v>0</v>
      </c>
      <c r="FR24" s="56">
        <f>SUMIFS(tblActuals35415[Team 2 Goals],tblActuals35415[Team 2],$CU24,tblActuals35415[Team 1],FR$3)+SUMIFS(tblActuals35415[Team 1 Goals],tblActuals35415[Team 1],$CU24,tblActuals35415[Team 2],FR$3)</f>
        <v>0</v>
      </c>
      <c r="FS24" s="56">
        <f>SUMIFS(tblActuals35415[Team 2 Goals],tblActuals35415[Team 2],$CU24,tblActuals35415[Team 1],FS$3)+SUMIFS(tblActuals35415[Team 1 Goals],tblActuals35415[Team 1],$CU24,tblActuals35415[Team 2],FS$3)</f>
        <v>0</v>
      </c>
      <c r="FT24" s="56">
        <f>SUMIFS(tblActuals35415[Team 2 Goals],tblActuals35415[Team 2],$CU24,tblActuals35415[Team 1],FT$3)+SUMIFS(tblActuals35415[Team 1 Goals],tblActuals35415[Team 1],$CU24,tblActuals35415[Team 2],FT$3)</f>
        <v>0</v>
      </c>
      <c r="FU24" s="56">
        <f>SUMIFS(tblActuals35415[Team 2 Goals],tblActuals35415[Team 2],$CU24,tblActuals35415[Team 1],FU$3)+SUMIFS(tblActuals35415[Team 1 Goals],tblActuals35415[Team 1],$CU24,tblActuals35415[Team 2],FU$3)</f>
        <v>0</v>
      </c>
      <c r="FV24" s="56">
        <f>SUMIFS(tblActuals35415[Team 2 Goals],tblActuals35415[Team 2],$CU24,tblActuals35415[Team 1],FV$3)+SUMIFS(tblActuals35415[Team 1 Goals],tblActuals35415[Team 1],$CU24,tblActuals35415[Team 2],FV$3)</f>
        <v>0</v>
      </c>
      <c r="FW24" s="56">
        <f>SUMIFS(tblActuals35415[Team 2 Goals],tblActuals35415[Team 2],$CU24,tblActuals35415[Team 1],FW$3)+SUMIFS(tblActuals35415[Team 1 Goals],tblActuals35415[Team 1],$CU24,tblActuals35415[Team 2],FW$3)</f>
        <v>0</v>
      </c>
      <c r="FX24" s="56">
        <f>SUMIFS(tblActuals35415[Team 2 Goals],tblActuals35415[Team 2],$CU24,tblActuals35415[Team 1],FX$3)+SUMIFS(tblActuals35415[Team 1 Goals],tblActuals35415[Team 1],$CU24,tblActuals35415[Team 2],FX$3)</f>
        <v>0</v>
      </c>
      <c r="FY24" s="56">
        <f>SUMIFS(tblActuals35415[Team 2 Goals],tblActuals35415[Team 2],$CU24,tblActuals35415[Team 1],FY$3)+SUMIFS(tblActuals35415[Team 1 Goals],tblActuals35415[Team 1],$CU24,tblActuals35415[Team 2],FY$3)</f>
        <v>0</v>
      </c>
      <c r="FZ24" s="56">
        <f>SUMIFS(tblActuals35415[Team 2 Goals],tblActuals35415[Team 2],$CU24,tblActuals35415[Team 1],FZ$3)+SUMIFS(tblActuals35415[Team 1 Goals],tblActuals35415[Team 1],$CU24,tblActuals35415[Team 2],FZ$3)</f>
        <v>0</v>
      </c>
      <c r="GA24" s="56">
        <f>SUMIFS(tblActuals35415[Team 2 Goals],tblActuals35415[Team 2],$CU24,tblActuals35415[Team 1],GA$3)+SUMIFS(tblActuals35415[Team 1 Goals],tblActuals35415[Team 1],$CU24,tblActuals35415[Team 2],GA$3)</f>
        <v>0</v>
      </c>
      <c r="GB24" s="56">
        <f>SUMIFS(tblActuals35415[Team 2 Goals],tblActuals35415[Team 2],$CU24,tblActuals35415[Team 1],GB$3)+SUMIFS(tblActuals35415[Team 1 Goals],tblActuals35415[Team 1],$CU24,tblActuals35415[Team 2],GB$3)</f>
        <v>0</v>
      </c>
      <c r="GC24" s="56">
        <f>SUMIFS(tblActuals35415[Team 2 Goals],tblActuals35415[Team 2],$CU24,tblActuals35415[Team 1],GC$3)+SUMIFS(tblActuals35415[Team 1 Goals],tblActuals35415[Team 1],$CU24,tblActuals35415[Team 2],GC$3)</f>
        <v>0</v>
      </c>
      <c r="GD24" s="56">
        <f>SUMIFS(tblActuals35415[Team 2 Goals],tblActuals35415[Team 2],$CU24,tblActuals35415[Team 1],GD$3)+SUMIFS(tblActuals35415[Team 1 Goals],tblActuals35415[Team 1],$CU24,tblActuals35415[Team 2],GD$3)</f>
        <v>0</v>
      </c>
      <c r="GE24" s="56">
        <f>SUMIFS(tblActuals35415[Team 2 Goals],tblActuals35415[Team 2],$CU24,tblActuals35415[Team 1],GE$3)+SUMIFS(tblActuals35415[Team 1 Goals],tblActuals35415[Team 1],$CU24,tblActuals35415[Team 2],GE$3)</f>
        <v>0</v>
      </c>
      <c r="GF24" s="56">
        <f>SUMIFS(tblActuals35415[Team 2 Goals],tblActuals35415[Team 2],$CU24,tblActuals35415[Team 1],GF$3)+SUMIFS(tblActuals35415[Team 1 Goals],tblActuals35415[Team 1],$CU24,tblActuals35415[Team 2],GF$3)</f>
        <v>0</v>
      </c>
      <c r="GG24" s="56">
        <f>SUMIFS(tblActuals35415[Team 2 Goals],tblActuals35415[Team 2],$CU24,tblActuals35415[Team 1],GG$3)+SUMIFS(tblActuals35415[Team 1 Goals],tblActuals35415[Team 1],$CU24,tblActuals35415[Team 2],GG$3)</f>
        <v>0</v>
      </c>
      <c r="GH24" s="56">
        <f>SUMIFS(tblActuals35415[Team 2 Goals],tblActuals35415[Team 2],$CU24,tblActuals35415[Team 1],GH$3)+SUMIFS(tblActuals35415[Team 1 Goals],tblActuals35415[Team 1],$CU24,tblActuals35415[Team 2],GH$3)</f>
        <v>0</v>
      </c>
      <c r="GI24" s="56">
        <f>SUMIFS(tblActuals35415[Team 2 Goals],tblActuals35415[Team 2],$CU24,tblActuals35415[Team 1],GI$3)+SUMIFS(tblActuals35415[Team 1 Goals],tblActuals35415[Team 1],$CU24,tblActuals35415[Team 2],GI$3)</f>
        <v>0</v>
      </c>
      <c r="GJ24" s="57"/>
      <c r="GK24" s="57"/>
      <c r="GL24" s="37"/>
      <c r="GM24" s="37"/>
      <c r="GN24" s="37"/>
      <c r="GO24" s="37"/>
      <c r="GP24" s="37"/>
      <c r="GQ24" s="37"/>
      <c r="GR24" s="75"/>
      <c r="GS24" s="148"/>
      <c r="GT24" s="148"/>
      <c r="GU24" s="75"/>
      <c r="GV24" s="75"/>
      <c r="GW24" s="75"/>
      <c r="GX24" s="75"/>
      <c r="GY24" s="75"/>
      <c r="GZ24" s="75"/>
    </row>
    <row r="25" spans="1:221" s="11" customFormat="1" ht="30" customHeight="1" x14ac:dyDescent="0.25">
      <c r="A25" s="20"/>
      <c r="B25" s="122">
        <v>22</v>
      </c>
      <c r="C25" s="122" t="s">
        <v>12</v>
      </c>
      <c r="D25" s="123">
        <v>45465</v>
      </c>
      <c r="E25" s="122" t="s">
        <v>79</v>
      </c>
      <c r="F25" s="124">
        <v>0.875</v>
      </c>
      <c r="G25" s="125">
        <f t="shared" si="11"/>
        <v>45465.625</v>
      </c>
      <c r="H25" s="122" t="s">
        <v>110</v>
      </c>
      <c r="I25" s="126"/>
      <c r="J25" s="118"/>
      <c r="K25" s="118"/>
      <c r="L25" s="174">
        <f>IF(I25="",0,IFERROR(IF(SCORING.RULES!$C$8="No",1,((VLOOKUP($B25,ACTUALS!$B$4:$L$100,7,FALSE)=$H25)+(VLOOKUP($B25,ACTUALS!$B$4:$L$100,7,FALSE)=S25)))*(M25+N25+O25+P25+Q25),0))+$R25</f>
        <v>0</v>
      </c>
      <c r="M25" s="168">
        <f>IFERROR(IF($B25="","",IF(U25=INDEX(ACTUALS!$AA$4:$AA$100,MATCH($B25,ACTUALS!$B$4:$B$100,0),1),CorrectScore,0)),0)</f>
        <v>0</v>
      </c>
      <c r="N25" s="157" t="str">
        <f>IFERROR(IF(I25="","",IF(INDEX(ACTUALS!$AB$4:$AB$100,MATCH($B25,ACTUALS!$B$4:$B$100,0),1)=(AB25+AC25+AH25+AI25),CorrectNumberofGoals,0)),0)</f>
        <v/>
      </c>
      <c r="O25" s="157"/>
      <c r="P25" s="157">
        <f>IFERROR(IF(B25="","",IF(INDEX(ACTUALS!$L$4:$L$100,MATCH($B25,ACTUALS!$B$4:$B$100,0),1)=W25,CorrectResult,0)),0)</f>
        <v>3</v>
      </c>
      <c r="Q25" s="157"/>
      <c r="R25" s="157"/>
      <c r="S25" s="157" t="str">
        <f t="shared" si="0"/>
        <v/>
      </c>
      <c r="T25" s="157"/>
      <c r="U25" s="157" t="str">
        <f t="shared" si="1"/>
        <v/>
      </c>
      <c r="V25" s="157" t="str">
        <f t="shared" si="2"/>
        <v/>
      </c>
      <c r="W25" s="119" t="str">
        <f>IF(tblActuals35415[[#This Row],[SCORE]]="","",IF(AB25=AC25,"Draw",IF(AB25&gt;AC25,X25,Y25)))</f>
        <v/>
      </c>
      <c r="X25" s="120" t="str">
        <f>IF(tblActuals35415[[#This Row],[TEAMS]]="","",LEFT(H25,FIND(" -",H25,1)-1))</f>
        <v>Belgium</v>
      </c>
      <c r="Y25" s="120" t="str">
        <f>IF(tblActuals35415[[#This Row],[TEAMS]]="","",MID(H25,FIND("-",H25,1)+2,LEN(H25)-FIND("-",H25,1)+2))</f>
        <v>Romania</v>
      </c>
      <c r="Z25" s="120" t="str">
        <f>IF(tblActuals35415[[#This Row],[Team 1 Goals]]&gt;tblActuals35415[[#This Row],[Team 2 Goals]],tblActuals35415[[#This Row],[Team 1]],IF(tblActuals35415[[#This Row],[Team 2 Goals]]&gt;tblActuals35415[[#This Row],[Team 1 Goals]],tblActuals35415[[#This Row],[Team 2]],""))</f>
        <v/>
      </c>
      <c r="AA25" s="120" t="str">
        <f>IF(tblActuals35415[[#This Row],[Winner]]=tblActuals35415[[#This Row],[Team 1]],tblActuals35415[[#This Row],[Team 2]],IF(tblActuals35415[[#This Row],[Winner]]=tblActuals35415[[#This Row],[Team 2]],tblActuals35415[[#This Row],[Team 1]],""))</f>
        <v/>
      </c>
      <c r="AB25" s="120" t="str">
        <f>IF(tblActuals35415[[#This Row],[SCORE]]="","",LEFT(I25,FIND(":",I25,1)-1)*1)</f>
        <v/>
      </c>
      <c r="AC25" s="120" t="str">
        <f>IF(tblActuals35415[[#This Row],[SCORE]]="","",MID(I25,FIND(":",I25,1)+1,LEN(I25)-FIND(":",I25,1)+1)*1)</f>
        <v/>
      </c>
      <c r="AD25" s="120" t="str">
        <f>IF(OR(tblActuals35415[[#This Row],[Team 1 Goals]]="",tblActuals35415[[#This Row],[Team 2 Goals]]=""),"",tblActuals35415[[#This Row],[Team 1 Goals]]-tblActuals35415[[#This Row],[Team 2 Goals]])</f>
        <v/>
      </c>
      <c r="AE25" s="120" t="str">
        <f>IF(OR(tblActuals35415[[#This Row],[Team 1 Goals]]="",tblActuals35415[[#This Row],[Team 2 Goals]]=""),"",tblActuals35415[[#This Row],[Team 2 Goals]]-tblActuals35415[[#This Row],[Team 1 Goals]])</f>
        <v/>
      </c>
      <c r="AF25" s="120" t="str">
        <f>IF(tblActuals35415[[#This Row],[SCORE]]="","",IF(tblActuals35415[[#This Row],[WINNER / RESULT]]="Draw",1,IF(tblActuals35415[[#This Row],[WINNER / RESULT]]=tblActuals35415[[#This Row],[Team 1]],3,0)))</f>
        <v/>
      </c>
      <c r="AG25" s="120" t="str">
        <f>IF(tblActuals35415[[#This Row],[SCORE]]="","",IF(tblActuals35415[[#This Row],[WINNER / RESULT]]="Draw",1,IF(tblActuals35415[[#This Row],[WINNER / RESULT]]=tblActuals35415[[#This Row],[Team 2]],3,0)))</f>
        <v/>
      </c>
      <c r="AH25" s="121"/>
      <c r="AI25" s="121"/>
      <c r="AJ25" s="121"/>
      <c r="AK25" s="121"/>
      <c r="AL25" s="120" t="e">
        <f>tblActuals35415[[#This Row],[Team 1 Goals]]+tblActuals35415[[#This Row],[Team 1 ET Goals]]&amp;":"&amp;tblActuals35415[[#This Row],[Team 2 Goals]]+tblActuals35415[[#This Row],[Team 2 ET Goals]]</f>
        <v>#VALUE!</v>
      </c>
      <c r="AM25" s="120" t="e">
        <f>+tblActuals35415[[#This Row],[Team 1 Goals]]+tblActuals35415[[#This Row],[Team 2 Goals]]</f>
        <v>#VALUE!</v>
      </c>
      <c r="AN25" s="161">
        <f t="shared" si="3"/>
        <v>45465</v>
      </c>
      <c r="AT25" s="77" t="s">
        <v>7</v>
      </c>
      <c r="AU25" s="139">
        <v>2</v>
      </c>
      <c r="AV25" s="140" t="str">
        <f ca="1">IFERROR(INDEX(BD:BD,MATCH("2"&amp;AT25,BN:BN,0),1),"")</f>
        <v>France</v>
      </c>
      <c r="AW25" s="140" t="str">
        <f ca="1">IF(AV25="","",VLOOKUP(AV25,BD:BI,2,FALSE)&amp;"-"&amp;VLOOKUP(AV25,BD:BI,3,FALSE)&amp;"-"&amp;VLOOKUP(AV25,BD:BI,4,FALSE))</f>
        <v>0-0-0</v>
      </c>
      <c r="AX25" s="140">
        <f ca="1">IF(AV25="","",VLOOKUP(AV25,BD:BK,8,FALSE))</f>
        <v>0</v>
      </c>
      <c r="AY25" s="141">
        <f ca="1">IF(AV25="","",VLOOKUP(AV25,BD:BN,5,FALSE))</f>
        <v>0</v>
      </c>
      <c r="AZ25" s="75"/>
      <c r="BA25" s="4"/>
      <c r="BB25" s="4"/>
      <c r="BC25" s="4" t="s">
        <v>12</v>
      </c>
      <c r="BD25" s="4" t="s">
        <v>131</v>
      </c>
      <c r="BE25" s="4">
        <f>COUNTIF(tblActuals35415[Winner],BD25)</f>
        <v>0</v>
      </c>
      <c r="BF25" s="4">
        <f>COUNTIFS(tblActuals35415[Team 2],BD25,tblActuals35415[WINNER / RESULT],"Draw")+COUNTIFS(tblActuals35415[Team 1],BD25,tblActuals35415[WINNER / RESULT],"Draw")</f>
        <v>0</v>
      </c>
      <c r="BG25" s="4">
        <f>COUNTIF(tblActuals35415[Loser],BD25)</f>
        <v>0</v>
      </c>
      <c r="BH25" s="4">
        <f>BF25+(3*BE25)</f>
        <v>0</v>
      </c>
      <c r="BI25" s="4">
        <f>SUMIFS(tblActuals35415[Team 1 Goals],tblActuals35415[Team 1],BD25)+SUMIFS(tblActuals35415[Team 2 Goals],tblActuals35415[Team 2],BD25)</f>
        <v>0</v>
      </c>
      <c r="BJ25" s="4">
        <f>SUMIFS(tblActuals35415[Team 2 Goals],tblActuals35415[Team 1],BD25)+SUMIFS(tblActuals35415[Team 1 Goals],tblActuals35415[Team 2],BD25)</f>
        <v>0</v>
      </c>
      <c r="BK25" s="4">
        <f>BI25-BJ25</f>
        <v>0</v>
      </c>
      <c r="BL25" s="4">
        <f ca="1">RANK(BY25,$BY$24:$BY$27,1)</f>
        <v>2</v>
      </c>
      <c r="BM25" s="4" t="str">
        <f t="shared" si="4"/>
        <v/>
      </c>
      <c r="BN25" s="4" t="str">
        <f ca="1">IF(BM25="",BL25&amp;BC25,BM25&amp;BC25)</f>
        <v>2E</v>
      </c>
      <c r="BO25" s="4">
        <f>RANK(BH25,$BH$24:$BH$27,0)</f>
        <v>1</v>
      </c>
      <c r="BP25" s="4" cm="1">
        <f t="array" aca="1" ref="BP25" ca="1">SUMPRODUCT((OFFSET($CV$3:$EA$3,MATCH($BD25,$CU$4:$CU$35,0),0))*((IF($BO26=$BO25,$CV$3:$EA$3=$BD26,0))+(IF($BO27=$BO25,$CV$3:$EA$3=$BD27,0))+(IF($BO24=$BO25,$CV$3:$EA$3=$BD24,0))))</f>
        <v>0</v>
      </c>
      <c r="BQ25" s="4" cm="1">
        <f t="array" aca="1" ref="BQ25" ca="1">SUMPRODUCT((OFFSET($ED$3:$FI$3,MATCH($BD25,$EC$4:$EC$35,0),0))*((IF($BO26=$BO25,$ED$3:$FI$3=$BD26,0))+(IF($BO27=$BO25,$ED$3:$FI$3=$BD27,0))+(IF($BO24=$BO25,$ED$3:$FI$3=$BD24,0))))</f>
        <v>0</v>
      </c>
      <c r="BR25" s="4" cm="1">
        <f t="array" aca="1" ref="BR25" ca="1">SUMPRODUCT((OFFSET($FL$3:$GQ$3,MATCH($BD25,$FK$4:$FK$35,0),0))*((IF($BO26=$BO25,$FL$3:$GQ$3=$BD26,0))+(IF($BO27=$BO25,$FL$3:$GQ$3=$BD27,0))+(IF($BO24=$BO25,$FL$3:$GQ$3=$BD24,0))))</f>
        <v>0</v>
      </c>
      <c r="BS25" s="4" cm="1">
        <f t="array" aca="1" ref="BS25" ca="1">SUMPRODUCT((OFFSET($CV$3:$EA$3,MATCH($BD25,$CU$4:$CU$35,0),0))*((IF($BO26&lt;&gt;$BO25,$CV$3:$EA$3=$BD26,0))+(IF($BO27&lt;&gt;$BO25,$CV$3:$EA$3=$BD27,0))+(IF($BO24&lt;&gt;$BO25,$CV$3:$EA$3=$BD24,0))))</f>
        <v>0</v>
      </c>
      <c r="BT25" s="4" cm="1">
        <f t="array" aca="1" ref="BT25" ca="1">SUMPRODUCT((OFFSET($ED$3:$FI$3,MATCH($BD25,$EC$4:$EC$35,0),0))*((IF($BO26&lt;&gt;$BO25,$ED$3:$FI$3=$BD26,0))+(IF($BO27&lt;&gt;$BO25,$ED$3:$FI$3=$BD27,0))+(IF($BO24&lt;&gt;$BO25,$ED$3:$FI$3=$BD24,0))))</f>
        <v>0</v>
      </c>
      <c r="BU25" s="4" cm="1">
        <f t="array" aca="1" ref="BU25" ca="1">SUMPRODUCT((OFFSET($FL$3:$GQ$3,MATCH($BD25,$FK$4:$FK$35,0),0))*((IF($BO26&lt;&gt;$BO25,$FL$3:$GQ$3=$BD26,0))+(IF($BO27&lt;&gt;$BO25,$FL$3:$GQ$3=$BD27,0))+(IF($BO24&lt;&gt;$BO25,$FL$3:$GQ$3=$BD24,0))))</f>
        <v>0</v>
      </c>
      <c r="BV25" s="4">
        <f>BK25</f>
        <v>0</v>
      </c>
      <c r="BW25" s="4">
        <f>BI25</f>
        <v>0</v>
      </c>
      <c r="BX25" s="4">
        <f ca="1">(BP25/10)+(BQ25/100)+(BR25/1000)+(BT25/10000)+(BU25/100000)+(BV25/1000000)+(BW25/10000000)+(ROW(BS26)/100000000)</f>
        <v>2.6E-7</v>
      </c>
      <c r="BY25" s="4">
        <f ca="1">+BO25-BX25</f>
        <v>0.99999974000000003</v>
      </c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U25" s="4" t="s">
        <v>134</v>
      </c>
      <c r="CV25" s="56">
        <f>SUMIFS(tblActuals35415[Team 2 Points],tblActuals35415[Team 2],$CU25,tblActuals35415[Team 1],CV$3)+SUMIFS(tblActuals35415[Team 1 Points],tblActuals35415[Team 1],$CU25,tblActuals35415[Team 2],CV$3)</f>
        <v>0</v>
      </c>
      <c r="CW25" s="56">
        <f>SUMIFS(tblActuals35415[Team 2 Points],tblActuals35415[Team 2],$CU25,tblActuals35415[Team 1],CW$3)+SUMIFS(tblActuals35415[Team 1 Points],tblActuals35415[Team 1],$CU25,tblActuals35415[Team 2],CW$3)</f>
        <v>0</v>
      </c>
      <c r="CX25" s="56">
        <f>SUMIFS(tblActuals35415[Team 2 Points],tblActuals35415[Team 2],$CU25,tblActuals35415[Team 1],CX$3)+SUMIFS(tblActuals35415[Team 1 Points],tblActuals35415[Team 1],$CU25,tblActuals35415[Team 2],CX$3)</f>
        <v>0</v>
      </c>
      <c r="CY25" s="56">
        <f>SUMIFS(tblActuals35415[Team 2 Points],tblActuals35415[Team 2],$CU25,tblActuals35415[Team 1],CY$3)+SUMIFS(tblActuals35415[Team 1 Points],tblActuals35415[Team 1],$CU25,tblActuals35415[Team 2],CY$3)</f>
        <v>0</v>
      </c>
      <c r="CZ25" s="56">
        <f>SUMIFS(tblActuals35415[Team 2 Points],tblActuals35415[Team 2],$CU25,tblActuals35415[Team 1],CZ$3)+SUMIFS(tblActuals35415[Team 1 Points],tblActuals35415[Team 1],$CU25,tblActuals35415[Team 2],CZ$3)</f>
        <v>0</v>
      </c>
      <c r="DA25" s="56">
        <f>SUMIFS(tblActuals35415[Team 2 Points],tblActuals35415[Team 2],$CU25,tblActuals35415[Team 1],DA$3)+SUMIFS(tblActuals35415[Team 1 Points],tblActuals35415[Team 1],$CU25,tblActuals35415[Team 2],DA$3)</f>
        <v>0</v>
      </c>
      <c r="DB25" s="56">
        <f>SUMIFS(tblActuals35415[Team 2 Points],tblActuals35415[Team 2],$CU25,tblActuals35415[Team 1],DB$3)+SUMIFS(tblActuals35415[Team 1 Points],tblActuals35415[Team 1],$CU25,tblActuals35415[Team 2],DB$3)</f>
        <v>0</v>
      </c>
      <c r="DC25" s="56">
        <f>SUMIFS(tblActuals35415[Team 2 Points],tblActuals35415[Team 2],$CU25,tblActuals35415[Team 1],DC$3)+SUMIFS(tblActuals35415[Team 1 Points],tblActuals35415[Team 1],$CU25,tblActuals35415[Team 2],DC$3)</f>
        <v>0</v>
      </c>
      <c r="DD25" s="56">
        <f>SUMIFS(tblActuals35415[Team 2 Points],tblActuals35415[Team 2],$CU25,tblActuals35415[Team 1],DD$3)+SUMIFS(tblActuals35415[Team 1 Points],tblActuals35415[Team 1],$CU25,tblActuals35415[Team 2],DD$3)</f>
        <v>0</v>
      </c>
      <c r="DE25" s="56">
        <f>SUMIFS(tblActuals35415[Team 2 Points],tblActuals35415[Team 2],$CU25,tblActuals35415[Team 1],DE$3)+SUMIFS(tblActuals35415[Team 1 Points],tblActuals35415[Team 1],$CU25,tblActuals35415[Team 2],DE$3)</f>
        <v>0</v>
      </c>
      <c r="DF25" s="56">
        <f>SUMIFS(tblActuals35415[Team 2 Points],tblActuals35415[Team 2],$CU25,tblActuals35415[Team 1],DF$3)+SUMIFS(tblActuals35415[Team 1 Points],tblActuals35415[Team 1],$CU25,tblActuals35415[Team 2],DF$3)</f>
        <v>0</v>
      </c>
      <c r="DG25" s="56">
        <f>SUMIFS(tblActuals35415[Team 2 Points],tblActuals35415[Team 2],$CU25,tblActuals35415[Team 1],DG$3)+SUMIFS(tblActuals35415[Team 1 Points],tblActuals35415[Team 1],$CU25,tblActuals35415[Team 2],DG$3)</f>
        <v>0</v>
      </c>
      <c r="DH25" s="56">
        <f>SUMIFS(tblActuals35415[Team 2 Points],tblActuals35415[Team 2],$CU25,tblActuals35415[Team 1],DH$3)+SUMIFS(tblActuals35415[Team 1 Points],tblActuals35415[Team 1],$CU25,tblActuals35415[Team 2],DH$3)</f>
        <v>0</v>
      </c>
      <c r="DI25" s="56">
        <f>SUMIFS(tblActuals35415[Team 2 Points],tblActuals35415[Team 2],$CU25,tblActuals35415[Team 1],DI$3)+SUMIFS(tblActuals35415[Team 1 Points],tblActuals35415[Team 1],$CU25,tblActuals35415[Team 2],DI$3)</f>
        <v>0</v>
      </c>
      <c r="DJ25" s="56">
        <f>SUMIFS(tblActuals35415[Team 2 Points],tblActuals35415[Team 2],$CU25,tblActuals35415[Team 1],DJ$3)+SUMIFS(tblActuals35415[Team 1 Points],tblActuals35415[Team 1],$CU25,tblActuals35415[Team 2],DJ$3)</f>
        <v>0</v>
      </c>
      <c r="DK25" s="56">
        <f>SUMIFS(tblActuals35415[Team 2 Points],tblActuals35415[Team 2],$CU25,tblActuals35415[Team 1],DK$3)+SUMIFS(tblActuals35415[Team 1 Points],tblActuals35415[Team 1],$CU25,tblActuals35415[Team 2],DK$3)</f>
        <v>0</v>
      </c>
      <c r="DL25" s="56">
        <f>SUMIFS(tblActuals35415[Team 2 Points],tblActuals35415[Team 2],$CU25,tblActuals35415[Team 1],DL$3)+SUMIFS(tblActuals35415[Team 1 Points],tblActuals35415[Team 1],$CU25,tblActuals35415[Team 2],DL$3)</f>
        <v>0</v>
      </c>
      <c r="DM25" s="56">
        <f>SUMIFS(tblActuals35415[Team 2 Points],tblActuals35415[Team 2],$CU25,tblActuals35415[Team 1],DM$3)+SUMIFS(tblActuals35415[Team 1 Points],tblActuals35415[Team 1],$CU25,tblActuals35415[Team 2],DM$3)</f>
        <v>0</v>
      </c>
      <c r="DN25" s="56">
        <f>SUMIFS(tblActuals35415[Team 2 Points],tblActuals35415[Team 2],$CU25,tblActuals35415[Team 1],DN$3)+SUMIFS(tblActuals35415[Team 1 Points],tblActuals35415[Team 1],$CU25,tblActuals35415[Team 2],DN$3)</f>
        <v>0</v>
      </c>
      <c r="DO25" s="56">
        <f>SUMIFS(tblActuals35415[Team 2 Points],tblActuals35415[Team 2],$CU25,tblActuals35415[Team 1],DO$3)+SUMIFS(tblActuals35415[Team 1 Points],tblActuals35415[Team 1],$CU25,tblActuals35415[Team 2],DO$3)</f>
        <v>0</v>
      </c>
      <c r="DP25" s="56">
        <f>SUMIFS(tblActuals35415[Team 2 Points],tblActuals35415[Team 2],$CU25,tblActuals35415[Team 1],DP$3)+SUMIFS(tblActuals35415[Team 1 Points],tblActuals35415[Team 1],$CU25,tblActuals35415[Team 2],DP$3)</f>
        <v>0</v>
      </c>
      <c r="DQ25" s="56">
        <f>SUMIFS(tblActuals35415[Team 2 Points],tblActuals35415[Team 2],$CU25,tblActuals35415[Team 1],DQ$3)+SUMIFS(tblActuals35415[Team 1 Points],tblActuals35415[Team 1],$CU25,tblActuals35415[Team 2],DQ$3)</f>
        <v>0</v>
      </c>
      <c r="DR25" s="56">
        <f>SUMIFS(tblActuals35415[Team 2 Points],tblActuals35415[Team 2],$CU25,tblActuals35415[Team 1],DR$3)+SUMIFS(tblActuals35415[Team 1 Points],tblActuals35415[Team 1],$CU25,tblActuals35415[Team 2],DR$3)</f>
        <v>0</v>
      </c>
      <c r="DS25" s="56">
        <f>SUMIFS(tblActuals35415[Team 2 Points],tblActuals35415[Team 2],$CU25,tblActuals35415[Team 1],DS$3)+SUMIFS(tblActuals35415[Team 1 Points],tblActuals35415[Team 1],$CU25,tblActuals35415[Team 2],DS$3)</f>
        <v>0</v>
      </c>
      <c r="DT25" s="57"/>
      <c r="DU25" s="57"/>
      <c r="DV25" s="57"/>
      <c r="DW25" s="57"/>
      <c r="DX25" s="57"/>
      <c r="DY25" s="57"/>
      <c r="DZ25" s="57"/>
      <c r="EA25" s="57"/>
      <c r="EB25" s="4"/>
      <c r="EC25" s="4" t="s">
        <v>134</v>
      </c>
      <c r="ED25" s="56">
        <f>SUMIFS(tblActuals35415[Team 2 GD],tblActuals35415[Team 2],$CU25,tblActuals35415[Team 1],ED$3)+SUMIFS(tblActuals35415[Team 1 GD],tblActuals35415[Team 1],$CU25,tblActuals35415[Team 2],ED$3)</f>
        <v>0</v>
      </c>
      <c r="EE25" s="56">
        <f>SUMIFS(tblActuals35415[Team 2 GD],tblActuals35415[Team 2],$CU25,tblActuals35415[Team 1],EE$3)+SUMIFS(tblActuals35415[Team 1 GD],tblActuals35415[Team 1],$CU25,tblActuals35415[Team 2],EE$3)</f>
        <v>0</v>
      </c>
      <c r="EF25" s="56">
        <f>SUMIFS(tblActuals35415[Team 2 GD],tblActuals35415[Team 2],$CU25,tblActuals35415[Team 1],EF$3)+SUMIFS(tblActuals35415[Team 1 GD],tblActuals35415[Team 1],$CU25,tblActuals35415[Team 2],EF$3)</f>
        <v>0</v>
      </c>
      <c r="EG25" s="56">
        <f>SUMIFS(tblActuals35415[Team 2 GD],tblActuals35415[Team 2],$CU25,tblActuals35415[Team 1],EG$3)+SUMIFS(tblActuals35415[Team 1 GD],tblActuals35415[Team 1],$CU25,tblActuals35415[Team 2],EG$3)</f>
        <v>0</v>
      </c>
      <c r="EH25" s="56">
        <f>SUMIFS(tblActuals35415[Team 2 GD],tblActuals35415[Team 2],$CU25,tblActuals35415[Team 1],EH$3)+SUMIFS(tblActuals35415[Team 1 GD],tblActuals35415[Team 1],$CU25,tblActuals35415[Team 2],EH$3)</f>
        <v>0</v>
      </c>
      <c r="EI25" s="56">
        <f>SUMIFS(tblActuals35415[Team 2 GD],tblActuals35415[Team 2],$CU25,tblActuals35415[Team 1],EI$3)+SUMIFS(tblActuals35415[Team 1 GD],tblActuals35415[Team 1],$CU25,tblActuals35415[Team 2],EI$3)</f>
        <v>0</v>
      </c>
      <c r="EJ25" s="56">
        <f>SUMIFS(tblActuals35415[Team 2 GD],tblActuals35415[Team 2],$CU25,tblActuals35415[Team 1],EJ$3)+SUMIFS(tblActuals35415[Team 1 GD],tblActuals35415[Team 1],$CU25,tblActuals35415[Team 2],EJ$3)</f>
        <v>0</v>
      </c>
      <c r="EK25" s="56">
        <f>SUMIFS(tblActuals35415[Team 2 GD],tblActuals35415[Team 2],$CU25,tblActuals35415[Team 1],EK$3)+SUMIFS(tblActuals35415[Team 1 GD],tblActuals35415[Team 1],$CU25,tblActuals35415[Team 2],EK$3)</f>
        <v>0</v>
      </c>
      <c r="EL25" s="56">
        <f>SUMIFS(tblActuals35415[Team 2 GD],tblActuals35415[Team 2],$CU25,tblActuals35415[Team 1],EL$3)+SUMIFS(tblActuals35415[Team 1 GD],tblActuals35415[Team 1],$CU25,tblActuals35415[Team 2],EL$3)</f>
        <v>0</v>
      </c>
      <c r="EM25" s="56">
        <f>SUMIFS(tblActuals35415[Team 2 GD],tblActuals35415[Team 2],$CU25,tblActuals35415[Team 1],EM$3)+SUMIFS(tblActuals35415[Team 1 GD],tblActuals35415[Team 1],$CU25,tblActuals35415[Team 2],EM$3)</f>
        <v>0</v>
      </c>
      <c r="EN25" s="56">
        <f>SUMIFS(tblActuals35415[Team 2 GD],tblActuals35415[Team 2],$CU25,tblActuals35415[Team 1],EN$3)+SUMIFS(tblActuals35415[Team 1 GD],tblActuals35415[Team 1],$CU25,tblActuals35415[Team 2],EN$3)</f>
        <v>0</v>
      </c>
      <c r="EO25" s="56">
        <f>SUMIFS(tblActuals35415[Team 2 GD],tblActuals35415[Team 2],$CU25,tblActuals35415[Team 1],EO$3)+SUMIFS(tblActuals35415[Team 1 GD],tblActuals35415[Team 1],$CU25,tblActuals35415[Team 2],EO$3)</f>
        <v>0</v>
      </c>
      <c r="EP25" s="56">
        <f>SUMIFS(tblActuals35415[Team 2 GD],tblActuals35415[Team 2],$CU25,tblActuals35415[Team 1],EP$3)+SUMIFS(tblActuals35415[Team 1 GD],tblActuals35415[Team 1],$CU25,tblActuals35415[Team 2],EP$3)</f>
        <v>0</v>
      </c>
      <c r="EQ25" s="56">
        <f>SUMIFS(tblActuals35415[Team 2 GD],tblActuals35415[Team 2],$CU25,tblActuals35415[Team 1],EQ$3)+SUMIFS(tblActuals35415[Team 1 GD],tblActuals35415[Team 1],$CU25,tblActuals35415[Team 2],EQ$3)</f>
        <v>0</v>
      </c>
      <c r="ER25" s="56">
        <f>SUMIFS(tblActuals35415[Team 2 GD],tblActuals35415[Team 2],$CU25,tblActuals35415[Team 1],ER$3)+SUMIFS(tblActuals35415[Team 1 GD],tblActuals35415[Team 1],$CU25,tblActuals35415[Team 2],ER$3)</f>
        <v>0</v>
      </c>
      <c r="ES25" s="56">
        <f>SUMIFS(tblActuals35415[Team 2 GD],tblActuals35415[Team 2],$CU25,tblActuals35415[Team 1],ES$3)+SUMIFS(tblActuals35415[Team 1 GD],tblActuals35415[Team 1],$CU25,tblActuals35415[Team 2],ES$3)</f>
        <v>0</v>
      </c>
      <c r="ET25" s="56">
        <f>SUMIFS(tblActuals35415[Team 2 GD],tblActuals35415[Team 2],$CU25,tblActuals35415[Team 1],ET$3)+SUMIFS(tblActuals35415[Team 1 GD],tblActuals35415[Team 1],$CU25,tblActuals35415[Team 2],ET$3)</f>
        <v>0</v>
      </c>
      <c r="EU25" s="56">
        <f>SUMIFS(tblActuals35415[Team 2 GD],tblActuals35415[Team 2],$CU25,tblActuals35415[Team 1],EU$3)+SUMIFS(tblActuals35415[Team 1 GD],tblActuals35415[Team 1],$CU25,tblActuals35415[Team 2],EU$3)</f>
        <v>0</v>
      </c>
      <c r="EV25" s="56">
        <f>SUMIFS(tblActuals35415[Team 2 GD],tblActuals35415[Team 2],$CU25,tblActuals35415[Team 1],EV$3)+SUMIFS(tblActuals35415[Team 1 GD],tblActuals35415[Team 1],$CU25,tblActuals35415[Team 2],EV$3)</f>
        <v>0</v>
      </c>
      <c r="EW25" s="56">
        <f>SUMIFS(tblActuals35415[Team 2 GD],tblActuals35415[Team 2],$CU25,tblActuals35415[Team 1],EW$3)+SUMIFS(tblActuals35415[Team 1 GD],tblActuals35415[Team 1],$CU25,tblActuals35415[Team 2],EW$3)</f>
        <v>0</v>
      </c>
      <c r="EX25" s="56">
        <f>SUMIFS(tblActuals35415[Team 2 GD],tblActuals35415[Team 2],$CU25,tblActuals35415[Team 1],EX$3)+SUMIFS(tblActuals35415[Team 1 GD],tblActuals35415[Team 1],$CU25,tblActuals35415[Team 2],EX$3)</f>
        <v>0</v>
      </c>
      <c r="EY25" s="56">
        <f>SUMIFS(tblActuals35415[Team 2 GD],tblActuals35415[Team 2],$CU25,tblActuals35415[Team 1],EY$3)+SUMIFS(tblActuals35415[Team 1 GD],tblActuals35415[Team 1],$CU25,tblActuals35415[Team 2],EY$3)</f>
        <v>0</v>
      </c>
      <c r="EZ25" s="56">
        <f>SUMIFS(tblActuals35415[Team 2 GD],tblActuals35415[Team 2],$CU25,tblActuals35415[Team 1],EZ$3)+SUMIFS(tblActuals35415[Team 1 GD],tblActuals35415[Team 1],$CU25,tblActuals35415[Team 2],EZ$3)</f>
        <v>0</v>
      </c>
      <c r="FA25" s="56">
        <f>SUMIFS(tblActuals35415[Team 2 GD],tblActuals35415[Team 2],$CU25,tblActuals35415[Team 1],FA$3)+SUMIFS(tblActuals35415[Team 1 GD],tblActuals35415[Team 1],$CU25,tblActuals35415[Team 2],FA$3)</f>
        <v>0</v>
      </c>
      <c r="FB25" s="57"/>
      <c r="FC25" s="57"/>
      <c r="FD25" s="57"/>
      <c r="FE25" s="57"/>
      <c r="FF25" s="57"/>
      <c r="FG25" s="57"/>
      <c r="FH25" s="57"/>
      <c r="FI25" s="57"/>
      <c r="FJ25" s="4"/>
      <c r="FK25" s="4" t="s">
        <v>134</v>
      </c>
      <c r="FL25" s="56">
        <f>SUMIFS(tblActuals35415[Team 2 Goals],tblActuals35415[Team 2],$CU25,tblActuals35415[Team 1],FL$3)+SUMIFS(tblActuals35415[Team 1 Goals],tblActuals35415[Team 1],$CU25,tblActuals35415[Team 2],FL$3)</f>
        <v>0</v>
      </c>
      <c r="FM25" s="56">
        <f>SUMIFS(tblActuals35415[Team 2 Goals],tblActuals35415[Team 2],$CU25,tblActuals35415[Team 1],FM$3)+SUMIFS(tblActuals35415[Team 1 Goals],tblActuals35415[Team 1],$CU25,tblActuals35415[Team 2],FM$3)</f>
        <v>0</v>
      </c>
      <c r="FN25" s="56">
        <f>SUMIFS(tblActuals35415[Team 2 Goals],tblActuals35415[Team 2],$CU25,tblActuals35415[Team 1],FN$3)+SUMIFS(tblActuals35415[Team 1 Goals],tblActuals35415[Team 1],$CU25,tblActuals35415[Team 2],FN$3)</f>
        <v>0</v>
      </c>
      <c r="FO25" s="56">
        <f>SUMIFS(tblActuals35415[Team 2 Goals],tblActuals35415[Team 2],$CU25,tblActuals35415[Team 1],FO$3)+SUMIFS(tblActuals35415[Team 1 Goals],tblActuals35415[Team 1],$CU25,tblActuals35415[Team 2],FO$3)</f>
        <v>0</v>
      </c>
      <c r="FP25" s="56">
        <f>SUMIFS(tblActuals35415[Team 2 Goals],tblActuals35415[Team 2],$CU25,tblActuals35415[Team 1],FP$3)+SUMIFS(tblActuals35415[Team 1 Goals],tblActuals35415[Team 1],$CU25,tblActuals35415[Team 2],FP$3)</f>
        <v>0</v>
      </c>
      <c r="FQ25" s="56">
        <f>SUMIFS(tblActuals35415[Team 2 Goals],tblActuals35415[Team 2],$CU25,tblActuals35415[Team 1],FQ$3)+SUMIFS(tblActuals35415[Team 1 Goals],tblActuals35415[Team 1],$CU25,tblActuals35415[Team 2],FQ$3)</f>
        <v>0</v>
      </c>
      <c r="FR25" s="56">
        <f>SUMIFS(tblActuals35415[Team 2 Goals],tblActuals35415[Team 2],$CU25,tblActuals35415[Team 1],FR$3)+SUMIFS(tblActuals35415[Team 1 Goals],tblActuals35415[Team 1],$CU25,tblActuals35415[Team 2],FR$3)</f>
        <v>0</v>
      </c>
      <c r="FS25" s="56">
        <f>SUMIFS(tblActuals35415[Team 2 Goals],tblActuals35415[Team 2],$CU25,tblActuals35415[Team 1],FS$3)+SUMIFS(tblActuals35415[Team 1 Goals],tblActuals35415[Team 1],$CU25,tblActuals35415[Team 2],FS$3)</f>
        <v>0</v>
      </c>
      <c r="FT25" s="56">
        <f>SUMIFS(tblActuals35415[Team 2 Goals],tblActuals35415[Team 2],$CU25,tblActuals35415[Team 1],FT$3)+SUMIFS(tblActuals35415[Team 1 Goals],tblActuals35415[Team 1],$CU25,tblActuals35415[Team 2],FT$3)</f>
        <v>0</v>
      </c>
      <c r="FU25" s="56">
        <f>SUMIFS(tblActuals35415[Team 2 Goals],tblActuals35415[Team 2],$CU25,tblActuals35415[Team 1],FU$3)+SUMIFS(tblActuals35415[Team 1 Goals],tblActuals35415[Team 1],$CU25,tblActuals35415[Team 2],FU$3)</f>
        <v>0</v>
      </c>
      <c r="FV25" s="56">
        <f>SUMIFS(tblActuals35415[Team 2 Goals],tblActuals35415[Team 2],$CU25,tblActuals35415[Team 1],FV$3)+SUMIFS(tblActuals35415[Team 1 Goals],tblActuals35415[Team 1],$CU25,tblActuals35415[Team 2],FV$3)</f>
        <v>0</v>
      </c>
      <c r="FW25" s="56">
        <f>SUMIFS(tblActuals35415[Team 2 Goals],tblActuals35415[Team 2],$CU25,tblActuals35415[Team 1],FW$3)+SUMIFS(tblActuals35415[Team 1 Goals],tblActuals35415[Team 1],$CU25,tblActuals35415[Team 2],FW$3)</f>
        <v>0</v>
      </c>
      <c r="FX25" s="56">
        <f>SUMIFS(tblActuals35415[Team 2 Goals],tblActuals35415[Team 2],$CU25,tblActuals35415[Team 1],FX$3)+SUMIFS(tblActuals35415[Team 1 Goals],tblActuals35415[Team 1],$CU25,tblActuals35415[Team 2],FX$3)</f>
        <v>0</v>
      </c>
      <c r="FY25" s="56">
        <f>SUMIFS(tblActuals35415[Team 2 Goals],tblActuals35415[Team 2],$CU25,tblActuals35415[Team 1],FY$3)+SUMIFS(tblActuals35415[Team 1 Goals],tblActuals35415[Team 1],$CU25,tblActuals35415[Team 2],FY$3)</f>
        <v>0</v>
      </c>
      <c r="FZ25" s="56">
        <f>SUMIFS(tblActuals35415[Team 2 Goals],tblActuals35415[Team 2],$CU25,tblActuals35415[Team 1],FZ$3)+SUMIFS(tblActuals35415[Team 1 Goals],tblActuals35415[Team 1],$CU25,tblActuals35415[Team 2],FZ$3)</f>
        <v>0</v>
      </c>
      <c r="GA25" s="56">
        <f>SUMIFS(tblActuals35415[Team 2 Goals],tblActuals35415[Team 2],$CU25,tblActuals35415[Team 1],GA$3)+SUMIFS(tblActuals35415[Team 1 Goals],tblActuals35415[Team 1],$CU25,tblActuals35415[Team 2],GA$3)</f>
        <v>0</v>
      </c>
      <c r="GB25" s="56">
        <f>SUMIFS(tblActuals35415[Team 2 Goals],tblActuals35415[Team 2],$CU25,tblActuals35415[Team 1],GB$3)+SUMIFS(tblActuals35415[Team 1 Goals],tblActuals35415[Team 1],$CU25,tblActuals35415[Team 2],GB$3)</f>
        <v>0</v>
      </c>
      <c r="GC25" s="56">
        <f>SUMIFS(tblActuals35415[Team 2 Goals],tblActuals35415[Team 2],$CU25,tblActuals35415[Team 1],GC$3)+SUMIFS(tblActuals35415[Team 1 Goals],tblActuals35415[Team 1],$CU25,tblActuals35415[Team 2],GC$3)</f>
        <v>0</v>
      </c>
      <c r="GD25" s="56">
        <f>SUMIFS(tblActuals35415[Team 2 Goals],tblActuals35415[Team 2],$CU25,tblActuals35415[Team 1],GD$3)+SUMIFS(tblActuals35415[Team 1 Goals],tblActuals35415[Team 1],$CU25,tblActuals35415[Team 2],GD$3)</f>
        <v>0</v>
      </c>
      <c r="GE25" s="56">
        <f>SUMIFS(tblActuals35415[Team 2 Goals],tblActuals35415[Team 2],$CU25,tblActuals35415[Team 1],GE$3)+SUMIFS(tblActuals35415[Team 1 Goals],tblActuals35415[Team 1],$CU25,tblActuals35415[Team 2],GE$3)</f>
        <v>0</v>
      </c>
      <c r="GF25" s="56">
        <f>SUMIFS(tblActuals35415[Team 2 Goals],tblActuals35415[Team 2],$CU25,tblActuals35415[Team 1],GF$3)+SUMIFS(tblActuals35415[Team 1 Goals],tblActuals35415[Team 1],$CU25,tblActuals35415[Team 2],GF$3)</f>
        <v>0</v>
      </c>
      <c r="GG25" s="56">
        <f>SUMIFS(tblActuals35415[Team 2 Goals],tblActuals35415[Team 2],$CU25,tblActuals35415[Team 1],GG$3)+SUMIFS(tblActuals35415[Team 1 Goals],tblActuals35415[Team 1],$CU25,tblActuals35415[Team 2],GG$3)</f>
        <v>0</v>
      </c>
      <c r="GH25" s="56">
        <f>SUMIFS(tblActuals35415[Team 2 Goals],tblActuals35415[Team 2],$CU25,tblActuals35415[Team 1],GH$3)+SUMIFS(tblActuals35415[Team 1 Goals],tblActuals35415[Team 1],$CU25,tblActuals35415[Team 2],GH$3)</f>
        <v>0</v>
      </c>
      <c r="GI25" s="56">
        <f>SUMIFS(tblActuals35415[Team 2 Goals],tblActuals35415[Team 2],$CU25,tblActuals35415[Team 1],GI$3)+SUMIFS(tblActuals35415[Team 1 Goals],tblActuals35415[Team 1],$CU25,tblActuals35415[Team 2],GI$3)</f>
        <v>0</v>
      </c>
      <c r="GJ25" s="57"/>
      <c r="GK25" s="57"/>
      <c r="GL25" s="37"/>
      <c r="GM25" s="37"/>
      <c r="GN25" s="37"/>
      <c r="GO25" s="37"/>
      <c r="GP25" s="37"/>
      <c r="GQ25" s="37"/>
      <c r="GR25" s="75"/>
      <c r="GS25" s="148"/>
      <c r="GT25" s="148"/>
      <c r="GU25" s="75"/>
      <c r="GV25" s="75"/>
      <c r="GW25" s="75"/>
      <c r="GX25" s="75"/>
      <c r="GY25" s="75"/>
      <c r="GZ25" s="75"/>
    </row>
    <row r="26" spans="1:221" s="11" customFormat="1" ht="30" customHeight="1" x14ac:dyDescent="0.25">
      <c r="A26" s="20"/>
      <c r="B26" s="122">
        <v>23</v>
      </c>
      <c r="C26" s="122" t="s">
        <v>45</v>
      </c>
      <c r="D26" s="123">
        <v>45465</v>
      </c>
      <c r="E26" s="122" t="s">
        <v>81</v>
      </c>
      <c r="F26" s="124">
        <v>0.75</v>
      </c>
      <c r="G26" s="125">
        <f t="shared" si="11"/>
        <v>45465.5</v>
      </c>
      <c r="H26" s="122" t="s">
        <v>111</v>
      </c>
      <c r="I26" s="126"/>
      <c r="J26" s="118"/>
      <c r="K26" s="118"/>
      <c r="L26" s="174">
        <f>IF(I26="",0,IFERROR(IF(SCORING.RULES!$C$8="No",1,((VLOOKUP($B26,ACTUALS!$B$4:$L$100,7,FALSE)=$H26)+(VLOOKUP($B26,ACTUALS!$B$4:$L$100,7,FALSE)=S26)))*(M26+N26+O26+P26+Q26),0))+$R26</f>
        <v>0</v>
      </c>
      <c r="M26" s="168">
        <f>IFERROR(IF($B26="","",IF(U26=INDEX(ACTUALS!$AA$4:$AA$100,MATCH($B26,ACTUALS!$B$4:$B$100,0),1),CorrectScore,0)),0)</f>
        <v>0</v>
      </c>
      <c r="N26" s="157" t="str">
        <f>IFERROR(IF(I26="","",IF(INDEX(ACTUALS!$AB$4:$AB$100,MATCH($B26,ACTUALS!$B$4:$B$100,0),1)=(AB26+AC26+AH26+AI26),CorrectNumberofGoals,0)),0)</f>
        <v/>
      </c>
      <c r="O26" s="157"/>
      <c r="P26" s="157">
        <f>IFERROR(IF(B26="","",IF(INDEX(ACTUALS!$L$4:$L$100,MATCH($B26,ACTUALS!$B$4:$B$100,0),1)=W26,CorrectResult,0)),0)</f>
        <v>3</v>
      </c>
      <c r="Q26" s="157"/>
      <c r="R26" s="157"/>
      <c r="S26" s="157" t="str">
        <f t="shared" si="0"/>
        <v/>
      </c>
      <c r="T26" s="157"/>
      <c r="U26" s="157" t="str">
        <f t="shared" si="1"/>
        <v/>
      </c>
      <c r="V26" s="157" t="str">
        <f t="shared" si="2"/>
        <v/>
      </c>
      <c r="W26" s="119" t="str">
        <f>IF(tblActuals35415[[#This Row],[SCORE]]="","",IF(AB26=AC26,"Draw",IF(AB26&gt;AC26,X26,Y26)))</f>
        <v/>
      </c>
      <c r="X26" s="120" t="str">
        <f>IF(tblActuals35415[[#This Row],[TEAMS]]="","",LEFT(H26,FIND(" -",H26,1)-1))</f>
        <v>Turkey</v>
      </c>
      <c r="Y26" s="120" t="str">
        <f>IF(tblActuals35415[[#This Row],[TEAMS]]="","",MID(H26,FIND("-",H26,1)+2,LEN(H26)-FIND("-",H26,1)+2))</f>
        <v>Portugal</v>
      </c>
      <c r="Z26" s="120" t="str">
        <f>IF(tblActuals35415[[#This Row],[Team 1 Goals]]&gt;tblActuals35415[[#This Row],[Team 2 Goals]],tblActuals35415[[#This Row],[Team 1]],IF(tblActuals35415[[#This Row],[Team 2 Goals]]&gt;tblActuals35415[[#This Row],[Team 1 Goals]],tblActuals35415[[#This Row],[Team 2]],""))</f>
        <v/>
      </c>
      <c r="AA26" s="120" t="str">
        <f>IF(tblActuals35415[[#This Row],[Winner]]=tblActuals35415[[#This Row],[Team 1]],tblActuals35415[[#This Row],[Team 2]],IF(tblActuals35415[[#This Row],[Winner]]=tblActuals35415[[#This Row],[Team 2]],tblActuals35415[[#This Row],[Team 1]],""))</f>
        <v/>
      </c>
      <c r="AB26" s="120" t="str">
        <f>IF(tblActuals35415[[#This Row],[SCORE]]="","",LEFT(I26,FIND(":",I26,1)-1)*1)</f>
        <v/>
      </c>
      <c r="AC26" s="120" t="str">
        <f>IF(tblActuals35415[[#This Row],[SCORE]]="","",MID(I26,FIND(":",I26,1)+1,LEN(I26)-FIND(":",I26,1)+1)*1)</f>
        <v/>
      </c>
      <c r="AD26" s="120" t="str">
        <f>IF(OR(tblActuals35415[[#This Row],[Team 1 Goals]]="",tblActuals35415[[#This Row],[Team 2 Goals]]=""),"",tblActuals35415[[#This Row],[Team 1 Goals]]-tblActuals35415[[#This Row],[Team 2 Goals]])</f>
        <v/>
      </c>
      <c r="AE26" s="120" t="str">
        <f>IF(OR(tblActuals35415[[#This Row],[Team 1 Goals]]="",tblActuals35415[[#This Row],[Team 2 Goals]]=""),"",tblActuals35415[[#This Row],[Team 2 Goals]]-tblActuals35415[[#This Row],[Team 1 Goals]])</f>
        <v/>
      </c>
      <c r="AF26" s="120" t="str">
        <f>IF(tblActuals35415[[#This Row],[SCORE]]="","",IF(tblActuals35415[[#This Row],[WINNER / RESULT]]="Draw",1,IF(tblActuals35415[[#This Row],[WINNER / RESULT]]=tblActuals35415[[#This Row],[Team 1]],3,0)))</f>
        <v/>
      </c>
      <c r="AG26" s="120" t="str">
        <f>IF(tblActuals35415[[#This Row],[SCORE]]="","",IF(tblActuals35415[[#This Row],[WINNER / RESULT]]="Draw",1,IF(tblActuals35415[[#This Row],[WINNER / RESULT]]=tblActuals35415[[#This Row],[Team 2]],3,0)))</f>
        <v/>
      </c>
      <c r="AH26" s="121"/>
      <c r="AI26" s="121"/>
      <c r="AJ26" s="121"/>
      <c r="AK26" s="121"/>
      <c r="AL26" s="120" t="e">
        <f>tblActuals35415[[#This Row],[Team 1 Goals]]+tblActuals35415[[#This Row],[Team 1 ET Goals]]&amp;":"&amp;tblActuals35415[[#This Row],[Team 2 Goals]]+tblActuals35415[[#This Row],[Team 2 ET Goals]]</f>
        <v>#VALUE!</v>
      </c>
      <c r="AM26" s="120" t="e">
        <f>+tblActuals35415[[#This Row],[Team 1 Goals]]+tblActuals35415[[#This Row],[Team 2 Goals]]</f>
        <v>#VALUE!</v>
      </c>
      <c r="AN26" s="161">
        <f t="shared" si="3"/>
        <v>45465</v>
      </c>
      <c r="AT26" s="77" t="s">
        <v>7</v>
      </c>
      <c r="AU26" s="142">
        <v>3</v>
      </c>
      <c r="AV26" s="143" t="str">
        <f ca="1">IFERROR(INDEX(BD:BD,MATCH("3"&amp;AT26,BN:BN,0),1),"")</f>
        <v>Netherlands</v>
      </c>
      <c r="AW26" s="143" t="str">
        <f ca="1">IF(AV26="","",VLOOKUP(AV26,BD:BI,2,FALSE)&amp;"-"&amp;VLOOKUP(AV26,BD:BI,3,FALSE)&amp;"-"&amp;VLOOKUP(AV26,BD:BI,4,FALSE))</f>
        <v>0-0-0</v>
      </c>
      <c r="AX26" s="143">
        <f ca="1">IF(AV26="","",VLOOKUP(AV26,BD:BK,8,FALSE))</f>
        <v>0</v>
      </c>
      <c r="AY26" s="144">
        <f ca="1">IF(AV26="","",VLOOKUP(AV26,BD:BN,5,FALSE))</f>
        <v>0</v>
      </c>
      <c r="AZ26" s="75" t="str">
        <f ca="1">IF(INDEX($AU$43:$AU$48,MATCH(AV26,$AV$43:$AV$48,0),1)&lt;=4,"X","")</f>
        <v>X</v>
      </c>
      <c r="BA26" s="4"/>
      <c r="BB26" s="4"/>
      <c r="BC26" s="4" t="s">
        <v>12</v>
      </c>
      <c r="BD26" s="4" t="s">
        <v>130</v>
      </c>
      <c r="BE26" s="4">
        <f>COUNTIF(tblActuals35415[Winner],BD26)</f>
        <v>0</v>
      </c>
      <c r="BF26" s="4">
        <f>COUNTIFS(tblActuals35415[Team 2],BD26,tblActuals35415[WINNER / RESULT],"Draw")+COUNTIFS(tblActuals35415[Team 1],BD26,tblActuals35415[WINNER / RESULT],"Draw")</f>
        <v>0</v>
      </c>
      <c r="BG26" s="4">
        <f>COUNTIF(tblActuals35415[Loser],BD26)</f>
        <v>0</v>
      </c>
      <c r="BH26" s="4">
        <f>BF26+(3*BE26)</f>
        <v>0</v>
      </c>
      <c r="BI26" s="4">
        <f>SUMIFS(tblActuals35415[Team 1 Goals],tblActuals35415[Team 1],BD26)+SUMIFS(tblActuals35415[Team 2 Goals],tblActuals35415[Team 2],BD26)</f>
        <v>0</v>
      </c>
      <c r="BJ26" s="4">
        <f>SUMIFS(tblActuals35415[Team 2 Goals],tblActuals35415[Team 1],BD26)+SUMIFS(tblActuals35415[Team 1 Goals],tblActuals35415[Team 2],BD26)</f>
        <v>0</v>
      </c>
      <c r="BK26" s="4">
        <f>BI26-BJ26</f>
        <v>0</v>
      </c>
      <c r="BL26" s="4">
        <f ca="1">RANK(BY26,$BY$24:$BY$27,1)</f>
        <v>3</v>
      </c>
      <c r="BM26" s="4" t="str">
        <f t="shared" si="4"/>
        <v/>
      </c>
      <c r="BN26" s="4" t="str">
        <f ca="1">IF(BM26="",BL26&amp;BC26,BM26&amp;BC26)</f>
        <v>3E</v>
      </c>
      <c r="BO26" s="4">
        <f>RANK(BH26,$BH$24:$BH$27,0)</f>
        <v>1</v>
      </c>
      <c r="BP26" s="4" cm="1">
        <f t="array" aca="1" ref="BP26" ca="1">SUMPRODUCT((OFFSET($CV$3:$EA$3,MATCH($BD26,$CU$4:$CU$35,0),0))*((IF($BO24=$BO26,$CV$3:$EA$3=$BD24,0))+(IF($BO27=$BO26,$CV$3:$EA$3=$BD27,0))+(IF($BO25=$BO26,$CV$3:$EA$3=$BD25,0))))</f>
        <v>0</v>
      </c>
      <c r="BQ26" s="4" cm="1">
        <f t="array" aca="1" ref="BQ26" ca="1">SUMPRODUCT((OFFSET($ED$3:$FI$3,MATCH($BD26,$EC$4:$EC$35,0),0))*((IF($BO24=$BO26,$ED$3:$FI$3=$BD24,0))+(IF($BO27=$BO26,$ED$3:$FI$3=$BD27,0))+(IF($BO25=$BO26,$ED$3:$FI$3=$BD25,0))))</f>
        <v>0</v>
      </c>
      <c r="BR26" s="4" cm="1">
        <f t="array" aca="1" ref="BR26" ca="1">SUMPRODUCT((OFFSET($FL$3:$GQ$3,MATCH($BD26,$FK$4:$FK$35,0),0))*((IF($BO24=$BO26,$FL$3:$GQ$3=$BD24,0))+(IF($BO27=$BO26,$FL$3:$GQ$3=$BD27,0))+(IF($BO25=$BO26,$FL$3:$GQ$3=$BD25,0))))</f>
        <v>0</v>
      </c>
      <c r="BS26" s="4" cm="1">
        <f t="array" aca="1" ref="BS26" ca="1">SUMPRODUCT((OFFSET($CV$3:$EA$3,MATCH($BD26,$CU$4:$CU$35,0),0))*((IF($BO24&lt;&gt;$BO26,$CV$3:$EA$3=$BD24,0))+(IF($BO27&lt;&gt;$BO26,$CV$3:$EA$3=$BD27,0))+(IF($BO25&lt;&gt;$BO26,$CV$3:$EA$3=$BD25,0))))</f>
        <v>0</v>
      </c>
      <c r="BT26" s="4" cm="1">
        <f t="array" aca="1" ref="BT26" ca="1">SUMPRODUCT((OFFSET($ED$3:$FI$3,MATCH($BD26,$EC$4:$EC$35,0),0))*((IF($BO24&lt;&gt;$BO26,$ED$3:$FI$3=$BD24,0))+(IF($BO27&lt;&gt;$BO26,$ED$3:$FI$3=$BD27,0))+(IF($BO25&lt;&gt;$BO26,$ED$3:$FI$3=$BD25,0))))</f>
        <v>0</v>
      </c>
      <c r="BU26" s="4" cm="1">
        <f t="array" aca="1" ref="BU26" ca="1">SUMPRODUCT((OFFSET($FL$3:$GQ$3,MATCH($BD26,$FK$4:$FK$35,0),0))*((IF($BO24&lt;&gt;$BO26,$FL$3:$GQ$3=$BD24,0))+(IF($BO27&lt;&gt;$BO26,$FL$3:$GQ$3=$BD27,0))+(IF($BO25&lt;&gt;$BO26,$FL$3:$GQ$3=$BD25,0))))</f>
        <v>0</v>
      </c>
      <c r="BV26" s="4">
        <f>BK26</f>
        <v>0</v>
      </c>
      <c r="BW26" s="4">
        <f>BI26</f>
        <v>0</v>
      </c>
      <c r="BX26" s="4">
        <f ca="1">(BP26/10)+(BQ26/100)+(BR26/1000)+(BT26/10000)+(BU26/100000)+(BV26/1000000)+(BW26/10000000)+(ROW(BS25)/100000000)</f>
        <v>2.4999999999999999E-7</v>
      </c>
      <c r="BY26" s="4">
        <f ca="1">+BO26-BX26</f>
        <v>0.99999974999999997</v>
      </c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U26" s="4" t="s">
        <v>30</v>
      </c>
      <c r="CV26" s="56">
        <f>SUMIFS(tblActuals35415[Team 2 Points],tblActuals35415[Team 2],$CU26,tblActuals35415[Team 1],CV$3)+SUMIFS(tblActuals35415[Team 1 Points],tblActuals35415[Team 1],$CU26,tblActuals35415[Team 2],CV$3)</f>
        <v>0</v>
      </c>
      <c r="CW26" s="56">
        <f>SUMIFS(tblActuals35415[Team 2 Points],tblActuals35415[Team 2],$CU26,tblActuals35415[Team 1],CW$3)+SUMIFS(tblActuals35415[Team 1 Points],tblActuals35415[Team 1],$CU26,tblActuals35415[Team 2],CW$3)</f>
        <v>0</v>
      </c>
      <c r="CX26" s="56">
        <f>SUMIFS(tblActuals35415[Team 2 Points],tblActuals35415[Team 2],$CU26,tblActuals35415[Team 1],CX$3)+SUMIFS(tblActuals35415[Team 1 Points],tblActuals35415[Team 1],$CU26,tblActuals35415[Team 2],CX$3)</f>
        <v>0</v>
      </c>
      <c r="CY26" s="56">
        <f>SUMIFS(tblActuals35415[Team 2 Points],tblActuals35415[Team 2],$CU26,tblActuals35415[Team 1],CY$3)+SUMIFS(tblActuals35415[Team 1 Points],tblActuals35415[Team 1],$CU26,tblActuals35415[Team 2],CY$3)</f>
        <v>0</v>
      </c>
      <c r="CZ26" s="56">
        <f>SUMIFS(tblActuals35415[Team 2 Points],tblActuals35415[Team 2],$CU26,tblActuals35415[Team 1],CZ$3)+SUMIFS(tblActuals35415[Team 1 Points],tblActuals35415[Team 1],$CU26,tblActuals35415[Team 2],CZ$3)</f>
        <v>0</v>
      </c>
      <c r="DA26" s="56">
        <f>SUMIFS(tblActuals35415[Team 2 Points],tblActuals35415[Team 2],$CU26,tblActuals35415[Team 1],DA$3)+SUMIFS(tblActuals35415[Team 1 Points],tblActuals35415[Team 1],$CU26,tblActuals35415[Team 2],DA$3)</f>
        <v>0</v>
      </c>
      <c r="DB26" s="56">
        <f>SUMIFS(tblActuals35415[Team 2 Points],tblActuals35415[Team 2],$CU26,tblActuals35415[Team 1],DB$3)+SUMIFS(tblActuals35415[Team 1 Points],tblActuals35415[Team 1],$CU26,tblActuals35415[Team 2],DB$3)</f>
        <v>0</v>
      </c>
      <c r="DC26" s="56">
        <f>SUMIFS(tblActuals35415[Team 2 Points],tblActuals35415[Team 2],$CU26,tblActuals35415[Team 1],DC$3)+SUMIFS(tblActuals35415[Team 1 Points],tblActuals35415[Team 1],$CU26,tblActuals35415[Team 2],DC$3)</f>
        <v>0</v>
      </c>
      <c r="DD26" s="56">
        <f>SUMIFS(tblActuals35415[Team 2 Points],tblActuals35415[Team 2],$CU26,tblActuals35415[Team 1],DD$3)+SUMIFS(tblActuals35415[Team 1 Points],tblActuals35415[Team 1],$CU26,tblActuals35415[Team 2],DD$3)</f>
        <v>0</v>
      </c>
      <c r="DE26" s="56">
        <f>SUMIFS(tblActuals35415[Team 2 Points],tblActuals35415[Team 2],$CU26,tblActuals35415[Team 1],DE$3)+SUMIFS(tblActuals35415[Team 1 Points],tblActuals35415[Team 1],$CU26,tblActuals35415[Team 2],DE$3)</f>
        <v>0</v>
      </c>
      <c r="DF26" s="56">
        <f>SUMIFS(tblActuals35415[Team 2 Points],tblActuals35415[Team 2],$CU26,tblActuals35415[Team 1],DF$3)+SUMIFS(tblActuals35415[Team 1 Points],tblActuals35415[Team 1],$CU26,tblActuals35415[Team 2],DF$3)</f>
        <v>0</v>
      </c>
      <c r="DG26" s="56">
        <f>SUMIFS(tblActuals35415[Team 2 Points],tblActuals35415[Team 2],$CU26,tblActuals35415[Team 1],DG$3)+SUMIFS(tblActuals35415[Team 1 Points],tblActuals35415[Team 1],$CU26,tblActuals35415[Team 2],DG$3)</f>
        <v>0</v>
      </c>
      <c r="DH26" s="56">
        <f>SUMIFS(tblActuals35415[Team 2 Points],tblActuals35415[Team 2],$CU26,tblActuals35415[Team 1],DH$3)+SUMIFS(tblActuals35415[Team 1 Points],tblActuals35415[Team 1],$CU26,tblActuals35415[Team 2],DH$3)</f>
        <v>0</v>
      </c>
      <c r="DI26" s="56">
        <f>SUMIFS(tblActuals35415[Team 2 Points],tblActuals35415[Team 2],$CU26,tblActuals35415[Team 1],DI$3)+SUMIFS(tblActuals35415[Team 1 Points],tblActuals35415[Team 1],$CU26,tblActuals35415[Team 2],DI$3)</f>
        <v>0</v>
      </c>
      <c r="DJ26" s="56">
        <f>SUMIFS(tblActuals35415[Team 2 Points],tblActuals35415[Team 2],$CU26,tblActuals35415[Team 1],DJ$3)+SUMIFS(tblActuals35415[Team 1 Points],tblActuals35415[Team 1],$CU26,tblActuals35415[Team 2],DJ$3)</f>
        <v>0</v>
      </c>
      <c r="DK26" s="56">
        <f>SUMIFS(tblActuals35415[Team 2 Points],tblActuals35415[Team 2],$CU26,tblActuals35415[Team 1],DK$3)+SUMIFS(tblActuals35415[Team 1 Points],tblActuals35415[Team 1],$CU26,tblActuals35415[Team 2],DK$3)</f>
        <v>0</v>
      </c>
      <c r="DL26" s="56">
        <f>SUMIFS(tblActuals35415[Team 2 Points],tblActuals35415[Team 2],$CU26,tblActuals35415[Team 1],DL$3)+SUMIFS(tblActuals35415[Team 1 Points],tblActuals35415[Team 1],$CU26,tblActuals35415[Team 2],DL$3)</f>
        <v>0</v>
      </c>
      <c r="DM26" s="56">
        <f>SUMIFS(tblActuals35415[Team 2 Points],tblActuals35415[Team 2],$CU26,tblActuals35415[Team 1],DM$3)+SUMIFS(tblActuals35415[Team 1 Points],tblActuals35415[Team 1],$CU26,tblActuals35415[Team 2],DM$3)</f>
        <v>0</v>
      </c>
      <c r="DN26" s="56">
        <f>SUMIFS(tblActuals35415[Team 2 Points],tblActuals35415[Team 2],$CU26,tblActuals35415[Team 1],DN$3)+SUMIFS(tblActuals35415[Team 1 Points],tblActuals35415[Team 1],$CU26,tblActuals35415[Team 2],DN$3)</f>
        <v>0</v>
      </c>
      <c r="DO26" s="56">
        <f>SUMIFS(tblActuals35415[Team 2 Points],tblActuals35415[Team 2],$CU26,tblActuals35415[Team 1],DO$3)+SUMIFS(tblActuals35415[Team 1 Points],tblActuals35415[Team 1],$CU26,tblActuals35415[Team 2],DO$3)</f>
        <v>0</v>
      </c>
      <c r="DP26" s="56">
        <f>SUMIFS(tblActuals35415[Team 2 Points],tblActuals35415[Team 2],$CU26,tblActuals35415[Team 1],DP$3)+SUMIFS(tblActuals35415[Team 1 Points],tblActuals35415[Team 1],$CU26,tblActuals35415[Team 2],DP$3)</f>
        <v>0</v>
      </c>
      <c r="DQ26" s="56">
        <f>SUMIFS(tblActuals35415[Team 2 Points],tblActuals35415[Team 2],$CU26,tblActuals35415[Team 1],DQ$3)+SUMIFS(tblActuals35415[Team 1 Points],tblActuals35415[Team 1],$CU26,tblActuals35415[Team 2],DQ$3)</f>
        <v>0</v>
      </c>
      <c r="DR26" s="56">
        <f>SUMIFS(tblActuals35415[Team 2 Points],tblActuals35415[Team 2],$CU26,tblActuals35415[Team 1],DR$3)+SUMIFS(tblActuals35415[Team 1 Points],tblActuals35415[Team 1],$CU26,tblActuals35415[Team 2],DR$3)</f>
        <v>0</v>
      </c>
      <c r="DS26" s="56">
        <f>SUMIFS(tblActuals35415[Team 2 Points],tblActuals35415[Team 2],$CU26,tblActuals35415[Team 1],DS$3)+SUMIFS(tblActuals35415[Team 1 Points],tblActuals35415[Team 1],$CU26,tblActuals35415[Team 2],DS$3)</f>
        <v>0</v>
      </c>
      <c r="DT26" s="57"/>
      <c r="DU26" s="57"/>
      <c r="DV26" s="57"/>
      <c r="DW26" s="57"/>
      <c r="DX26" s="57"/>
      <c r="DY26" s="57"/>
      <c r="DZ26" s="57"/>
      <c r="EA26" s="57"/>
      <c r="EB26" s="4"/>
      <c r="EC26" s="4" t="s">
        <v>30</v>
      </c>
      <c r="ED26" s="56">
        <f>SUMIFS(tblActuals35415[Team 2 GD],tblActuals35415[Team 2],$CU26,tblActuals35415[Team 1],ED$3)+SUMIFS(tblActuals35415[Team 1 GD],tblActuals35415[Team 1],$CU26,tblActuals35415[Team 2],ED$3)</f>
        <v>0</v>
      </c>
      <c r="EE26" s="56">
        <f>SUMIFS(tblActuals35415[Team 2 GD],tblActuals35415[Team 2],$CU26,tblActuals35415[Team 1],EE$3)+SUMIFS(tblActuals35415[Team 1 GD],tblActuals35415[Team 1],$CU26,tblActuals35415[Team 2],EE$3)</f>
        <v>0</v>
      </c>
      <c r="EF26" s="56">
        <f>SUMIFS(tblActuals35415[Team 2 GD],tblActuals35415[Team 2],$CU26,tblActuals35415[Team 1],EF$3)+SUMIFS(tblActuals35415[Team 1 GD],tblActuals35415[Team 1],$CU26,tblActuals35415[Team 2],EF$3)</f>
        <v>0</v>
      </c>
      <c r="EG26" s="56">
        <f>SUMIFS(tblActuals35415[Team 2 GD],tblActuals35415[Team 2],$CU26,tblActuals35415[Team 1],EG$3)+SUMIFS(tblActuals35415[Team 1 GD],tblActuals35415[Team 1],$CU26,tblActuals35415[Team 2],EG$3)</f>
        <v>0</v>
      </c>
      <c r="EH26" s="56">
        <f>SUMIFS(tblActuals35415[Team 2 GD],tblActuals35415[Team 2],$CU26,tblActuals35415[Team 1],EH$3)+SUMIFS(tblActuals35415[Team 1 GD],tblActuals35415[Team 1],$CU26,tblActuals35415[Team 2],EH$3)</f>
        <v>0</v>
      </c>
      <c r="EI26" s="56">
        <f>SUMIFS(tblActuals35415[Team 2 GD],tblActuals35415[Team 2],$CU26,tblActuals35415[Team 1],EI$3)+SUMIFS(tblActuals35415[Team 1 GD],tblActuals35415[Team 1],$CU26,tblActuals35415[Team 2],EI$3)</f>
        <v>0</v>
      </c>
      <c r="EJ26" s="56">
        <f>SUMIFS(tblActuals35415[Team 2 GD],tblActuals35415[Team 2],$CU26,tblActuals35415[Team 1],EJ$3)+SUMIFS(tblActuals35415[Team 1 GD],tblActuals35415[Team 1],$CU26,tblActuals35415[Team 2],EJ$3)</f>
        <v>0</v>
      </c>
      <c r="EK26" s="56">
        <f>SUMIFS(tblActuals35415[Team 2 GD],tblActuals35415[Team 2],$CU26,tblActuals35415[Team 1],EK$3)+SUMIFS(tblActuals35415[Team 1 GD],tblActuals35415[Team 1],$CU26,tblActuals35415[Team 2],EK$3)</f>
        <v>0</v>
      </c>
      <c r="EL26" s="56">
        <f>SUMIFS(tblActuals35415[Team 2 GD],tblActuals35415[Team 2],$CU26,tblActuals35415[Team 1],EL$3)+SUMIFS(tblActuals35415[Team 1 GD],tblActuals35415[Team 1],$CU26,tblActuals35415[Team 2],EL$3)</f>
        <v>0</v>
      </c>
      <c r="EM26" s="56">
        <f>SUMIFS(tblActuals35415[Team 2 GD],tblActuals35415[Team 2],$CU26,tblActuals35415[Team 1],EM$3)+SUMIFS(tblActuals35415[Team 1 GD],tblActuals35415[Team 1],$CU26,tblActuals35415[Team 2],EM$3)</f>
        <v>0</v>
      </c>
      <c r="EN26" s="56">
        <f>SUMIFS(tblActuals35415[Team 2 GD],tblActuals35415[Team 2],$CU26,tblActuals35415[Team 1],EN$3)+SUMIFS(tblActuals35415[Team 1 GD],tblActuals35415[Team 1],$CU26,tblActuals35415[Team 2],EN$3)</f>
        <v>0</v>
      </c>
      <c r="EO26" s="56">
        <f>SUMIFS(tblActuals35415[Team 2 GD],tblActuals35415[Team 2],$CU26,tblActuals35415[Team 1],EO$3)+SUMIFS(tblActuals35415[Team 1 GD],tblActuals35415[Team 1],$CU26,tblActuals35415[Team 2],EO$3)</f>
        <v>0</v>
      </c>
      <c r="EP26" s="56">
        <f>SUMIFS(tblActuals35415[Team 2 GD],tblActuals35415[Team 2],$CU26,tblActuals35415[Team 1],EP$3)+SUMIFS(tblActuals35415[Team 1 GD],tblActuals35415[Team 1],$CU26,tblActuals35415[Team 2],EP$3)</f>
        <v>0</v>
      </c>
      <c r="EQ26" s="56">
        <f>SUMIFS(tblActuals35415[Team 2 GD],tblActuals35415[Team 2],$CU26,tblActuals35415[Team 1],EQ$3)+SUMIFS(tblActuals35415[Team 1 GD],tblActuals35415[Team 1],$CU26,tblActuals35415[Team 2],EQ$3)</f>
        <v>0</v>
      </c>
      <c r="ER26" s="56">
        <f>SUMIFS(tblActuals35415[Team 2 GD],tblActuals35415[Team 2],$CU26,tblActuals35415[Team 1],ER$3)+SUMIFS(tblActuals35415[Team 1 GD],tblActuals35415[Team 1],$CU26,tblActuals35415[Team 2],ER$3)</f>
        <v>0</v>
      </c>
      <c r="ES26" s="56">
        <f>SUMIFS(tblActuals35415[Team 2 GD],tblActuals35415[Team 2],$CU26,tblActuals35415[Team 1],ES$3)+SUMIFS(tblActuals35415[Team 1 GD],tblActuals35415[Team 1],$CU26,tblActuals35415[Team 2],ES$3)</f>
        <v>0</v>
      </c>
      <c r="ET26" s="56">
        <f>SUMIFS(tblActuals35415[Team 2 GD],tblActuals35415[Team 2],$CU26,tblActuals35415[Team 1],ET$3)+SUMIFS(tblActuals35415[Team 1 GD],tblActuals35415[Team 1],$CU26,tblActuals35415[Team 2],ET$3)</f>
        <v>0</v>
      </c>
      <c r="EU26" s="56">
        <f>SUMIFS(tblActuals35415[Team 2 GD],tblActuals35415[Team 2],$CU26,tblActuals35415[Team 1],EU$3)+SUMIFS(tblActuals35415[Team 1 GD],tblActuals35415[Team 1],$CU26,tblActuals35415[Team 2],EU$3)</f>
        <v>0</v>
      </c>
      <c r="EV26" s="56">
        <f>SUMIFS(tblActuals35415[Team 2 GD],tblActuals35415[Team 2],$CU26,tblActuals35415[Team 1],EV$3)+SUMIFS(tblActuals35415[Team 1 GD],tblActuals35415[Team 1],$CU26,tblActuals35415[Team 2],EV$3)</f>
        <v>0</v>
      </c>
      <c r="EW26" s="56">
        <f>SUMIFS(tblActuals35415[Team 2 GD],tblActuals35415[Team 2],$CU26,tblActuals35415[Team 1],EW$3)+SUMIFS(tblActuals35415[Team 1 GD],tblActuals35415[Team 1],$CU26,tblActuals35415[Team 2],EW$3)</f>
        <v>0</v>
      </c>
      <c r="EX26" s="56">
        <f>SUMIFS(tblActuals35415[Team 2 GD],tblActuals35415[Team 2],$CU26,tblActuals35415[Team 1],EX$3)+SUMIFS(tblActuals35415[Team 1 GD],tblActuals35415[Team 1],$CU26,tblActuals35415[Team 2],EX$3)</f>
        <v>0</v>
      </c>
      <c r="EY26" s="56">
        <f>SUMIFS(tblActuals35415[Team 2 GD],tblActuals35415[Team 2],$CU26,tblActuals35415[Team 1],EY$3)+SUMIFS(tblActuals35415[Team 1 GD],tblActuals35415[Team 1],$CU26,tblActuals35415[Team 2],EY$3)</f>
        <v>0</v>
      </c>
      <c r="EZ26" s="56">
        <f>SUMIFS(tblActuals35415[Team 2 GD],tblActuals35415[Team 2],$CU26,tblActuals35415[Team 1],EZ$3)+SUMIFS(tblActuals35415[Team 1 GD],tblActuals35415[Team 1],$CU26,tblActuals35415[Team 2],EZ$3)</f>
        <v>0</v>
      </c>
      <c r="FA26" s="56">
        <f>SUMIFS(tblActuals35415[Team 2 GD],tblActuals35415[Team 2],$CU26,tblActuals35415[Team 1],FA$3)+SUMIFS(tblActuals35415[Team 1 GD],tblActuals35415[Team 1],$CU26,tblActuals35415[Team 2],FA$3)</f>
        <v>0</v>
      </c>
      <c r="FB26" s="57"/>
      <c r="FC26" s="57"/>
      <c r="FD26" s="57"/>
      <c r="FE26" s="57"/>
      <c r="FF26" s="57"/>
      <c r="FG26" s="57"/>
      <c r="FH26" s="57"/>
      <c r="FI26" s="57"/>
      <c r="FJ26" s="4"/>
      <c r="FK26" s="4" t="s">
        <v>30</v>
      </c>
      <c r="FL26" s="56">
        <f>SUMIFS(tblActuals35415[Team 2 Goals],tblActuals35415[Team 2],$CU26,tblActuals35415[Team 1],FL$3)+SUMIFS(tblActuals35415[Team 1 Goals],tblActuals35415[Team 1],$CU26,tblActuals35415[Team 2],FL$3)</f>
        <v>0</v>
      </c>
      <c r="FM26" s="56">
        <f>SUMIFS(tblActuals35415[Team 2 Goals],tblActuals35415[Team 2],$CU26,tblActuals35415[Team 1],FM$3)+SUMIFS(tblActuals35415[Team 1 Goals],tblActuals35415[Team 1],$CU26,tblActuals35415[Team 2],FM$3)</f>
        <v>0</v>
      </c>
      <c r="FN26" s="56">
        <f>SUMIFS(tblActuals35415[Team 2 Goals],tblActuals35415[Team 2],$CU26,tblActuals35415[Team 1],FN$3)+SUMIFS(tblActuals35415[Team 1 Goals],tblActuals35415[Team 1],$CU26,tblActuals35415[Team 2],FN$3)</f>
        <v>0</v>
      </c>
      <c r="FO26" s="56">
        <f>SUMIFS(tblActuals35415[Team 2 Goals],tblActuals35415[Team 2],$CU26,tblActuals35415[Team 1],FO$3)+SUMIFS(tblActuals35415[Team 1 Goals],tblActuals35415[Team 1],$CU26,tblActuals35415[Team 2],FO$3)</f>
        <v>0</v>
      </c>
      <c r="FP26" s="56">
        <f>SUMIFS(tblActuals35415[Team 2 Goals],tblActuals35415[Team 2],$CU26,tblActuals35415[Team 1],FP$3)+SUMIFS(tblActuals35415[Team 1 Goals],tblActuals35415[Team 1],$CU26,tblActuals35415[Team 2],FP$3)</f>
        <v>0</v>
      </c>
      <c r="FQ26" s="56">
        <f>SUMIFS(tblActuals35415[Team 2 Goals],tblActuals35415[Team 2],$CU26,tblActuals35415[Team 1],FQ$3)+SUMIFS(tblActuals35415[Team 1 Goals],tblActuals35415[Team 1],$CU26,tblActuals35415[Team 2],FQ$3)</f>
        <v>0</v>
      </c>
      <c r="FR26" s="56">
        <f>SUMIFS(tblActuals35415[Team 2 Goals],tblActuals35415[Team 2],$CU26,tblActuals35415[Team 1],FR$3)+SUMIFS(tblActuals35415[Team 1 Goals],tblActuals35415[Team 1],$CU26,tblActuals35415[Team 2],FR$3)</f>
        <v>0</v>
      </c>
      <c r="FS26" s="56">
        <f>SUMIFS(tblActuals35415[Team 2 Goals],tblActuals35415[Team 2],$CU26,tblActuals35415[Team 1],FS$3)+SUMIFS(tblActuals35415[Team 1 Goals],tblActuals35415[Team 1],$CU26,tblActuals35415[Team 2],FS$3)</f>
        <v>0</v>
      </c>
      <c r="FT26" s="56">
        <f>SUMIFS(tblActuals35415[Team 2 Goals],tblActuals35415[Team 2],$CU26,tblActuals35415[Team 1],FT$3)+SUMIFS(tblActuals35415[Team 1 Goals],tblActuals35415[Team 1],$CU26,tblActuals35415[Team 2],FT$3)</f>
        <v>0</v>
      </c>
      <c r="FU26" s="56">
        <f>SUMIFS(tblActuals35415[Team 2 Goals],tblActuals35415[Team 2],$CU26,tblActuals35415[Team 1],FU$3)+SUMIFS(tblActuals35415[Team 1 Goals],tblActuals35415[Team 1],$CU26,tblActuals35415[Team 2],FU$3)</f>
        <v>0</v>
      </c>
      <c r="FV26" s="56">
        <f>SUMIFS(tblActuals35415[Team 2 Goals],tblActuals35415[Team 2],$CU26,tblActuals35415[Team 1],FV$3)+SUMIFS(tblActuals35415[Team 1 Goals],tblActuals35415[Team 1],$CU26,tblActuals35415[Team 2],FV$3)</f>
        <v>0</v>
      </c>
      <c r="FW26" s="56">
        <f>SUMIFS(tblActuals35415[Team 2 Goals],tblActuals35415[Team 2],$CU26,tblActuals35415[Team 1],FW$3)+SUMIFS(tblActuals35415[Team 1 Goals],tblActuals35415[Team 1],$CU26,tblActuals35415[Team 2],FW$3)</f>
        <v>0</v>
      </c>
      <c r="FX26" s="56">
        <f>SUMIFS(tblActuals35415[Team 2 Goals],tblActuals35415[Team 2],$CU26,tblActuals35415[Team 1],FX$3)+SUMIFS(tblActuals35415[Team 1 Goals],tblActuals35415[Team 1],$CU26,tblActuals35415[Team 2],FX$3)</f>
        <v>0</v>
      </c>
      <c r="FY26" s="56">
        <f>SUMIFS(tblActuals35415[Team 2 Goals],tblActuals35415[Team 2],$CU26,tblActuals35415[Team 1],FY$3)+SUMIFS(tblActuals35415[Team 1 Goals],tblActuals35415[Team 1],$CU26,tblActuals35415[Team 2],FY$3)</f>
        <v>0</v>
      </c>
      <c r="FZ26" s="56">
        <f>SUMIFS(tblActuals35415[Team 2 Goals],tblActuals35415[Team 2],$CU26,tblActuals35415[Team 1],FZ$3)+SUMIFS(tblActuals35415[Team 1 Goals],tblActuals35415[Team 1],$CU26,tblActuals35415[Team 2],FZ$3)</f>
        <v>0</v>
      </c>
      <c r="GA26" s="56">
        <f>SUMIFS(tblActuals35415[Team 2 Goals],tblActuals35415[Team 2],$CU26,tblActuals35415[Team 1],GA$3)+SUMIFS(tblActuals35415[Team 1 Goals],tblActuals35415[Team 1],$CU26,tblActuals35415[Team 2],GA$3)</f>
        <v>0</v>
      </c>
      <c r="GB26" s="56">
        <f>SUMIFS(tblActuals35415[Team 2 Goals],tblActuals35415[Team 2],$CU26,tblActuals35415[Team 1],GB$3)+SUMIFS(tblActuals35415[Team 1 Goals],tblActuals35415[Team 1],$CU26,tblActuals35415[Team 2],GB$3)</f>
        <v>0</v>
      </c>
      <c r="GC26" s="56">
        <f>SUMIFS(tblActuals35415[Team 2 Goals],tblActuals35415[Team 2],$CU26,tblActuals35415[Team 1],GC$3)+SUMIFS(tblActuals35415[Team 1 Goals],tblActuals35415[Team 1],$CU26,tblActuals35415[Team 2],GC$3)</f>
        <v>0</v>
      </c>
      <c r="GD26" s="56">
        <f>SUMIFS(tblActuals35415[Team 2 Goals],tblActuals35415[Team 2],$CU26,tblActuals35415[Team 1],GD$3)+SUMIFS(tblActuals35415[Team 1 Goals],tblActuals35415[Team 1],$CU26,tblActuals35415[Team 2],GD$3)</f>
        <v>0</v>
      </c>
      <c r="GE26" s="56">
        <f>SUMIFS(tblActuals35415[Team 2 Goals],tblActuals35415[Team 2],$CU26,tblActuals35415[Team 1],GE$3)+SUMIFS(tblActuals35415[Team 1 Goals],tblActuals35415[Team 1],$CU26,tblActuals35415[Team 2],GE$3)</f>
        <v>0</v>
      </c>
      <c r="GF26" s="56">
        <f>SUMIFS(tblActuals35415[Team 2 Goals],tblActuals35415[Team 2],$CU26,tblActuals35415[Team 1],GF$3)+SUMIFS(tblActuals35415[Team 1 Goals],tblActuals35415[Team 1],$CU26,tblActuals35415[Team 2],GF$3)</f>
        <v>0</v>
      </c>
      <c r="GG26" s="56">
        <f>SUMIFS(tblActuals35415[Team 2 Goals],tblActuals35415[Team 2],$CU26,tblActuals35415[Team 1],GG$3)+SUMIFS(tblActuals35415[Team 1 Goals],tblActuals35415[Team 1],$CU26,tblActuals35415[Team 2],GG$3)</f>
        <v>0</v>
      </c>
      <c r="GH26" s="56">
        <f>SUMIFS(tblActuals35415[Team 2 Goals],tblActuals35415[Team 2],$CU26,tblActuals35415[Team 1],GH$3)+SUMIFS(tblActuals35415[Team 1 Goals],tblActuals35415[Team 1],$CU26,tblActuals35415[Team 2],GH$3)</f>
        <v>0</v>
      </c>
      <c r="GI26" s="56">
        <f>SUMIFS(tblActuals35415[Team 2 Goals],tblActuals35415[Team 2],$CU26,tblActuals35415[Team 1],GI$3)+SUMIFS(tblActuals35415[Team 1 Goals],tblActuals35415[Team 1],$CU26,tblActuals35415[Team 2],GI$3)</f>
        <v>0</v>
      </c>
      <c r="GJ26" s="57"/>
      <c r="GK26" s="57"/>
      <c r="GL26" s="37"/>
      <c r="GM26" s="37"/>
      <c r="GN26" s="37"/>
      <c r="GO26" s="37"/>
      <c r="GP26" s="37"/>
      <c r="GQ26" s="37"/>
      <c r="GR26" s="75"/>
      <c r="GS26" s="148"/>
      <c r="GT26" s="148"/>
      <c r="GU26" s="75"/>
      <c r="GV26" s="75"/>
      <c r="GW26" s="75"/>
      <c r="GX26" s="75"/>
      <c r="GY26" s="75"/>
      <c r="GZ26" s="75"/>
    </row>
    <row r="27" spans="1:221" s="11" customFormat="1" ht="30" customHeight="1" thickBot="1" x14ac:dyDescent="0.3">
      <c r="A27" s="20"/>
      <c r="B27" s="122">
        <v>24</v>
      </c>
      <c r="C27" s="122" t="s">
        <v>45</v>
      </c>
      <c r="D27" s="123">
        <v>45465</v>
      </c>
      <c r="E27" s="122" t="s">
        <v>84</v>
      </c>
      <c r="F27" s="124">
        <v>0.625</v>
      </c>
      <c r="G27" s="125">
        <f t="shared" si="11"/>
        <v>45465.375</v>
      </c>
      <c r="H27" s="122" t="s">
        <v>112</v>
      </c>
      <c r="I27" s="126"/>
      <c r="J27" s="118"/>
      <c r="K27" s="118"/>
      <c r="L27" s="174">
        <f>IF(I27="",0,IFERROR(IF(SCORING.RULES!$C$8="No",1,((VLOOKUP($B27,ACTUALS!$B$4:$L$100,7,FALSE)=$H27)+(VLOOKUP($B27,ACTUALS!$B$4:$L$100,7,FALSE)=S27)))*(M27+N27+O27+P27+Q27),0))+$R27</f>
        <v>0</v>
      </c>
      <c r="M27" s="168">
        <f>IFERROR(IF($B27="","",IF(U27=INDEX(ACTUALS!$AA$4:$AA$100,MATCH($B27,ACTUALS!$B$4:$B$100,0),1),CorrectScore,0)),0)</f>
        <v>0</v>
      </c>
      <c r="N27" s="157" t="str">
        <f>IFERROR(IF(I27="","",IF(INDEX(ACTUALS!$AB$4:$AB$100,MATCH($B27,ACTUALS!$B$4:$B$100,0),1)=(AB27+AC27+AH27+AI27),CorrectNumberofGoals,0)),0)</f>
        <v/>
      </c>
      <c r="O27" s="157"/>
      <c r="P27" s="157">
        <f>IFERROR(IF(B27="","",IF(INDEX(ACTUALS!$L$4:$L$100,MATCH($B27,ACTUALS!$B$4:$B$100,0),1)=W27,CorrectResult,0)),0)</f>
        <v>3</v>
      </c>
      <c r="Q27" s="157"/>
      <c r="R27" s="157"/>
      <c r="S27" s="157" t="str">
        <f t="shared" si="0"/>
        <v/>
      </c>
      <c r="T27" s="157"/>
      <c r="U27" s="157" t="str">
        <f t="shared" si="1"/>
        <v/>
      </c>
      <c r="V27" s="157" t="str">
        <f t="shared" si="2"/>
        <v/>
      </c>
      <c r="W27" s="119" t="str">
        <f>IF(tblActuals35415[[#This Row],[SCORE]]="","",IF(AB27=AC27,"Draw",IF(AB27&gt;AC27,X27,Y27)))</f>
        <v/>
      </c>
      <c r="X27" s="120" t="str">
        <f>IF(tblActuals35415[[#This Row],[TEAMS]]="","",LEFT(H27,FIND(" -",H27,1)-1))</f>
        <v>Georgia</v>
      </c>
      <c r="Y27" s="120" t="str">
        <f>IF(tblActuals35415[[#This Row],[TEAMS]]="","",MID(H27,FIND("-",H27,1)+2,LEN(H27)-FIND("-",H27,1)+2))</f>
        <v>Czechia</v>
      </c>
      <c r="Z27" s="120" t="str">
        <f>IF(tblActuals35415[[#This Row],[Team 1 Goals]]&gt;tblActuals35415[[#This Row],[Team 2 Goals]],tblActuals35415[[#This Row],[Team 1]],IF(tblActuals35415[[#This Row],[Team 2 Goals]]&gt;tblActuals35415[[#This Row],[Team 1 Goals]],tblActuals35415[[#This Row],[Team 2]],""))</f>
        <v/>
      </c>
      <c r="AA27" s="120" t="str">
        <f>IF(tblActuals35415[[#This Row],[Winner]]=tblActuals35415[[#This Row],[Team 1]],tblActuals35415[[#This Row],[Team 2]],IF(tblActuals35415[[#This Row],[Winner]]=tblActuals35415[[#This Row],[Team 2]],tblActuals35415[[#This Row],[Team 1]],""))</f>
        <v/>
      </c>
      <c r="AB27" s="120" t="str">
        <f>IF(tblActuals35415[[#This Row],[SCORE]]="","",LEFT(I27,FIND(":",I27,1)-1)*1)</f>
        <v/>
      </c>
      <c r="AC27" s="120" t="str">
        <f>IF(tblActuals35415[[#This Row],[SCORE]]="","",MID(I27,FIND(":",I27,1)+1,LEN(I27)-FIND(":",I27,1)+1)*1)</f>
        <v/>
      </c>
      <c r="AD27" s="120" t="str">
        <f>IF(OR(tblActuals35415[[#This Row],[Team 1 Goals]]="",tblActuals35415[[#This Row],[Team 2 Goals]]=""),"",tblActuals35415[[#This Row],[Team 1 Goals]]-tblActuals35415[[#This Row],[Team 2 Goals]])</f>
        <v/>
      </c>
      <c r="AE27" s="120" t="str">
        <f>IF(OR(tblActuals35415[[#This Row],[Team 1 Goals]]="",tblActuals35415[[#This Row],[Team 2 Goals]]=""),"",tblActuals35415[[#This Row],[Team 2 Goals]]-tblActuals35415[[#This Row],[Team 1 Goals]])</f>
        <v/>
      </c>
      <c r="AF27" s="120" t="str">
        <f>IF(tblActuals35415[[#This Row],[SCORE]]="","",IF(tblActuals35415[[#This Row],[WINNER / RESULT]]="Draw",1,IF(tblActuals35415[[#This Row],[WINNER / RESULT]]=tblActuals35415[[#This Row],[Team 1]],3,0)))</f>
        <v/>
      </c>
      <c r="AG27" s="120" t="str">
        <f>IF(tblActuals35415[[#This Row],[SCORE]]="","",IF(tblActuals35415[[#This Row],[WINNER / RESULT]]="Draw",1,IF(tblActuals35415[[#This Row],[WINNER / RESULT]]=tblActuals35415[[#This Row],[Team 2]],3,0)))</f>
        <v/>
      </c>
      <c r="AH27" s="121"/>
      <c r="AI27" s="121"/>
      <c r="AJ27" s="121"/>
      <c r="AK27" s="121"/>
      <c r="AL27" s="120" t="e">
        <f>tblActuals35415[[#This Row],[Team 1 Goals]]+tblActuals35415[[#This Row],[Team 1 ET Goals]]&amp;":"&amp;tblActuals35415[[#This Row],[Team 2 Goals]]+tblActuals35415[[#This Row],[Team 2 ET Goals]]</f>
        <v>#VALUE!</v>
      </c>
      <c r="AM27" s="120" t="e">
        <f>+tblActuals35415[[#This Row],[Team 1 Goals]]+tblActuals35415[[#This Row],[Team 2 Goals]]</f>
        <v>#VALUE!</v>
      </c>
      <c r="AN27" s="161">
        <f t="shared" si="3"/>
        <v>45465</v>
      </c>
      <c r="AT27" s="77" t="s">
        <v>7</v>
      </c>
      <c r="AU27" s="145">
        <v>4</v>
      </c>
      <c r="AV27" s="146" t="str">
        <f ca="1">IFERROR(INDEX(BD:BD,MATCH("4"&amp;AT27,BN:BN,0),1),"")</f>
        <v>Poland</v>
      </c>
      <c r="AW27" s="146" t="str">
        <f ca="1">IF(AV27="","",VLOOKUP(AV27,BD:BI,2,FALSE)&amp;"-"&amp;VLOOKUP(AV27,BD:BI,3,FALSE)&amp;"-"&amp;VLOOKUP(AV27,BD:BI,4,FALSE))</f>
        <v>0-0-0</v>
      </c>
      <c r="AX27" s="146">
        <f ca="1">IF(AV27="","",VLOOKUP(AV27,BD:BK,8,FALSE))</f>
        <v>0</v>
      </c>
      <c r="AY27" s="147">
        <f ca="1">IF(AV27="","",VLOOKUP(AV27,BD:BN,5,FALSE))</f>
        <v>0</v>
      </c>
      <c r="AZ27" s="75"/>
      <c r="BA27" s="4"/>
      <c r="BB27" s="4"/>
      <c r="BC27" s="4" t="s">
        <v>12</v>
      </c>
      <c r="BD27" s="4" t="s">
        <v>132</v>
      </c>
      <c r="BE27" s="4">
        <f>COUNTIF(tblActuals35415[Winner],BD27)</f>
        <v>0</v>
      </c>
      <c r="BF27" s="4">
        <f>COUNTIFS(tblActuals35415[Team 2],BD27,tblActuals35415[WINNER / RESULT],"Draw")+COUNTIFS(tblActuals35415[Team 1],BD27,tblActuals35415[WINNER / RESULT],"Draw")</f>
        <v>0</v>
      </c>
      <c r="BG27" s="4">
        <f>COUNTIF(tblActuals35415[Loser],BD27)</f>
        <v>0</v>
      </c>
      <c r="BH27" s="4">
        <f>BF27+(3*BE27)</f>
        <v>0</v>
      </c>
      <c r="BI27" s="4">
        <f>SUMIFS(tblActuals35415[Team 1 Goals],tblActuals35415[Team 1],BD27)+SUMIFS(tblActuals35415[Team 2 Goals],tblActuals35415[Team 2],BD27)</f>
        <v>0</v>
      </c>
      <c r="BJ27" s="4">
        <f>SUMIFS(tblActuals35415[Team 2 Goals],tblActuals35415[Team 1],BD27)+SUMIFS(tblActuals35415[Team 1 Goals],tblActuals35415[Team 2],BD27)</f>
        <v>0</v>
      </c>
      <c r="BK27" s="4">
        <f>BI27-BJ27</f>
        <v>0</v>
      </c>
      <c r="BL27" s="4">
        <f ca="1">RANK(BY27,$BY$24:$BY$27,1)</f>
        <v>4</v>
      </c>
      <c r="BM27" s="4" t="str">
        <f t="shared" si="4"/>
        <v/>
      </c>
      <c r="BN27" s="4" t="str">
        <f ca="1">IF(BM27="",BL27&amp;BC27,BM27&amp;BC27)</f>
        <v>4E</v>
      </c>
      <c r="BO27" s="4">
        <f>RANK(BH27,$BH$24:$BH$27,0)</f>
        <v>1</v>
      </c>
      <c r="BP27" s="4" cm="1">
        <f t="array" aca="1" ref="BP27" ca="1">SUMPRODUCT((OFFSET($CV$3:$EA$3,MATCH($BD27,$CU$4:$CU$35,0),0))*((IF($BO25=$BO27,$CV$3:$EA$3=$BD25,0))+(IF($BO24=$BO27,$CV$3:$EA$3=$BD24,0))+(IF($BO26=$BO27,$CV$3:$EA$3=$BD26,0))))</f>
        <v>0</v>
      </c>
      <c r="BQ27" s="4" cm="1">
        <f t="array" aca="1" ref="BQ27" ca="1">SUMPRODUCT((OFFSET($ED$3:$FI$3,MATCH($BD27,$EC$4:$EC$35,0),0))*((IF($BO25=$BO27,$ED$3:$FI$3=$BD25,0))+(IF($BO24=$BO27,$ED$3:$FI$3=$BD24,0))+(IF($BO26=$BO27,$ED$3:$FI$3=$BD26,0))))</f>
        <v>0</v>
      </c>
      <c r="BR27" s="4" cm="1">
        <f t="array" aca="1" ref="BR27" ca="1">SUMPRODUCT((OFFSET($FL$3:$GQ$3,MATCH($BD27,$FK$4:$FK$35,0),0))*((IF($BO25=$BO27,$FL$3:$GQ$3=$BD25,0))+(IF($BO24=$BO27,$FL$3:$GQ$3=$BD24,0))+(IF($BO26=$BO27,$FL$3:$GQ$3=$BD26,0))))</f>
        <v>0</v>
      </c>
      <c r="BS27" s="4" cm="1">
        <f t="array" aca="1" ref="BS27" ca="1">SUMPRODUCT((OFFSET($CV$3:$EA$3,MATCH($BD27,$CU$4:$CU$35,0),0))*((IF($BO25&lt;&gt;$BO27,$CV$3:$EA$3=$BD25,0))+(IF($BO24&lt;&gt;$BO27,$CV$3:$EA$3=$BD24,0))+(IF($BO26&lt;&gt;$BO27,$CV$3:$EA$3=$BD26,0))))</f>
        <v>0</v>
      </c>
      <c r="BT27" s="4" cm="1">
        <f t="array" aca="1" ref="BT27" ca="1">SUMPRODUCT((OFFSET($ED$3:$FI$3,MATCH($BD27,$EC$4:$EC$35,0),0))*((IF($BO25&lt;&gt;$BO27,$ED$3:$FI$3=$BD25,0))+(IF($BO24&lt;&gt;$BO27,$ED$3:$FI$3=$BD24,0))+(IF($BO26&lt;&gt;$BO27,$ED$3:$FI$3=$BD26,0))))</f>
        <v>0</v>
      </c>
      <c r="BU27" s="4" cm="1">
        <f t="array" aca="1" ref="BU27" ca="1">SUMPRODUCT((OFFSET($FL$3:$GQ$3,MATCH($BD27,$FK$4:$FK$35,0),0))*((IF($BO25&lt;&gt;$BO27,$FL$3:$GQ$3=$BD25,0))+(IF($BO24&lt;&gt;$BO27,$FL$3:$GQ$3=$BD24,0))+(IF($BO26&lt;&gt;$BO27,$FL$3:$GQ$3=$BD26,0))))</f>
        <v>0</v>
      </c>
      <c r="BV27" s="4">
        <f>BK27</f>
        <v>0</v>
      </c>
      <c r="BW27" s="4">
        <f>BI27</f>
        <v>0</v>
      </c>
      <c r="BX27" s="4">
        <f ca="1">(BP27/10)+(BQ27/100)+(BR27/1000)+(BT27/10000)+(BU27/100000)+(BV27/1000000)+(BW27/10000000)+(ROW(BS24)/100000000)</f>
        <v>2.3999999999999998E-7</v>
      </c>
      <c r="BY27" s="4">
        <f ca="1">+BO27-BX27</f>
        <v>0.99999976000000002</v>
      </c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U27" s="4" t="s">
        <v>135</v>
      </c>
      <c r="CV27" s="56">
        <f>SUMIFS(tblActuals35415[Team 2 Points],tblActuals35415[Team 2],$CU27,tblActuals35415[Team 1],CV$3)+SUMIFS(tblActuals35415[Team 1 Points],tblActuals35415[Team 1],$CU27,tblActuals35415[Team 2],CV$3)</f>
        <v>0</v>
      </c>
      <c r="CW27" s="56">
        <f>SUMIFS(tblActuals35415[Team 2 Points],tblActuals35415[Team 2],$CU27,tblActuals35415[Team 1],CW$3)+SUMIFS(tblActuals35415[Team 1 Points],tblActuals35415[Team 1],$CU27,tblActuals35415[Team 2],CW$3)</f>
        <v>0</v>
      </c>
      <c r="CX27" s="56">
        <f>SUMIFS(tblActuals35415[Team 2 Points],tblActuals35415[Team 2],$CU27,tblActuals35415[Team 1],CX$3)+SUMIFS(tblActuals35415[Team 1 Points],tblActuals35415[Team 1],$CU27,tblActuals35415[Team 2],CX$3)</f>
        <v>0</v>
      </c>
      <c r="CY27" s="56">
        <f>SUMIFS(tblActuals35415[Team 2 Points],tblActuals35415[Team 2],$CU27,tblActuals35415[Team 1],CY$3)+SUMIFS(tblActuals35415[Team 1 Points],tblActuals35415[Team 1],$CU27,tblActuals35415[Team 2],CY$3)</f>
        <v>0</v>
      </c>
      <c r="CZ27" s="56">
        <f>SUMIFS(tblActuals35415[Team 2 Points],tblActuals35415[Team 2],$CU27,tblActuals35415[Team 1],CZ$3)+SUMIFS(tblActuals35415[Team 1 Points],tblActuals35415[Team 1],$CU27,tblActuals35415[Team 2],CZ$3)</f>
        <v>0</v>
      </c>
      <c r="DA27" s="56">
        <f>SUMIFS(tblActuals35415[Team 2 Points],tblActuals35415[Team 2],$CU27,tblActuals35415[Team 1],DA$3)+SUMIFS(tblActuals35415[Team 1 Points],tblActuals35415[Team 1],$CU27,tblActuals35415[Team 2],DA$3)</f>
        <v>0</v>
      </c>
      <c r="DB27" s="56">
        <f>SUMIFS(tblActuals35415[Team 2 Points],tblActuals35415[Team 2],$CU27,tblActuals35415[Team 1],DB$3)+SUMIFS(tblActuals35415[Team 1 Points],tblActuals35415[Team 1],$CU27,tblActuals35415[Team 2],DB$3)</f>
        <v>0</v>
      </c>
      <c r="DC27" s="56">
        <f>SUMIFS(tblActuals35415[Team 2 Points],tblActuals35415[Team 2],$CU27,tblActuals35415[Team 1],DC$3)+SUMIFS(tblActuals35415[Team 1 Points],tblActuals35415[Team 1],$CU27,tblActuals35415[Team 2],DC$3)</f>
        <v>0</v>
      </c>
      <c r="DD27" s="56">
        <f>SUMIFS(tblActuals35415[Team 2 Points],tblActuals35415[Team 2],$CU27,tblActuals35415[Team 1],DD$3)+SUMIFS(tblActuals35415[Team 1 Points],tblActuals35415[Team 1],$CU27,tblActuals35415[Team 2],DD$3)</f>
        <v>0</v>
      </c>
      <c r="DE27" s="56">
        <f>SUMIFS(tblActuals35415[Team 2 Points],tblActuals35415[Team 2],$CU27,tblActuals35415[Team 1],DE$3)+SUMIFS(tblActuals35415[Team 1 Points],tblActuals35415[Team 1],$CU27,tblActuals35415[Team 2],DE$3)</f>
        <v>0</v>
      </c>
      <c r="DF27" s="56">
        <f>SUMIFS(tblActuals35415[Team 2 Points],tblActuals35415[Team 2],$CU27,tblActuals35415[Team 1],DF$3)+SUMIFS(tblActuals35415[Team 1 Points],tblActuals35415[Team 1],$CU27,tblActuals35415[Team 2],DF$3)</f>
        <v>0</v>
      </c>
      <c r="DG27" s="56">
        <f>SUMIFS(tblActuals35415[Team 2 Points],tblActuals35415[Team 2],$CU27,tblActuals35415[Team 1],DG$3)+SUMIFS(tblActuals35415[Team 1 Points],tblActuals35415[Team 1],$CU27,tblActuals35415[Team 2],DG$3)</f>
        <v>0</v>
      </c>
      <c r="DH27" s="56">
        <f>SUMIFS(tblActuals35415[Team 2 Points],tblActuals35415[Team 2],$CU27,tblActuals35415[Team 1],DH$3)+SUMIFS(tblActuals35415[Team 1 Points],tblActuals35415[Team 1],$CU27,tblActuals35415[Team 2],DH$3)</f>
        <v>0</v>
      </c>
      <c r="DI27" s="56">
        <f>SUMIFS(tblActuals35415[Team 2 Points],tblActuals35415[Team 2],$CU27,tblActuals35415[Team 1],DI$3)+SUMIFS(tblActuals35415[Team 1 Points],tblActuals35415[Team 1],$CU27,tblActuals35415[Team 2],DI$3)</f>
        <v>0</v>
      </c>
      <c r="DJ27" s="56">
        <f>SUMIFS(tblActuals35415[Team 2 Points],tblActuals35415[Team 2],$CU27,tblActuals35415[Team 1],DJ$3)+SUMIFS(tblActuals35415[Team 1 Points],tblActuals35415[Team 1],$CU27,tblActuals35415[Team 2],DJ$3)</f>
        <v>0</v>
      </c>
      <c r="DK27" s="56">
        <f>SUMIFS(tblActuals35415[Team 2 Points],tblActuals35415[Team 2],$CU27,tblActuals35415[Team 1],DK$3)+SUMIFS(tblActuals35415[Team 1 Points],tblActuals35415[Team 1],$CU27,tblActuals35415[Team 2],DK$3)</f>
        <v>0</v>
      </c>
      <c r="DL27" s="56">
        <f>SUMIFS(tblActuals35415[Team 2 Points],tblActuals35415[Team 2],$CU27,tblActuals35415[Team 1],DL$3)+SUMIFS(tblActuals35415[Team 1 Points],tblActuals35415[Team 1],$CU27,tblActuals35415[Team 2],DL$3)</f>
        <v>0</v>
      </c>
      <c r="DM27" s="56">
        <f>SUMIFS(tblActuals35415[Team 2 Points],tblActuals35415[Team 2],$CU27,tblActuals35415[Team 1],DM$3)+SUMIFS(tblActuals35415[Team 1 Points],tblActuals35415[Team 1],$CU27,tblActuals35415[Team 2],DM$3)</f>
        <v>0</v>
      </c>
      <c r="DN27" s="56">
        <f>SUMIFS(tblActuals35415[Team 2 Points],tblActuals35415[Team 2],$CU27,tblActuals35415[Team 1],DN$3)+SUMIFS(tblActuals35415[Team 1 Points],tblActuals35415[Team 1],$CU27,tblActuals35415[Team 2],DN$3)</f>
        <v>0</v>
      </c>
      <c r="DO27" s="56">
        <f>SUMIFS(tblActuals35415[Team 2 Points],tblActuals35415[Team 2],$CU27,tblActuals35415[Team 1],DO$3)+SUMIFS(tblActuals35415[Team 1 Points],tblActuals35415[Team 1],$CU27,tblActuals35415[Team 2],DO$3)</f>
        <v>0</v>
      </c>
      <c r="DP27" s="56">
        <f>SUMIFS(tblActuals35415[Team 2 Points],tblActuals35415[Team 2],$CU27,tblActuals35415[Team 1],DP$3)+SUMIFS(tblActuals35415[Team 1 Points],tblActuals35415[Team 1],$CU27,tblActuals35415[Team 2],DP$3)</f>
        <v>0</v>
      </c>
      <c r="DQ27" s="56">
        <f>SUMIFS(tblActuals35415[Team 2 Points],tblActuals35415[Team 2],$CU27,tblActuals35415[Team 1],DQ$3)+SUMIFS(tblActuals35415[Team 1 Points],tblActuals35415[Team 1],$CU27,tblActuals35415[Team 2],DQ$3)</f>
        <v>0</v>
      </c>
      <c r="DR27" s="56">
        <f>SUMIFS(tblActuals35415[Team 2 Points],tblActuals35415[Team 2],$CU27,tblActuals35415[Team 1],DR$3)+SUMIFS(tblActuals35415[Team 1 Points],tblActuals35415[Team 1],$CU27,tblActuals35415[Team 2],DR$3)</f>
        <v>0</v>
      </c>
      <c r="DS27" s="56">
        <f>SUMIFS(tblActuals35415[Team 2 Points],tblActuals35415[Team 2],$CU27,tblActuals35415[Team 1],DS$3)+SUMIFS(tblActuals35415[Team 1 Points],tblActuals35415[Team 1],$CU27,tblActuals35415[Team 2],DS$3)</f>
        <v>0</v>
      </c>
      <c r="DT27" s="57"/>
      <c r="DU27" s="57"/>
      <c r="DV27" s="57"/>
      <c r="DW27" s="57"/>
      <c r="DX27" s="57"/>
      <c r="DY27" s="57"/>
      <c r="DZ27" s="57"/>
      <c r="EA27" s="57"/>
      <c r="EB27" s="4"/>
      <c r="EC27" s="4" t="s">
        <v>135</v>
      </c>
      <c r="ED27" s="56">
        <f>SUMIFS(tblActuals35415[Team 2 GD],tblActuals35415[Team 2],$CU27,tblActuals35415[Team 1],ED$3)+SUMIFS(tblActuals35415[Team 1 GD],tblActuals35415[Team 1],$CU27,tblActuals35415[Team 2],ED$3)</f>
        <v>0</v>
      </c>
      <c r="EE27" s="56">
        <f>SUMIFS(tblActuals35415[Team 2 GD],tblActuals35415[Team 2],$CU27,tblActuals35415[Team 1],EE$3)+SUMIFS(tblActuals35415[Team 1 GD],tblActuals35415[Team 1],$CU27,tblActuals35415[Team 2],EE$3)</f>
        <v>0</v>
      </c>
      <c r="EF27" s="56">
        <f>SUMIFS(tblActuals35415[Team 2 GD],tblActuals35415[Team 2],$CU27,tblActuals35415[Team 1],EF$3)+SUMIFS(tblActuals35415[Team 1 GD],tblActuals35415[Team 1],$CU27,tblActuals35415[Team 2],EF$3)</f>
        <v>0</v>
      </c>
      <c r="EG27" s="56">
        <f>SUMIFS(tblActuals35415[Team 2 GD],tblActuals35415[Team 2],$CU27,tblActuals35415[Team 1],EG$3)+SUMIFS(tblActuals35415[Team 1 GD],tblActuals35415[Team 1],$CU27,tblActuals35415[Team 2],EG$3)</f>
        <v>0</v>
      </c>
      <c r="EH27" s="56">
        <f>SUMIFS(tblActuals35415[Team 2 GD],tblActuals35415[Team 2],$CU27,tblActuals35415[Team 1],EH$3)+SUMIFS(tblActuals35415[Team 1 GD],tblActuals35415[Team 1],$CU27,tblActuals35415[Team 2],EH$3)</f>
        <v>0</v>
      </c>
      <c r="EI27" s="56">
        <f>SUMIFS(tblActuals35415[Team 2 GD],tblActuals35415[Team 2],$CU27,tblActuals35415[Team 1],EI$3)+SUMIFS(tblActuals35415[Team 1 GD],tblActuals35415[Team 1],$CU27,tblActuals35415[Team 2],EI$3)</f>
        <v>0</v>
      </c>
      <c r="EJ27" s="56">
        <f>SUMIFS(tblActuals35415[Team 2 GD],tblActuals35415[Team 2],$CU27,tblActuals35415[Team 1],EJ$3)+SUMIFS(tblActuals35415[Team 1 GD],tblActuals35415[Team 1],$CU27,tblActuals35415[Team 2],EJ$3)</f>
        <v>0</v>
      </c>
      <c r="EK27" s="56">
        <f>SUMIFS(tblActuals35415[Team 2 GD],tblActuals35415[Team 2],$CU27,tblActuals35415[Team 1],EK$3)+SUMIFS(tblActuals35415[Team 1 GD],tblActuals35415[Team 1],$CU27,tblActuals35415[Team 2],EK$3)</f>
        <v>0</v>
      </c>
      <c r="EL27" s="56">
        <f>SUMIFS(tblActuals35415[Team 2 GD],tblActuals35415[Team 2],$CU27,tblActuals35415[Team 1],EL$3)+SUMIFS(tblActuals35415[Team 1 GD],tblActuals35415[Team 1],$CU27,tblActuals35415[Team 2],EL$3)</f>
        <v>0</v>
      </c>
      <c r="EM27" s="56">
        <f>SUMIFS(tblActuals35415[Team 2 GD],tblActuals35415[Team 2],$CU27,tblActuals35415[Team 1],EM$3)+SUMIFS(tblActuals35415[Team 1 GD],tblActuals35415[Team 1],$CU27,tblActuals35415[Team 2],EM$3)</f>
        <v>0</v>
      </c>
      <c r="EN27" s="56">
        <f>SUMIFS(tblActuals35415[Team 2 GD],tblActuals35415[Team 2],$CU27,tblActuals35415[Team 1],EN$3)+SUMIFS(tblActuals35415[Team 1 GD],tblActuals35415[Team 1],$CU27,tblActuals35415[Team 2],EN$3)</f>
        <v>0</v>
      </c>
      <c r="EO27" s="56">
        <f>SUMIFS(tblActuals35415[Team 2 GD],tblActuals35415[Team 2],$CU27,tblActuals35415[Team 1],EO$3)+SUMIFS(tblActuals35415[Team 1 GD],tblActuals35415[Team 1],$CU27,tblActuals35415[Team 2],EO$3)</f>
        <v>0</v>
      </c>
      <c r="EP27" s="56">
        <f>SUMIFS(tblActuals35415[Team 2 GD],tblActuals35415[Team 2],$CU27,tblActuals35415[Team 1],EP$3)+SUMIFS(tblActuals35415[Team 1 GD],tblActuals35415[Team 1],$CU27,tblActuals35415[Team 2],EP$3)</f>
        <v>0</v>
      </c>
      <c r="EQ27" s="56">
        <f>SUMIFS(tblActuals35415[Team 2 GD],tblActuals35415[Team 2],$CU27,tblActuals35415[Team 1],EQ$3)+SUMIFS(tblActuals35415[Team 1 GD],tblActuals35415[Team 1],$CU27,tblActuals35415[Team 2],EQ$3)</f>
        <v>0</v>
      </c>
      <c r="ER27" s="56">
        <f>SUMIFS(tblActuals35415[Team 2 GD],tblActuals35415[Team 2],$CU27,tblActuals35415[Team 1],ER$3)+SUMIFS(tblActuals35415[Team 1 GD],tblActuals35415[Team 1],$CU27,tblActuals35415[Team 2],ER$3)</f>
        <v>0</v>
      </c>
      <c r="ES27" s="56">
        <f>SUMIFS(tblActuals35415[Team 2 GD],tblActuals35415[Team 2],$CU27,tblActuals35415[Team 1],ES$3)+SUMIFS(tblActuals35415[Team 1 GD],tblActuals35415[Team 1],$CU27,tblActuals35415[Team 2],ES$3)</f>
        <v>0</v>
      </c>
      <c r="ET27" s="56">
        <f>SUMIFS(tblActuals35415[Team 2 GD],tblActuals35415[Team 2],$CU27,tblActuals35415[Team 1],ET$3)+SUMIFS(tblActuals35415[Team 1 GD],tblActuals35415[Team 1],$CU27,tblActuals35415[Team 2],ET$3)</f>
        <v>0</v>
      </c>
      <c r="EU27" s="56">
        <f>SUMIFS(tblActuals35415[Team 2 GD],tblActuals35415[Team 2],$CU27,tblActuals35415[Team 1],EU$3)+SUMIFS(tblActuals35415[Team 1 GD],tblActuals35415[Team 1],$CU27,tblActuals35415[Team 2],EU$3)</f>
        <v>0</v>
      </c>
      <c r="EV27" s="56">
        <f>SUMIFS(tblActuals35415[Team 2 GD],tblActuals35415[Team 2],$CU27,tblActuals35415[Team 1],EV$3)+SUMIFS(tblActuals35415[Team 1 GD],tblActuals35415[Team 1],$CU27,tblActuals35415[Team 2],EV$3)</f>
        <v>0</v>
      </c>
      <c r="EW27" s="56">
        <f>SUMIFS(tblActuals35415[Team 2 GD],tblActuals35415[Team 2],$CU27,tblActuals35415[Team 1],EW$3)+SUMIFS(tblActuals35415[Team 1 GD],tblActuals35415[Team 1],$CU27,tblActuals35415[Team 2],EW$3)</f>
        <v>0</v>
      </c>
      <c r="EX27" s="56">
        <f>SUMIFS(tblActuals35415[Team 2 GD],tblActuals35415[Team 2],$CU27,tblActuals35415[Team 1],EX$3)+SUMIFS(tblActuals35415[Team 1 GD],tblActuals35415[Team 1],$CU27,tblActuals35415[Team 2],EX$3)</f>
        <v>0</v>
      </c>
      <c r="EY27" s="56">
        <f>SUMIFS(tblActuals35415[Team 2 GD],tblActuals35415[Team 2],$CU27,tblActuals35415[Team 1],EY$3)+SUMIFS(tblActuals35415[Team 1 GD],tblActuals35415[Team 1],$CU27,tblActuals35415[Team 2],EY$3)</f>
        <v>0</v>
      </c>
      <c r="EZ27" s="56">
        <f>SUMIFS(tblActuals35415[Team 2 GD],tblActuals35415[Team 2],$CU27,tblActuals35415[Team 1],EZ$3)+SUMIFS(tblActuals35415[Team 1 GD],tblActuals35415[Team 1],$CU27,tblActuals35415[Team 2],EZ$3)</f>
        <v>0</v>
      </c>
      <c r="FA27" s="56">
        <f>SUMIFS(tblActuals35415[Team 2 GD],tblActuals35415[Team 2],$CU27,tblActuals35415[Team 1],FA$3)+SUMIFS(tblActuals35415[Team 1 GD],tblActuals35415[Team 1],$CU27,tblActuals35415[Team 2],FA$3)</f>
        <v>0</v>
      </c>
      <c r="FB27" s="57"/>
      <c r="FC27" s="57"/>
      <c r="FD27" s="57"/>
      <c r="FE27" s="57"/>
      <c r="FF27" s="57"/>
      <c r="FG27" s="57"/>
      <c r="FH27" s="57"/>
      <c r="FI27" s="57"/>
      <c r="FJ27" s="4"/>
      <c r="FK27" s="4" t="s">
        <v>135</v>
      </c>
      <c r="FL27" s="56">
        <f>SUMIFS(tblActuals35415[Team 2 Goals],tblActuals35415[Team 2],$CU27,tblActuals35415[Team 1],FL$3)+SUMIFS(tblActuals35415[Team 1 Goals],tblActuals35415[Team 1],$CU27,tblActuals35415[Team 2],FL$3)</f>
        <v>0</v>
      </c>
      <c r="FM27" s="56">
        <f>SUMIFS(tblActuals35415[Team 2 Goals],tblActuals35415[Team 2],$CU27,tblActuals35415[Team 1],FM$3)+SUMIFS(tblActuals35415[Team 1 Goals],tblActuals35415[Team 1],$CU27,tblActuals35415[Team 2],FM$3)</f>
        <v>0</v>
      </c>
      <c r="FN27" s="56">
        <f>SUMIFS(tblActuals35415[Team 2 Goals],tblActuals35415[Team 2],$CU27,tblActuals35415[Team 1],FN$3)+SUMIFS(tblActuals35415[Team 1 Goals],tblActuals35415[Team 1],$CU27,tblActuals35415[Team 2],FN$3)</f>
        <v>0</v>
      </c>
      <c r="FO27" s="56">
        <f>SUMIFS(tblActuals35415[Team 2 Goals],tblActuals35415[Team 2],$CU27,tblActuals35415[Team 1],FO$3)+SUMIFS(tblActuals35415[Team 1 Goals],tblActuals35415[Team 1],$CU27,tblActuals35415[Team 2],FO$3)</f>
        <v>0</v>
      </c>
      <c r="FP27" s="56">
        <f>SUMIFS(tblActuals35415[Team 2 Goals],tblActuals35415[Team 2],$CU27,tblActuals35415[Team 1],FP$3)+SUMIFS(tblActuals35415[Team 1 Goals],tblActuals35415[Team 1],$CU27,tblActuals35415[Team 2],FP$3)</f>
        <v>0</v>
      </c>
      <c r="FQ27" s="56">
        <f>SUMIFS(tblActuals35415[Team 2 Goals],tblActuals35415[Team 2],$CU27,tblActuals35415[Team 1],FQ$3)+SUMIFS(tblActuals35415[Team 1 Goals],tblActuals35415[Team 1],$CU27,tblActuals35415[Team 2],FQ$3)</f>
        <v>0</v>
      </c>
      <c r="FR27" s="56">
        <f>SUMIFS(tblActuals35415[Team 2 Goals],tblActuals35415[Team 2],$CU27,tblActuals35415[Team 1],FR$3)+SUMIFS(tblActuals35415[Team 1 Goals],tblActuals35415[Team 1],$CU27,tblActuals35415[Team 2],FR$3)</f>
        <v>0</v>
      </c>
      <c r="FS27" s="56">
        <f>SUMIFS(tblActuals35415[Team 2 Goals],tblActuals35415[Team 2],$CU27,tblActuals35415[Team 1],FS$3)+SUMIFS(tblActuals35415[Team 1 Goals],tblActuals35415[Team 1],$CU27,tblActuals35415[Team 2],FS$3)</f>
        <v>0</v>
      </c>
      <c r="FT27" s="56">
        <f>SUMIFS(tblActuals35415[Team 2 Goals],tblActuals35415[Team 2],$CU27,tblActuals35415[Team 1],FT$3)+SUMIFS(tblActuals35415[Team 1 Goals],tblActuals35415[Team 1],$CU27,tblActuals35415[Team 2],FT$3)</f>
        <v>0</v>
      </c>
      <c r="FU27" s="56">
        <f>SUMIFS(tblActuals35415[Team 2 Goals],tblActuals35415[Team 2],$CU27,tblActuals35415[Team 1],FU$3)+SUMIFS(tblActuals35415[Team 1 Goals],tblActuals35415[Team 1],$CU27,tblActuals35415[Team 2],FU$3)</f>
        <v>0</v>
      </c>
      <c r="FV27" s="56">
        <f>SUMIFS(tblActuals35415[Team 2 Goals],tblActuals35415[Team 2],$CU27,tblActuals35415[Team 1],FV$3)+SUMIFS(tblActuals35415[Team 1 Goals],tblActuals35415[Team 1],$CU27,tblActuals35415[Team 2],FV$3)</f>
        <v>0</v>
      </c>
      <c r="FW27" s="56">
        <f>SUMIFS(tblActuals35415[Team 2 Goals],tblActuals35415[Team 2],$CU27,tblActuals35415[Team 1],FW$3)+SUMIFS(tblActuals35415[Team 1 Goals],tblActuals35415[Team 1],$CU27,tblActuals35415[Team 2],FW$3)</f>
        <v>0</v>
      </c>
      <c r="FX27" s="56">
        <f>SUMIFS(tblActuals35415[Team 2 Goals],tblActuals35415[Team 2],$CU27,tblActuals35415[Team 1],FX$3)+SUMIFS(tblActuals35415[Team 1 Goals],tblActuals35415[Team 1],$CU27,tblActuals35415[Team 2],FX$3)</f>
        <v>0</v>
      </c>
      <c r="FY27" s="56">
        <f>SUMIFS(tblActuals35415[Team 2 Goals],tblActuals35415[Team 2],$CU27,tblActuals35415[Team 1],FY$3)+SUMIFS(tblActuals35415[Team 1 Goals],tblActuals35415[Team 1],$CU27,tblActuals35415[Team 2],FY$3)</f>
        <v>0</v>
      </c>
      <c r="FZ27" s="56">
        <f>SUMIFS(tblActuals35415[Team 2 Goals],tblActuals35415[Team 2],$CU27,tblActuals35415[Team 1],FZ$3)+SUMIFS(tblActuals35415[Team 1 Goals],tblActuals35415[Team 1],$CU27,tblActuals35415[Team 2],FZ$3)</f>
        <v>0</v>
      </c>
      <c r="GA27" s="56">
        <f>SUMIFS(tblActuals35415[Team 2 Goals],tblActuals35415[Team 2],$CU27,tblActuals35415[Team 1],GA$3)+SUMIFS(tblActuals35415[Team 1 Goals],tblActuals35415[Team 1],$CU27,tblActuals35415[Team 2],GA$3)</f>
        <v>0</v>
      </c>
      <c r="GB27" s="56">
        <f>SUMIFS(tblActuals35415[Team 2 Goals],tblActuals35415[Team 2],$CU27,tblActuals35415[Team 1],GB$3)+SUMIFS(tblActuals35415[Team 1 Goals],tblActuals35415[Team 1],$CU27,tblActuals35415[Team 2],GB$3)</f>
        <v>0</v>
      </c>
      <c r="GC27" s="56">
        <f>SUMIFS(tblActuals35415[Team 2 Goals],tblActuals35415[Team 2],$CU27,tblActuals35415[Team 1],GC$3)+SUMIFS(tblActuals35415[Team 1 Goals],tblActuals35415[Team 1],$CU27,tblActuals35415[Team 2],GC$3)</f>
        <v>0</v>
      </c>
      <c r="GD27" s="56">
        <f>SUMIFS(tblActuals35415[Team 2 Goals],tblActuals35415[Team 2],$CU27,tblActuals35415[Team 1],GD$3)+SUMIFS(tblActuals35415[Team 1 Goals],tblActuals35415[Team 1],$CU27,tblActuals35415[Team 2],GD$3)</f>
        <v>0</v>
      </c>
      <c r="GE27" s="56">
        <f>SUMIFS(tblActuals35415[Team 2 Goals],tblActuals35415[Team 2],$CU27,tblActuals35415[Team 1],GE$3)+SUMIFS(tblActuals35415[Team 1 Goals],tblActuals35415[Team 1],$CU27,tblActuals35415[Team 2],GE$3)</f>
        <v>0</v>
      </c>
      <c r="GF27" s="56">
        <f>SUMIFS(tblActuals35415[Team 2 Goals],tblActuals35415[Team 2],$CU27,tblActuals35415[Team 1],GF$3)+SUMIFS(tblActuals35415[Team 1 Goals],tblActuals35415[Team 1],$CU27,tblActuals35415[Team 2],GF$3)</f>
        <v>0</v>
      </c>
      <c r="GG27" s="56">
        <f>SUMIFS(tblActuals35415[Team 2 Goals],tblActuals35415[Team 2],$CU27,tblActuals35415[Team 1],GG$3)+SUMIFS(tblActuals35415[Team 1 Goals],tblActuals35415[Team 1],$CU27,tblActuals35415[Team 2],GG$3)</f>
        <v>0</v>
      </c>
      <c r="GH27" s="56">
        <f>SUMIFS(tblActuals35415[Team 2 Goals],tblActuals35415[Team 2],$CU27,tblActuals35415[Team 1],GH$3)+SUMIFS(tblActuals35415[Team 1 Goals],tblActuals35415[Team 1],$CU27,tblActuals35415[Team 2],GH$3)</f>
        <v>0</v>
      </c>
      <c r="GI27" s="56">
        <f>SUMIFS(tblActuals35415[Team 2 Goals],tblActuals35415[Team 2],$CU27,tblActuals35415[Team 1],GI$3)+SUMIFS(tblActuals35415[Team 1 Goals],tblActuals35415[Team 1],$CU27,tblActuals35415[Team 2],GI$3)</f>
        <v>0</v>
      </c>
      <c r="GJ27" s="57"/>
      <c r="GK27" s="57"/>
      <c r="GL27" s="37"/>
      <c r="GM27" s="37"/>
      <c r="GN27" s="37"/>
      <c r="GO27" s="37"/>
      <c r="GP27" s="37"/>
      <c r="GQ27" s="37"/>
      <c r="GR27" s="75"/>
      <c r="GS27" s="148"/>
      <c r="GT27" s="148"/>
      <c r="GU27" s="75"/>
      <c r="GV27" s="75"/>
      <c r="GW27" s="75"/>
      <c r="GX27" s="75"/>
      <c r="GY27" s="75"/>
      <c r="GZ27" s="75"/>
    </row>
    <row r="28" spans="1:221" s="11" customFormat="1" ht="30" customHeight="1" thickBot="1" x14ac:dyDescent="0.3">
      <c r="A28" s="20"/>
      <c r="B28" s="122">
        <v>25</v>
      </c>
      <c r="C28" s="122" t="s">
        <v>1</v>
      </c>
      <c r="D28" s="123">
        <v>45466</v>
      </c>
      <c r="E28" s="122" t="s">
        <v>86</v>
      </c>
      <c r="F28" s="124">
        <v>0.875</v>
      </c>
      <c r="G28" s="125">
        <f t="shared" si="11"/>
        <v>45466.625</v>
      </c>
      <c r="H28" s="122" t="s">
        <v>113</v>
      </c>
      <c r="I28" s="126"/>
      <c r="J28" s="118"/>
      <c r="K28" s="118"/>
      <c r="L28" s="174">
        <f>IF(I28="",0,IFERROR(IF(SCORING.RULES!$C$8="No",1,((VLOOKUP($B28,ACTUALS!$B$4:$L$100,7,FALSE)=$H28)+(VLOOKUP($B28,ACTUALS!$B$4:$L$100,7,FALSE)=S28)))*(M28+N28+O28+P28+Q28),0))+$R28</f>
        <v>0</v>
      </c>
      <c r="M28" s="168">
        <f>IFERROR(IF($B28="","",IF(U28=INDEX(ACTUALS!$AA$4:$AA$100,MATCH($B28,ACTUALS!$B$4:$B$100,0),1),CorrectScore,0)),0)</f>
        <v>0</v>
      </c>
      <c r="N28" s="157" t="str">
        <f>IFERROR(IF(I28="","",IF(INDEX(ACTUALS!$AB$4:$AB$100,MATCH($B28,ACTUALS!$B$4:$B$100,0),1)=(AB28+AC28+AH28+AI28),CorrectNumberofGoals,0)),0)</f>
        <v/>
      </c>
      <c r="O28" s="157"/>
      <c r="P28" s="157">
        <f>IFERROR(IF(B28="","",IF(INDEX(ACTUALS!$L$4:$L$100,MATCH($B28,ACTUALS!$B$4:$B$100,0),1)=W28,CorrectResult,0)),0)</f>
        <v>3</v>
      </c>
      <c r="Q28" s="157"/>
      <c r="R28" s="157"/>
      <c r="S28" s="157" t="str">
        <f t="shared" si="0"/>
        <v/>
      </c>
      <c r="T28" s="157"/>
      <c r="U28" s="157" t="str">
        <f t="shared" si="1"/>
        <v/>
      </c>
      <c r="V28" s="157" t="str">
        <f t="shared" si="2"/>
        <v/>
      </c>
      <c r="W28" s="119" t="str">
        <f>IF(tblActuals35415[[#This Row],[SCORE]]="","",IF(AB28=AC28,"Draw",IF(AB28&gt;AC28,X28,Y28)))</f>
        <v/>
      </c>
      <c r="X28" s="120" t="str">
        <f>IF(tblActuals35415[[#This Row],[TEAMS]]="","",LEFT(H28,FIND(" -",H28,1)-1))</f>
        <v>Switzerland</v>
      </c>
      <c r="Y28" s="120" t="str">
        <f>IF(tblActuals35415[[#This Row],[TEAMS]]="","",MID(H28,FIND("-",H28,1)+2,LEN(H28)-FIND("-",H28,1)+2))</f>
        <v>Germany</v>
      </c>
      <c r="Z28" s="120" t="str">
        <f>IF(tblActuals35415[[#This Row],[Team 1 Goals]]&gt;tblActuals35415[[#This Row],[Team 2 Goals]],tblActuals35415[[#This Row],[Team 1]],IF(tblActuals35415[[#This Row],[Team 2 Goals]]&gt;tblActuals35415[[#This Row],[Team 1 Goals]],tblActuals35415[[#This Row],[Team 2]],""))</f>
        <v/>
      </c>
      <c r="AA28" s="120" t="str">
        <f>IF(tblActuals35415[[#This Row],[Winner]]=tblActuals35415[[#This Row],[Team 1]],tblActuals35415[[#This Row],[Team 2]],IF(tblActuals35415[[#This Row],[Winner]]=tblActuals35415[[#This Row],[Team 2]],tblActuals35415[[#This Row],[Team 1]],""))</f>
        <v/>
      </c>
      <c r="AB28" s="120" t="str">
        <f>IF(tblActuals35415[[#This Row],[SCORE]]="","",LEFT(I28,FIND(":",I28,1)-1)*1)</f>
        <v/>
      </c>
      <c r="AC28" s="120" t="str">
        <f>IF(tblActuals35415[[#This Row],[SCORE]]="","",MID(I28,FIND(":",I28,1)+1,LEN(I28)-FIND(":",I28,1)+1)*1)</f>
        <v/>
      </c>
      <c r="AD28" s="120" t="str">
        <f>IF(OR(tblActuals35415[[#This Row],[Team 1 Goals]]="",tblActuals35415[[#This Row],[Team 2 Goals]]=""),"",tblActuals35415[[#This Row],[Team 1 Goals]]-tblActuals35415[[#This Row],[Team 2 Goals]])</f>
        <v/>
      </c>
      <c r="AE28" s="120" t="str">
        <f>IF(OR(tblActuals35415[[#This Row],[Team 1 Goals]]="",tblActuals35415[[#This Row],[Team 2 Goals]]=""),"",tblActuals35415[[#This Row],[Team 2 Goals]]-tblActuals35415[[#This Row],[Team 1 Goals]])</f>
        <v/>
      </c>
      <c r="AF28" s="120" t="str">
        <f>IF(tblActuals35415[[#This Row],[SCORE]]="","",IF(tblActuals35415[[#This Row],[WINNER / RESULT]]="Draw",1,IF(tblActuals35415[[#This Row],[WINNER / RESULT]]=tblActuals35415[[#This Row],[Team 1]],3,0)))</f>
        <v/>
      </c>
      <c r="AG28" s="120" t="str">
        <f>IF(tblActuals35415[[#This Row],[SCORE]]="","",IF(tblActuals35415[[#This Row],[WINNER / RESULT]]="Draw",1,IF(tblActuals35415[[#This Row],[WINNER / RESULT]]=tblActuals35415[[#This Row],[Team 2]],3,0)))</f>
        <v/>
      </c>
      <c r="AH28" s="121"/>
      <c r="AI28" s="121"/>
      <c r="AJ28" s="121"/>
      <c r="AK28" s="121"/>
      <c r="AL28" s="120" t="e">
        <f>tblActuals35415[[#This Row],[Team 1 Goals]]+tblActuals35415[[#This Row],[Team 1 ET Goals]]&amp;":"&amp;tblActuals35415[[#This Row],[Team 2 Goals]]+tblActuals35415[[#This Row],[Team 2 ET Goals]]</f>
        <v>#VALUE!</v>
      </c>
      <c r="AM28" s="120" t="e">
        <f>+tblActuals35415[[#This Row],[Team 1 Goals]]+tblActuals35415[[#This Row],[Team 2 Goals]]</f>
        <v>#VALUE!</v>
      </c>
      <c r="AN28" s="161">
        <f t="shared" si="3"/>
        <v>45466</v>
      </c>
      <c r="AT28" s="77"/>
      <c r="AU28" s="148"/>
      <c r="AV28" s="148"/>
      <c r="AW28" s="148"/>
      <c r="AX28" s="148"/>
      <c r="AY28" s="148"/>
      <c r="AZ28" s="75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 t="str">
        <f t="shared" si="4"/>
        <v/>
      </c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U28" s="4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4"/>
      <c r="EC28" s="4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4"/>
      <c r="FK28" s="4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  <c r="GL28" s="37"/>
      <c r="GM28" s="37"/>
      <c r="GN28" s="37"/>
      <c r="GO28" s="37"/>
      <c r="GP28" s="37"/>
      <c r="GQ28" s="37"/>
      <c r="GR28" s="75"/>
      <c r="GS28" s="148"/>
      <c r="GT28" s="148"/>
      <c r="GU28" s="75"/>
      <c r="GV28" s="75"/>
      <c r="GW28" s="75"/>
      <c r="GX28" s="75"/>
      <c r="GY28" s="75"/>
      <c r="GZ28" s="75"/>
    </row>
    <row r="29" spans="1:221" s="11" customFormat="1" ht="30" customHeight="1" thickBot="1" x14ac:dyDescent="0.3">
      <c r="A29" s="20"/>
      <c r="B29" s="122">
        <v>26</v>
      </c>
      <c r="C29" s="122" t="s">
        <v>1</v>
      </c>
      <c r="D29" s="123">
        <v>45466</v>
      </c>
      <c r="E29" s="122" t="s">
        <v>83</v>
      </c>
      <c r="F29" s="124">
        <v>0.875</v>
      </c>
      <c r="G29" s="125">
        <f t="shared" si="11"/>
        <v>45466.625</v>
      </c>
      <c r="H29" s="122" t="s">
        <v>114</v>
      </c>
      <c r="I29" s="126"/>
      <c r="J29" s="118"/>
      <c r="K29" s="118"/>
      <c r="L29" s="174">
        <f>IF(I29="",0,IFERROR(IF(SCORING.RULES!$C$8="No",1,((VLOOKUP($B29,ACTUALS!$B$4:$L$100,7,FALSE)=$H29)+(VLOOKUP($B29,ACTUALS!$B$4:$L$100,7,FALSE)=S29)))*(M29+N29+O29+P29+Q29),0))+$R29</f>
        <v>0</v>
      </c>
      <c r="M29" s="168">
        <f>IFERROR(IF($B29="","",IF(U29=INDEX(ACTUALS!$AA$4:$AA$100,MATCH($B29,ACTUALS!$B$4:$B$100,0),1),CorrectScore,0)),0)</f>
        <v>0</v>
      </c>
      <c r="N29" s="157" t="str">
        <f>IFERROR(IF(I29="","",IF(INDEX(ACTUALS!$AB$4:$AB$100,MATCH($B29,ACTUALS!$B$4:$B$100,0),1)=(AB29+AC29+AH29+AI29),CorrectNumberofGoals,0)),0)</f>
        <v/>
      </c>
      <c r="O29" s="157"/>
      <c r="P29" s="157">
        <f>IFERROR(IF(B29="","",IF(INDEX(ACTUALS!$L$4:$L$100,MATCH($B29,ACTUALS!$B$4:$B$100,0),1)=W29,CorrectResult,0)),0)</f>
        <v>3</v>
      </c>
      <c r="Q29" s="157"/>
      <c r="R29" s="157"/>
      <c r="S29" s="157" t="str">
        <f t="shared" si="0"/>
        <v/>
      </c>
      <c r="T29" s="157"/>
      <c r="U29" s="157" t="str">
        <f t="shared" si="1"/>
        <v/>
      </c>
      <c r="V29" s="157" t="str">
        <f t="shared" si="2"/>
        <v/>
      </c>
      <c r="W29" s="119" t="str">
        <f>IF(tblActuals35415[[#This Row],[SCORE]]="","",IF(AB29=AC29,"Draw",IF(AB29&gt;AC29,X29,Y29)))</f>
        <v/>
      </c>
      <c r="X29" s="120" t="str">
        <f>IF(tblActuals35415[[#This Row],[TEAMS]]="","",LEFT(H29,FIND(" -",H29,1)-1))</f>
        <v>Scotland</v>
      </c>
      <c r="Y29" s="120" t="str">
        <f>IF(tblActuals35415[[#This Row],[TEAMS]]="","",MID(H29,FIND("-",H29,1)+2,LEN(H29)-FIND("-",H29,1)+2))</f>
        <v>Hungary</v>
      </c>
      <c r="Z29" s="120" t="str">
        <f>IF(tblActuals35415[[#This Row],[Team 1 Goals]]&gt;tblActuals35415[[#This Row],[Team 2 Goals]],tblActuals35415[[#This Row],[Team 1]],IF(tblActuals35415[[#This Row],[Team 2 Goals]]&gt;tblActuals35415[[#This Row],[Team 1 Goals]],tblActuals35415[[#This Row],[Team 2]],""))</f>
        <v/>
      </c>
      <c r="AA29" s="120" t="str">
        <f>IF(tblActuals35415[[#This Row],[Winner]]=tblActuals35415[[#This Row],[Team 1]],tblActuals35415[[#This Row],[Team 2]],IF(tblActuals35415[[#This Row],[Winner]]=tblActuals35415[[#This Row],[Team 2]],tblActuals35415[[#This Row],[Team 1]],""))</f>
        <v/>
      </c>
      <c r="AB29" s="120" t="str">
        <f>IF(tblActuals35415[[#This Row],[SCORE]]="","",LEFT(I29,FIND(":",I29,1)-1)*1)</f>
        <v/>
      </c>
      <c r="AC29" s="120" t="str">
        <f>IF(tblActuals35415[[#This Row],[SCORE]]="","",MID(I29,FIND(":",I29,1)+1,LEN(I29)-FIND(":",I29,1)+1)*1)</f>
        <v/>
      </c>
      <c r="AD29" s="120" t="str">
        <f>IF(OR(tblActuals35415[[#This Row],[Team 1 Goals]]="",tblActuals35415[[#This Row],[Team 2 Goals]]=""),"",tblActuals35415[[#This Row],[Team 1 Goals]]-tblActuals35415[[#This Row],[Team 2 Goals]])</f>
        <v/>
      </c>
      <c r="AE29" s="120" t="str">
        <f>IF(OR(tblActuals35415[[#This Row],[Team 1 Goals]]="",tblActuals35415[[#This Row],[Team 2 Goals]]=""),"",tblActuals35415[[#This Row],[Team 2 Goals]]-tblActuals35415[[#This Row],[Team 1 Goals]])</f>
        <v/>
      </c>
      <c r="AF29" s="120" t="str">
        <f>IF(tblActuals35415[[#This Row],[SCORE]]="","",IF(tblActuals35415[[#This Row],[WINNER / RESULT]]="Draw",1,IF(tblActuals35415[[#This Row],[WINNER / RESULT]]=tblActuals35415[[#This Row],[Team 1]],3,0)))</f>
        <v/>
      </c>
      <c r="AG29" s="120" t="str">
        <f>IF(tblActuals35415[[#This Row],[SCORE]]="","",IF(tblActuals35415[[#This Row],[WINNER / RESULT]]="Draw",1,IF(tblActuals35415[[#This Row],[WINNER / RESULT]]=tblActuals35415[[#This Row],[Team 2]],3,0)))</f>
        <v/>
      </c>
      <c r="AH29" s="121"/>
      <c r="AI29" s="121"/>
      <c r="AJ29" s="121"/>
      <c r="AK29" s="121"/>
      <c r="AL29" s="120" t="e">
        <f>tblActuals35415[[#This Row],[Team 1 Goals]]+tblActuals35415[[#This Row],[Team 1 ET Goals]]&amp;":"&amp;tblActuals35415[[#This Row],[Team 2 Goals]]+tblActuals35415[[#This Row],[Team 2 ET Goals]]</f>
        <v>#VALUE!</v>
      </c>
      <c r="AM29" s="120" t="e">
        <f>+tblActuals35415[[#This Row],[Team 1 Goals]]+tblActuals35415[[#This Row],[Team 2 Goals]]</f>
        <v>#VALUE!</v>
      </c>
      <c r="AN29" s="161">
        <f t="shared" si="3"/>
        <v>45466</v>
      </c>
      <c r="AT29" s="78"/>
      <c r="AU29" s="179" t="s">
        <v>55</v>
      </c>
      <c r="AV29" s="180"/>
      <c r="AW29" s="133" t="s">
        <v>46</v>
      </c>
      <c r="AX29" s="134" t="s">
        <v>57</v>
      </c>
      <c r="AY29" s="135" t="s">
        <v>11</v>
      </c>
      <c r="AZ29" s="75"/>
      <c r="BA29" s="4"/>
      <c r="BB29" s="4"/>
      <c r="BC29" s="4" t="s">
        <v>45</v>
      </c>
      <c r="BD29" s="4" t="s">
        <v>135</v>
      </c>
      <c r="BE29" s="4">
        <f>COUNTIF(tblActuals35415[Winner],BD29)</f>
        <v>0</v>
      </c>
      <c r="BF29" s="4">
        <f>COUNTIFS(tblActuals35415[Team 2],BD29,tblActuals35415[WINNER / RESULT],"Draw")+COUNTIFS(tblActuals35415[Team 1],BD29,tblActuals35415[WINNER / RESULT],"Draw")</f>
        <v>0</v>
      </c>
      <c r="BG29" s="4">
        <f>COUNTIF(tblActuals35415[Loser],BD29)</f>
        <v>0</v>
      </c>
      <c r="BH29" s="4">
        <f>BF29+(3*BE29)</f>
        <v>0</v>
      </c>
      <c r="BI29" s="4">
        <f>SUMIFS(tblActuals35415[Team 1 Goals],tblActuals35415[Team 1],BD29)+SUMIFS(tblActuals35415[Team 2 Goals],tblActuals35415[Team 2],BD29)</f>
        <v>0</v>
      </c>
      <c r="BJ29" s="4">
        <f>SUMIFS(tblActuals35415[Team 2 Goals],tblActuals35415[Team 1],BD29)+SUMIFS(tblActuals35415[Team 1 Goals],tblActuals35415[Team 2],BD29)</f>
        <v>0</v>
      </c>
      <c r="BK29" s="4">
        <f>BI29-BJ29</f>
        <v>0</v>
      </c>
      <c r="BL29" s="4">
        <f ca="1">RANK(BY29,$BY$29:$BY$32,1)</f>
        <v>1</v>
      </c>
      <c r="BM29" s="4" t="str">
        <f t="shared" si="4"/>
        <v/>
      </c>
      <c r="BN29" s="4" t="str">
        <f ca="1">IF(BM29="",BL29&amp;BC29,BM29&amp;BC29)</f>
        <v>1F</v>
      </c>
      <c r="BO29" s="4">
        <f>RANK(BH29,$BH$29:$BH$32,0)</f>
        <v>1</v>
      </c>
      <c r="BP29" s="4" cm="1">
        <f t="array" aca="1" ref="BP29" ca="1">SUMPRODUCT((OFFSET($CV$3:$EA$3,MATCH($BD29,$CU$4:$CU$35,0),0))*((IF($BO31=$BO29,$CV$3:$EA$3=$BD31,0))+(IF($BO32=$BO29,$CV$3:$EA$3=$BD32,0))+(IF($BO30=$BO29,$CV$3:$EA$3=$BD30,0))))</f>
        <v>0</v>
      </c>
      <c r="BQ29" s="4" cm="1">
        <f t="array" aca="1" ref="BQ29" ca="1">SUMPRODUCT((OFFSET($ED$3:$FI$3,MATCH($BD29,$EC$4:$EC$35,0),0))*((IF($BO31=$BO29,$ED$3:$FI$3=$BD31,0))+(IF($BO32=$BO29,$ED$3:$FI$3=$BD32,0))+(IF($BO30=$BO29,$ED$3:$FI$3=$BD30,0))))</f>
        <v>0</v>
      </c>
      <c r="BR29" s="4" cm="1">
        <f t="array" aca="1" ref="BR29" ca="1">SUMPRODUCT((OFFSET($FL$3:$GQ$3,MATCH($BD29,$FK$4:$FK$35,0),0))*((IF($BO31=$BO29,$FL$3:$GQ$3=$BD31,0))+(IF($BO32=$BO29,$FL$3:$GQ$3=$BD32,0))+(IF($BO30=$BO29,$FL$3:$GQ$3=$BD30,0))))</f>
        <v>0</v>
      </c>
      <c r="BS29" s="4" cm="1">
        <f t="array" aca="1" ref="BS29" ca="1">SUMPRODUCT((OFFSET($CV$3:$EA$3,MATCH($BD29,$CU$4:$CU$35,0),0))*((IF($BO31&lt;&gt;$BO29,$CV$3:$EA$3=$BD31,0))+(IF($BO32&lt;&gt;$BO29,$CV$3:$EA$3=$BD32,0))+(IF($BO30&lt;&gt;$BO29,$CV$3:$EA$3=$BD30,0))))</f>
        <v>0</v>
      </c>
      <c r="BT29" s="4" cm="1">
        <f t="array" aca="1" ref="BT29" ca="1">SUMPRODUCT((OFFSET($ED$3:$FI$3,MATCH($BD29,$EC$4:$EC$35,0),0))*((IF($BO31&lt;&gt;$BO29,$ED$3:$FI$3=$BD31,0))+(IF($BO32&lt;&gt;$BO29,$ED$3:$FI$3=$BD32,0))+(IF($BO30&lt;&gt;$BO29,$ED$3:$FI$3=$BD30,0))))</f>
        <v>0</v>
      </c>
      <c r="BU29" s="4" cm="1">
        <f t="array" aca="1" ref="BU29" ca="1">SUMPRODUCT((OFFSET($FL$3:$GQ$3,MATCH($BD29,$FK$4:$FK$35,0),0))*((IF($BO31&lt;&gt;$BO29,$FL$3:$GQ$3=$BD31,0))+(IF($BO32&lt;&gt;$BO29,$FL$3:$GQ$3=$BD32,0))+(IF($BO30&lt;&gt;$BO29,$FL$3:$GQ$3=$BD30,0))))</f>
        <v>0</v>
      </c>
      <c r="BV29" s="4">
        <f>BK29</f>
        <v>0</v>
      </c>
      <c r="BW29" s="4">
        <f>BI29</f>
        <v>0</v>
      </c>
      <c r="BX29" s="4">
        <f ca="1">(BP29/10)+(BQ29/100)+(BR29/1000)+(BT29/10000)+(BU29/100000)+(BV29/1000000)+(BW29/10000000)+(ROW(BS32)/100000000)</f>
        <v>3.2000000000000001E-7</v>
      </c>
      <c r="BY29" s="4">
        <f ca="1">+BO29-BX29</f>
        <v>0.99999967999999995</v>
      </c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U29" s="4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4"/>
      <c r="EC29" s="4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4"/>
      <c r="FK29" s="4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37"/>
      <c r="GM29" s="37"/>
      <c r="GN29" s="37"/>
      <c r="GO29" s="37"/>
      <c r="GP29" s="37"/>
      <c r="GQ29" s="37"/>
      <c r="GR29" s="75"/>
      <c r="GS29" s="148"/>
      <c r="GT29" s="157"/>
      <c r="GU29" s="75"/>
      <c r="GV29" s="75"/>
      <c r="GW29" s="75"/>
      <c r="GX29" s="75"/>
      <c r="GY29" s="75"/>
      <c r="GZ29" s="75"/>
    </row>
    <row r="30" spans="1:221" s="11" customFormat="1" ht="30" customHeight="1" x14ac:dyDescent="0.25">
      <c r="A30" s="20"/>
      <c r="B30" s="122">
        <v>27</v>
      </c>
      <c r="C30" s="122" t="s">
        <v>5</v>
      </c>
      <c r="D30" s="123">
        <v>45467</v>
      </c>
      <c r="E30" s="122" t="s">
        <v>85</v>
      </c>
      <c r="F30" s="124">
        <v>0.875</v>
      </c>
      <c r="G30" s="125">
        <f t="shared" si="11"/>
        <v>45467.625</v>
      </c>
      <c r="H30" s="122" t="s">
        <v>115</v>
      </c>
      <c r="I30" s="126"/>
      <c r="J30" s="118"/>
      <c r="K30" s="118"/>
      <c r="L30" s="174">
        <f>IF(I30="",0,IFERROR(IF(SCORING.RULES!$C$8="No",1,((VLOOKUP($B30,ACTUALS!$B$4:$L$100,7,FALSE)=$H30)+(VLOOKUP($B30,ACTUALS!$B$4:$L$100,7,FALSE)=S30)))*(M30+N30+O30+P30+Q30),0))+$R30</f>
        <v>0</v>
      </c>
      <c r="M30" s="168">
        <f>IFERROR(IF($B30="","",IF(U30=INDEX(ACTUALS!$AA$4:$AA$100,MATCH($B30,ACTUALS!$B$4:$B$100,0),1),CorrectScore,0)),0)</f>
        <v>0</v>
      </c>
      <c r="N30" s="157" t="str">
        <f>IFERROR(IF(I30="","",IF(INDEX(ACTUALS!$AB$4:$AB$100,MATCH($B30,ACTUALS!$B$4:$B$100,0),1)=(AB30+AC30+AH30+AI30),CorrectNumberofGoals,0)),0)</f>
        <v/>
      </c>
      <c r="O30" s="157"/>
      <c r="P30" s="157">
        <f>IFERROR(IF(B30="","",IF(INDEX(ACTUALS!$L$4:$L$100,MATCH($B30,ACTUALS!$B$4:$B$100,0),1)=W30,CorrectResult,0)),0)</f>
        <v>3</v>
      </c>
      <c r="Q30" s="157"/>
      <c r="R30" s="157"/>
      <c r="S30" s="157" t="str">
        <f t="shared" si="0"/>
        <v/>
      </c>
      <c r="T30" s="157"/>
      <c r="U30" s="157" t="str">
        <f t="shared" si="1"/>
        <v/>
      </c>
      <c r="V30" s="157" t="str">
        <f t="shared" si="2"/>
        <v/>
      </c>
      <c r="W30" s="119" t="str">
        <f>IF(tblActuals35415[[#This Row],[SCORE]]="","",IF(AB30=AC30,"Draw",IF(AB30&gt;AC30,X30,Y30)))</f>
        <v/>
      </c>
      <c r="X30" s="120" t="str">
        <f>IF(tblActuals35415[[#This Row],[TEAMS]]="","",LEFT(H30,FIND(" -",H30,1)-1))</f>
        <v>Albania</v>
      </c>
      <c r="Y30" s="120" t="str">
        <f>IF(tblActuals35415[[#This Row],[TEAMS]]="","",MID(H30,FIND("-",H30,1)+2,LEN(H30)-FIND("-",H30,1)+2))</f>
        <v>Spain</v>
      </c>
      <c r="Z30" s="120" t="str">
        <f>IF(tblActuals35415[[#This Row],[Team 1 Goals]]&gt;tblActuals35415[[#This Row],[Team 2 Goals]],tblActuals35415[[#This Row],[Team 1]],IF(tblActuals35415[[#This Row],[Team 2 Goals]]&gt;tblActuals35415[[#This Row],[Team 1 Goals]],tblActuals35415[[#This Row],[Team 2]],""))</f>
        <v/>
      </c>
      <c r="AA30" s="120" t="str">
        <f>IF(tblActuals35415[[#This Row],[Winner]]=tblActuals35415[[#This Row],[Team 1]],tblActuals35415[[#This Row],[Team 2]],IF(tblActuals35415[[#This Row],[Winner]]=tblActuals35415[[#This Row],[Team 2]],tblActuals35415[[#This Row],[Team 1]],""))</f>
        <v/>
      </c>
      <c r="AB30" s="120" t="str">
        <f>IF(tblActuals35415[[#This Row],[SCORE]]="","",LEFT(I30,FIND(":",I30,1)-1)*1)</f>
        <v/>
      </c>
      <c r="AC30" s="120" t="str">
        <f>IF(tblActuals35415[[#This Row],[SCORE]]="","",MID(I30,FIND(":",I30,1)+1,LEN(I30)-FIND(":",I30,1)+1)*1)</f>
        <v/>
      </c>
      <c r="AD30" s="120" t="str">
        <f>IF(OR(tblActuals35415[[#This Row],[Team 1 Goals]]="",tblActuals35415[[#This Row],[Team 2 Goals]]=""),"",tblActuals35415[[#This Row],[Team 1 Goals]]-tblActuals35415[[#This Row],[Team 2 Goals]])</f>
        <v/>
      </c>
      <c r="AE30" s="120" t="str">
        <f>IF(OR(tblActuals35415[[#This Row],[Team 1 Goals]]="",tblActuals35415[[#This Row],[Team 2 Goals]]=""),"",tblActuals35415[[#This Row],[Team 2 Goals]]-tblActuals35415[[#This Row],[Team 1 Goals]])</f>
        <v/>
      </c>
      <c r="AF30" s="120" t="str">
        <f>IF(tblActuals35415[[#This Row],[SCORE]]="","",IF(tblActuals35415[[#This Row],[WINNER / RESULT]]="Draw",1,IF(tblActuals35415[[#This Row],[WINNER / RESULT]]=tblActuals35415[[#This Row],[Team 1]],3,0)))</f>
        <v/>
      </c>
      <c r="AG30" s="120" t="str">
        <f>IF(tblActuals35415[[#This Row],[SCORE]]="","",IF(tblActuals35415[[#This Row],[WINNER / RESULT]]="Draw",1,IF(tblActuals35415[[#This Row],[WINNER / RESULT]]=tblActuals35415[[#This Row],[Team 2]],3,0)))</f>
        <v/>
      </c>
      <c r="AH30" s="121"/>
      <c r="AI30" s="121"/>
      <c r="AJ30" s="121"/>
      <c r="AK30" s="121"/>
      <c r="AL30" s="120" t="e">
        <f>tblActuals35415[[#This Row],[Team 1 Goals]]+tblActuals35415[[#This Row],[Team 1 ET Goals]]&amp;":"&amp;tblActuals35415[[#This Row],[Team 2 Goals]]+tblActuals35415[[#This Row],[Team 2 ET Goals]]</f>
        <v>#VALUE!</v>
      </c>
      <c r="AM30" s="120" t="e">
        <f>+tblActuals35415[[#This Row],[Team 1 Goals]]+tblActuals35415[[#This Row],[Team 2 Goals]]</f>
        <v>#VALUE!</v>
      </c>
      <c r="AN30" s="161">
        <f t="shared" si="3"/>
        <v>45467</v>
      </c>
      <c r="AT30" s="77" t="s">
        <v>12</v>
      </c>
      <c r="AU30" s="136">
        <v>1</v>
      </c>
      <c r="AV30" s="137" t="str">
        <f ca="1">IFERROR(INDEX(BD:BD,MATCH("1"&amp;AT30,BN:BN,0),1),"")</f>
        <v>Belgium</v>
      </c>
      <c r="AW30" s="137" t="str">
        <f ca="1">IF(AV30="","",VLOOKUP(AV30,BD:BI,2,FALSE)&amp;"-"&amp;VLOOKUP(AV30,BD:BI,3,FALSE)&amp;"-"&amp;VLOOKUP(AV30,BD:BI,4,FALSE))</f>
        <v>0-0-0</v>
      </c>
      <c r="AX30" s="137">
        <f ca="1">IF(AV30="","",VLOOKUP(AV30,BD:BK,8,FALSE))</f>
        <v>0</v>
      </c>
      <c r="AY30" s="138">
        <f ca="1">IF(AV30="","",VLOOKUP(AV30,BD:BN,5,FALSE))</f>
        <v>0</v>
      </c>
      <c r="AZ30" s="75"/>
      <c r="BA30" s="4"/>
      <c r="BB30" s="4"/>
      <c r="BC30" s="4" t="s">
        <v>45</v>
      </c>
      <c r="BD30" s="4" t="s">
        <v>134</v>
      </c>
      <c r="BE30" s="4">
        <f>COUNTIF(tblActuals35415[Winner],BD30)</f>
        <v>0</v>
      </c>
      <c r="BF30" s="4">
        <f>COUNTIFS(tblActuals35415[Team 2],BD30,tblActuals35415[WINNER / RESULT],"Draw")+COUNTIFS(tblActuals35415[Team 1],BD30,tblActuals35415[WINNER / RESULT],"Draw")</f>
        <v>0</v>
      </c>
      <c r="BG30" s="4">
        <f>COUNTIF(tblActuals35415[Loser],BD30)</f>
        <v>0</v>
      </c>
      <c r="BH30" s="4">
        <f>BF30+(3*BE30)</f>
        <v>0</v>
      </c>
      <c r="BI30" s="4">
        <f>SUMIFS(tblActuals35415[Team 1 Goals],tblActuals35415[Team 1],BD30)+SUMIFS(tblActuals35415[Team 2 Goals],tblActuals35415[Team 2],BD30)</f>
        <v>0</v>
      </c>
      <c r="BJ30" s="4">
        <f>SUMIFS(tblActuals35415[Team 2 Goals],tblActuals35415[Team 1],BD30)+SUMIFS(tblActuals35415[Team 1 Goals],tblActuals35415[Team 2],BD30)</f>
        <v>0</v>
      </c>
      <c r="BK30" s="4">
        <f>BI30-BJ30</f>
        <v>0</v>
      </c>
      <c r="BL30" s="4">
        <f ca="1">RANK(BY30,$BY$29:$BY$32,1)</f>
        <v>2</v>
      </c>
      <c r="BM30" s="4" t="str">
        <f t="shared" si="4"/>
        <v/>
      </c>
      <c r="BN30" s="4" t="str">
        <f ca="1">IF(BM30="",BL30&amp;BC30,BM30&amp;BC30)</f>
        <v>2F</v>
      </c>
      <c r="BO30" s="4">
        <f>RANK(BH30,$BH$29:$BH$32,0)</f>
        <v>1</v>
      </c>
      <c r="BP30" s="4" cm="1">
        <f t="array" aca="1" ref="BP30" ca="1">SUMPRODUCT((OFFSET($CV$3:$EA$3,MATCH($BD30,$CU$4:$CU$35,0),0))*((IF($BO31=$BO30,$CV$3:$EA$3=$BD31,0))+(IF($BO32=$BO30,$CV$3:$EA$3=$BD32,0))+(IF($BO29=$BO30,$CV$3:$EA$3=$BD29,0))))</f>
        <v>0</v>
      </c>
      <c r="BQ30" s="4" cm="1">
        <f t="array" aca="1" ref="BQ30" ca="1">SUMPRODUCT((OFFSET($ED$3:$FI$3,MATCH($BD30,$EC$4:$EC$35,0),0))*((IF($BO31=$BO30,$ED$3:$FI$3=$BD31,0))+(IF($BO32=$BO30,$ED$3:$FI$3=$BD32,0))+(IF($BO29=$BO30,$ED$3:$FI$3=$BD29,0))))</f>
        <v>0</v>
      </c>
      <c r="BR30" s="4" cm="1">
        <f t="array" aca="1" ref="BR30" ca="1">SUMPRODUCT((OFFSET($FL$3:$GQ$3,MATCH($BD30,$FK$4:$FK$35,0),0))*((IF($BO31=$BO30,$FL$3:$GQ$3=$BD31,0))+(IF($BO32=$BO30,$FL$3:$GQ$3=$BD32,0))+(IF($BO29=$BO30,$FL$3:$GQ$3=$BD29,0))))</f>
        <v>0</v>
      </c>
      <c r="BS30" s="4" cm="1">
        <f t="array" aca="1" ref="BS30" ca="1">SUMPRODUCT((OFFSET($CV$3:$EA$3,MATCH($BD30,$CU$4:$CU$35,0),0))*((IF($BO31&lt;&gt;$BO30,$CV$3:$EA$3=$BD31,0))+(IF($BO32&lt;&gt;$BO30,$CV$3:$EA$3=$BD32,0))+(IF($BO29&lt;&gt;$BO30,$CV$3:$EA$3=$BD29,0))))</f>
        <v>0</v>
      </c>
      <c r="BT30" s="4" cm="1">
        <f t="array" aca="1" ref="BT30" ca="1">SUMPRODUCT((OFFSET($ED$3:$FI$3,MATCH($BD30,$EC$4:$EC$35,0),0))*((IF($BO31&lt;&gt;$BO30,$ED$3:$FI$3=$BD31,0))+(IF($BO32&lt;&gt;$BO30,$ED$3:$FI$3=$BD32,0))+(IF($BO29&lt;&gt;$BO30,$ED$3:$FI$3=$BD29,0))))</f>
        <v>0</v>
      </c>
      <c r="BU30" s="4" cm="1">
        <f t="array" aca="1" ref="BU30" ca="1">SUMPRODUCT((OFFSET($FL$3:$GQ$3,MATCH($BD30,$FK$4:$FK$35,0),0))*((IF($BO31&lt;&gt;$BO30,$FL$3:$GQ$3=$BD31,0))+(IF($BO32&lt;&gt;$BO30,$FL$3:$GQ$3=$BD32,0))+(IF($BO29&lt;&gt;$BO30,$FL$3:$GQ$3=$BD29,0))))</f>
        <v>0</v>
      </c>
      <c r="BV30" s="4">
        <f>BK30</f>
        <v>0</v>
      </c>
      <c r="BW30" s="4">
        <f>BI30</f>
        <v>0</v>
      </c>
      <c r="BX30" s="4">
        <f ca="1">(BP30/10)+(BQ30/100)+(BR30/1000)+(BT30/10000)+(BU30/100000)+(BV30/1000000)+(BW30/10000000)+(ROW(BS31)/100000000)</f>
        <v>3.1E-7</v>
      </c>
      <c r="BY30" s="4">
        <f ca="1">+BO30-BX30</f>
        <v>0.99999969</v>
      </c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U30" s="4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4"/>
      <c r="EC30" s="4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4"/>
      <c r="FK30" s="4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37"/>
      <c r="GM30" s="37"/>
      <c r="GN30" s="37"/>
      <c r="GO30" s="37"/>
      <c r="GP30" s="37"/>
      <c r="GQ30" s="37"/>
      <c r="GR30" s="75"/>
      <c r="GS30" s="148"/>
      <c r="GT30" s="157"/>
      <c r="GU30" s="75"/>
      <c r="GV30" s="75"/>
      <c r="GW30" s="75"/>
      <c r="GX30" s="75"/>
      <c r="GY30" s="75"/>
      <c r="GZ30" s="75"/>
      <c r="HA30" s="97" t="str">
        <f>_xlfn.CONCAT(A9,A10,A11,A12,A13,A14,A15,A16)</f>
        <v/>
      </c>
    </row>
    <row r="31" spans="1:221" s="11" customFormat="1" ht="30" customHeight="1" x14ac:dyDescent="0.25">
      <c r="A31" s="20"/>
      <c r="B31" s="122">
        <v>28</v>
      </c>
      <c r="C31" s="122" t="s">
        <v>5</v>
      </c>
      <c r="D31" s="123">
        <v>45467</v>
      </c>
      <c r="E31" s="122" t="s">
        <v>87</v>
      </c>
      <c r="F31" s="124">
        <v>0.875</v>
      </c>
      <c r="G31" s="125">
        <f t="shared" si="11"/>
        <v>45467.625</v>
      </c>
      <c r="H31" s="122" t="s">
        <v>116</v>
      </c>
      <c r="I31" s="126"/>
      <c r="J31" s="118"/>
      <c r="K31" s="118"/>
      <c r="L31" s="174">
        <f>IF(I31="",0,IFERROR(IF(SCORING.RULES!$C$8="No",1,((VLOOKUP($B31,ACTUALS!$B$4:$L$100,7,FALSE)=$H31)+(VLOOKUP($B31,ACTUALS!$B$4:$L$100,7,FALSE)=S31)))*(M31+N31+O31+P31+Q31),0))+$R31</f>
        <v>0</v>
      </c>
      <c r="M31" s="168">
        <f>IFERROR(IF($B31="","",IF(U31=INDEX(ACTUALS!$AA$4:$AA$100,MATCH($B31,ACTUALS!$B$4:$B$100,0),1),CorrectScore,0)),0)</f>
        <v>0</v>
      </c>
      <c r="N31" s="157" t="str">
        <f>IFERROR(IF(I31="","",IF(INDEX(ACTUALS!$AB$4:$AB$100,MATCH($B31,ACTUALS!$B$4:$B$100,0),1)=(AB31+AC31+AH31+AI31),CorrectNumberofGoals,0)),0)</f>
        <v/>
      </c>
      <c r="O31" s="157"/>
      <c r="P31" s="157">
        <f>IFERROR(IF(B31="","",IF(INDEX(ACTUALS!$L$4:$L$100,MATCH($B31,ACTUALS!$B$4:$B$100,0),1)=W31,CorrectResult,0)),0)</f>
        <v>3</v>
      </c>
      <c r="Q31" s="157"/>
      <c r="R31" s="157"/>
      <c r="S31" s="157" t="str">
        <f t="shared" si="0"/>
        <v/>
      </c>
      <c r="T31" s="157"/>
      <c r="U31" s="157" t="str">
        <f t="shared" si="1"/>
        <v/>
      </c>
      <c r="V31" s="157" t="str">
        <f t="shared" si="2"/>
        <v/>
      </c>
      <c r="W31" s="119" t="str">
        <f>IF(tblActuals35415[[#This Row],[SCORE]]="","",IF(AB31=AC31,"Draw",IF(AB31&gt;AC31,X31,Y31)))</f>
        <v/>
      </c>
      <c r="X31" s="120" t="str">
        <f>IF(tblActuals35415[[#This Row],[TEAMS]]="","",LEFT(H31,FIND(" -",H31,1)-1))</f>
        <v>Croatia</v>
      </c>
      <c r="Y31" s="120" t="str">
        <f>IF(tblActuals35415[[#This Row],[TEAMS]]="","",MID(H31,FIND("-",H31,1)+2,LEN(H31)-FIND("-",H31,1)+2))</f>
        <v>Italy</v>
      </c>
      <c r="Z31" s="120" t="str">
        <f>IF(tblActuals35415[[#This Row],[Team 1 Goals]]&gt;tblActuals35415[[#This Row],[Team 2 Goals]],tblActuals35415[[#This Row],[Team 1]],IF(tblActuals35415[[#This Row],[Team 2 Goals]]&gt;tblActuals35415[[#This Row],[Team 1 Goals]],tblActuals35415[[#This Row],[Team 2]],""))</f>
        <v/>
      </c>
      <c r="AA31" s="120" t="str">
        <f>IF(tblActuals35415[[#This Row],[Winner]]=tblActuals35415[[#This Row],[Team 1]],tblActuals35415[[#This Row],[Team 2]],IF(tblActuals35415[[#This Row],[Winner]]=tblActuals35415[[#This Row],[Team 2]],tblActuals35415[[#This Row],[Team 1]],""))</f>
        <v/>
      </c>
      <c r="AB31" s="120" t="str">
        <f>IF(tblActuals35415[[#This Row],[SCORE]]="","",LEFT(I31,FIND(":",I31,1)-1)*1)</f>
        <v/>
      </c>
      <c r="AC31" s="120" t="str">
        <f>IF(tblActuals35415[[#This Row],[SCORE]]="","",MID(I31,FIND(":",I31,1)+1,LEN(I31)-FIND(":",I31,1)+1)*1)</f>
        <v/>
      </c>
      <c r="AD31" s="120" t="str">
        <f>IF(OR(tblActuals35415[[#This Row],[Team 1 Goals]]="",tblActuals35415[[#This Row],[Team 2 Goals]]=""),"",tblActuals35415[[#This Row],[Team 1 Goals]]-tblActuals35415[[#This Row],[Team 2 Goals]])</f>
        <v/>
      </c>
      <c r="AE31" s="120" t="str">
        <f>IF(OR(tblActuals35415[[#This Row],[Team 1 Goals]]="",tblActuals35415[[#This Row],[Team 2 Goals]]=""),"",tblActuals35415[[#This Row],[Team 2 Goals]]-tblActuals35415[[#This Row],[Team 1 Goals]])</f>
        <v/>
      </c>
      <c r="AF31" s="120" t="str">
        <f>IF(tblActuals35415[[#This Row],[SCORE]]="","",IF(tblActuals35415[[#This Row],[WINNER / RESULT]]="Draw",1,IF(tblActuals35415[[#This Row],[WINNER / RESULT]]=tblActuals35415[[#This Row],[Team 1]],3,0)))</f>
        <v/>
      </c>
      <c r="AG31" s="120" t="str">
        <f>IF(tblActuals35415[[#This Row],[SCORE]]="","",IF(tblActuals35415[[#This Row],[WINNER / RESULT]]="Draw",1,IF(tblActuals35415[[#This Row],[WINNER / RESULT]]=tblActuals35415[[#This Row],[Team 2]],3,0)))</f>
        <v/>
      </c>
      <c r="AH31" s="121"/>
      <c r="AI31" s="121"/>
      <c r="AJ31" s="121"/>
      <c r="AK31" s="121"/>
      <c r="AL31" s="120" t="e">
        <f>tblActuals35415[[#This Row],[Team 1 Goals]]+tblActuals35415[[#This Row],[Team 1 ET Goals]]&amp;":"&amp;tblActuals35415[[#This Row],[Team 2 Goals]]+tblActuals35415[[#This Row],[Team 2 ET Goals]]</f>
        <v>#VALUE!</v>
      </c>
      <c r="AM31" s="120" t="e">
        <f>+tblActuals35415[[#This Row],[Team 1 Goals]]+tblActuals35415[[#This Row],[Team 2 Goals]]</f>
        <v>#VALUE!</v>
      </c>
      <c r="AN31" s="161">
        <f t="shared" si="3"/>
        <v>45467</v>
      </c>
      <c r="AT31" s="77" t="s">
        <v>12</v>
      </c>
      <c r="AU31" s="139">
        <v>2</v>
      </c>
      <c r="AV31" s="140" t="str">
        <f ca="1">IFERROR(INDEX(BD:BD,MATCH("2"&amp;AT31,BN:BN,0),1),"")</f>
        <v>Romania</v>
      </c>
      <c r="AW31" s="140" t="str">
        <f ca="1">IF(AV31="","",VLOOKUP(AV31,BD:BI,2,FALSE)&amp;"-"&amp;VLOOKUP(AV31,BD:BI,3,FALSE)&amp;"-"&amp;VLOOKUP(AV31,BD:BI,4,FALSE))</f>
        <v>0-0-0</v>
      </c>
      <c r="AX31" s="140">
        <f ca="1">IF(AV31="","",VLOOKUP(AV31,BD:BK,8,FALSE))</f>
        <v>0</v>
      </c>
      <c r="AY31" s="141">
        <f ca="1">IF(AV31="","",VLOOKUP(AV31,BD:BN,5,FALSE))</f>
        <v>0</v>
      </c>
      <c r="AZ31" s="75"/>
      <c r="BA31" s="4"/>
      <c r="BB31" s="4"/>
      <c r="BC31" s="4" t="s">
        <v>45</v>
      </c>
      <c r="BD31" s="4" t="s">
        <v>30</v>
      </c>
      <c r="BE31" s="4">
        <f>COUNTIF(tblActuals35415[Winner],BD31)</f>
        <v>0</v>
      </c>
      <c r="BF31" s="4">
        <f>COUNTIFS(tblActuals35415[Team 2],BD31,tblActuals35415[WINNER / RESULT],"Draw")+COUNTIFS(tblActuals35415[Team 1],BD31,tblActuals35415[WINNER / RESULT],"Draw")</f>
        <v>0</v>
      </c>
      <c r="BG31" s="4">
        <f>COUNTIF(tblActuals35415[Loser],BD31)</f>
        <v>0</v>
      </c>
      <c r="BH31" s="4">
        <f>BF31+(3*BE31)</f>
        <v>0</v>
      </c>
      <c r="BI31" s="4">
        <f>SUMIFS(tblActuals35415[Team 1 Goals],tblActuals35415[Team 1],BD31)+SUMIFS(tblActuals35415[Team 2 Goals],tblActuals35415[Team 2],BD31)</f>
        <v>0</v>
      </c>
      <c r="BJ31" s="4">
        <f>SUMIFS(tblActuals35415[Team 2 Goals],tblActuals35415[Team 1],BD31)+SUMIFS(tblActuals35415[Team 1 Goals],tblActuals35415[Team 2],BD31)</f>
        <v>0</v>
      </c>
      <c r="BK31" s="4">
        <f>BI31-BJ31</f>
        <v>0</v>
      </c>
      <c r="BL31" s="4">
        <f ca="1">RANK(BY31,$BY$29:$BY$32,1)</f>
        <v>3</v>
      </c>
      <c r="BM31" s="4" t="str">
        <f t="shared" si="4"/>
        <v/>
      </c>
      <c r="BN31" s="4" t="str">
        <f ca="1">IF(BM31="",BL31&amp;BC31,BM31&amp;BC31)</f>
        <v>3F</v>
      </c>
      <c r="BO31" s="4">
        <f>RANK(BH31,$BH$29:$BH$32,0)</f>
        <v>1</v>
      </c>
      <c r="BP31" s="4" cm="1">
        <f t="array" aca="1" ref="BP31" ca="1">SUMPRODUCT((OFFSET($CV$3:$EA$3,MATCH($BD31,$CU$4:$CU$35,0),0))*((IF($BO29=$BO31,$CV$3:$EA$3=$BD29,0))+(IF($BO32=$BO31,$CV$3:$EA$3=$BD32,0))+(IF($BO30=$BO31,$CV$3:$EA$3=$BD30,0))))</f>
        <v>0</v>
      </c>
      <c r="BQ31" s="4" cm="1">
        <f t="array" aca="1" ref="BQ31" ca="1">SUMPRODUCT((OFFSET($ED$3:$FI$3,MATCH($BD31,$EC$4:$EC$35,0),0))*((IF($BO29=$BO31,$ED$3:$FI$3=$BD29,0))+(IF($BO32=$BO31,$ED$3:$FI$3=$BD32,0))+(IF($BO30=$BO31,$ED$3:$FI$3=$BD30,0))))</f>
        <v>0</v>
      </c>
      <c r="BR31" s="4" cm="1">
        <f t="array" aca="1" ref="BR31" ca="1">SUMPRODUCT((OFFSET($FL$3:$GQ$3,MATCH($BD31,$FK$4:$FK$35,0),0))*((IF($BO29=$BO31,$FL$3:$GQ$3=$BD29,0))+(IF($BO32=$BO31,$FL$3:$GQ$3=$BD32,0))+(IF($BO30=$BO31,$FL$3:$GQ$3=$BD30,0))))</f>
        <v>0</v>
      </c>
      <c r="BS31" s="4" cm="1">
        <f t="array" aca="1" ref="BS31" ca="1">SUMPRODUCT((OFFSET($CV$3:$EA$3,MATCH($BD31,$CU$4:$CU$35,0),0))*((IF($BO29&lt;&gt;$BO31,$CV$3:$EA$3=$BD29,0))+(IF($BO32&lt;&gt;$BO31,$CV$3:$EA$3=$BD32,0))+(IF($BO30&lt;&gt;$BO31,$CV$3:$EA$3=$BD30,0))))</f>
        <v>0</v>
      </c>
      <c r="BT31" s="4" cm="1">
        <f t="array" aca="1" ref="BT31" ca="1">SUMPRODUCT((OFFSET($ED$3:$FI$3,MATCH($BD31,$EC$4:$EC$35,0),0))*((IF($BO29&lt;&gt;$BO31,$ED$3:$FI$3=$BD29,0))+(IF($BO32&lt;&gt;$BO31,$ED$3:$FI$3=$BD32,0))+(IF($BO30&lt;&gt;$BO31,$ED$3:$FI$3=$BD30,0))))</f>
        <v>0</v>
      </c>
      <c r="BU31" s="4" cm="1">
        <f t="array" aca="1" ref="BU31" ca="1">SUMPRODUCT((OFFSET($FL$3:$GQ$3,MATCH($BD31,$FK$4:$FK$35,0),0))*((IF($BO29&lt;&gt;$BO31,$FL$3:$GQ$3=$BD29,0))+(IF($BO32&lt;&gt;$BO31,$FL$3:$GQ$3=$BD32,0))+(IF($BO30&lt;&gt;$BO31,$FL$3:$GQ$3=$BD30,0))))</f>
        <v>0</v>
      </c>
      <c r="BV31" s="4">
        <f>BK31</f>
        <v>0</v>
      </c>
      <c r="BW31" s="4">
        <f>BI31</f>
        <v>0</v>
      </c>
      <c r="BX31" s="4">
        <f ca="1">(BP31/10)+(BQ31/100)+(BR31/1000)+(BT31/10000)+(BU31/100000)+(BV31/1000000)+(BW31/10000000)+(ROW(BS30)/100000000)</f>
        <v>2.9999999999999999E-7</v>
      </c>
      <c r="BY31" s="4">
        <f ca="1">+BO31-BX31</f>
        <v>0.99999970000000005</v>
      </c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U31" s="4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4"/>
      <c r="EC31" s="4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4"/>
      <c r="FK31" s="4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37"/>
      <c r="GM31" s="37"/>
      <c r="GN31" s="37"/>
      <c r="GO31" s="37"/>
      <c r="GP31" s="37"/>
      <c r="GQ31" s="37"/>
      <c r="GR31" s="75"/>
      <c r="GS31" s="157"/>
      <c r="GT31" s="157"/>
      <c r="GU31" s="75"/>
      <c r="GV31" s="75"/>
      <c r="GW31" s="75"/>
      <c r="GX31" s="75"/>
      <c r="GY31" s="75"/>
      <c r="GZ31" s="75"/>
    </row>
    <row r="32" spans="1:221" s="11" customFormat="1" ht="30" customHeight="1" x14ac:dyDescent="0.25">
      <c r="A32" s="20"/>
      <c r="B32" s="122">
        <v>29</v>
      </c>
      <c r="C32" s="122" t="s">
        <v>6</v>
      </c>
      <c r="D32" s="123">
        <v>45468</v>
      </c>
      <c r="E32" s="122" t="s">
        <v>79</v>
      </c>
      <c r="F32" s="124">
        <v>0.875</v>
      </c>
      <c r="G32" s="125">
        <f t="shared" si="11"/>
        <v>45468.625</v>
      </c>
      <c r="H32" s="122" t="s">
        <v>117</v>
      </c>
      <c r="I32" s="126"/>
      <c r="J32" s="118"/>
      <c r="K32" s="118"/>
      <c r="L32" s="174">
        <f>IF(I32="",0,IFERROR(IF(SCORING.RULES!$C$8="No",1,((VLOOKUP($B32,ACTUALS!$B$4:$L$100,7,FALSE)=$H32)+(VLOOKUP($B32,ACTUALS!$B$4:$L$100,7,FALSE)=S32)))*(M32+N32+O32+P32+Q32),0))+$R32</f>
        <v>0</v>
      </c>
      <c r="M32" s="168">
        <f>IFERROR(IF($B32="","",IF(U32=INDEX(ACTUALS!$AA$4:$AA$100,MATCH($B32,ACTUALS!$B$4:$B$100,0),1),CorrectScore,0)),0)</f>
        <v>0</v>
      </c>
      <c r="N32" s="157" t="str">
        <f>IFERROR(IF(I32="","",IF(INDEX(ACTUALS!$AB$4:$AB$100,MATCH($B32,ACTUALS!$B$4:$B$100,0),1)=(AB32+AC32+AH32+AI32),CorrectNumberofGoals,0)),0)</f>
        <v/>
      </c>
      <c r="O32" s="157"/>
      <c r="P32" s="157">
        <f>IFERROR(IF(B32="","",IF(INDEX(ACTUALS!$L$4:$L$100,MATCH($B32,ACTUALS!$B$4:$B$100,0),1)=W32,CorrectResult,0)),0)</f>
        <v>3</v>
      </c>
      <c r="Q32" s="157"/>
      <c r="R32" s="157"/>
      <c r="S32" s="157" t="str">
        <f t="shared" si="0"/>
        <v/>
      </c>
      <c r="T32" s="157"/>
      <c r="U32" s="157" t="str">
        <f t="shared" si="1"/>
        <v/>
      </c>
      <c r="V32" s="157" t="str">
        <f t="shared" si="2"/>
        <v/>
      </c>
      <c r="W32" s="119" t="str">
        <f>IF(tblActuals35415[[#This Row],[SCORE]]="","",IF(AB32=AC32,"Draw",IF(AB32&gt;AC32,X32,Y32)))</f>
        <v/>
      </c>
      <c r="X32" s="120" t="str">
        <f>IF(tblActuals35415[[#This Row],[TEAMS]]="","",LEFT(H32,FIND(" -",H32,1)-1))</f>
        <v>England</v>
      </c>
      <c r="Y32" s="120" t="str">
        <f>IF(tblActuals35415[[#This Row],[TEAMS]]="","",MID(H32,FIND("-",H32,1)+2,LEN(H32)-FIND("-",H32,1)+2))</f>
        <v>Slovenia</v>
      </c>
      <c r="Z32" s="120" t="str">
        <f>IF(tblActuals35415[[#This Row],[Team 1 Goals]]&gt;tblActuals35415[[#This Row],[Team 2 Goals]],tblActuals35415[[#This Row],[Team 1]],IF(tblActuals35415[[#This Row],[Team 2 Goals]]&gt;tblActuals35415[[#This Row],[Team 1 Goals]],tblActuals35415[[#This Row],[Team 2]],""))</f>
        <v/>
      </c>
      <c r="AA32" s="120" t="str">
        <f>IF(tblActuals35415[[#This Row],[Winner]]=tblActuals35415[[#This Row],[Team 1]],tblActuals35415[[#This Row],[Team 2]],IF(tblActuals35415[[#This Row],[Winner]]=tblActuals35415[[#This Row],[Team 2]],tblActuals35415[[#This Row],[Team 1]],""))</f>
        <v/>
      </c>
      <c r="AB32" s="120" t="str">
        <f>IF(tblActuals35415[[#This Row],[SCORE]]="","",LEFT(I32,FIND(":",I32,1)-1)*1)</f>
        <v/>
      </c>
      <c r="AC32" s="120" t="str">
        <f>IF(tblActuals35415[[#This Row],[SCORE]]="","",MID(I32,FIND(":",I32,1)+1,LEN(I32)-FIND(":",I32,1)+1)*1)</f>
        <v/>
      </c>
      <c r="AD32" s="120" t="str">
        <f>IF(OR(tblActuals35415[[#This Row],[Team 1 Goals]]="",tblActuals35415[[#This Row],[Team 2 Goals]]=""),"",tblActuals35415[[#This Row],[Team 1 Goals]]-tblActuals35415[[#This Row],[Team 2 Goals]])</f>
        <v/>
      </c>
      <c r="AE32" s="120" t="str">
        <f>IF(OR(tblActuals35415[[#This Row],[Team 1 Goals]]="",tblActuals35415[[#This Row],[Team 2 Goals]]=""),"",tblActuals35415[[#This Row],[Team 2 Goals]]-tblActuals35415[[#This Row],[Team 1 Goals]])</f>
        <v/>
      </c>
      <c r="AF32" s="120" t="str">
        <f>IF(tblActuals35415[[#This Row],[SCORE]]="","",IF(tblActuals35415[[#This Row],[WINNER / RESULT]]="Draw",1,IF(tblActuals35415[[#This Row],[WINNER / RESULT]]=tblActuals35415[[#This Row],[Team 1]],3,0)))</f>
        <v/>
      </c>
      <c r="AG32" s="120" t="str">
        <f>IF(tblActuals35415[[#This Row],[SCORE]]="","",IF(tblActuals35415[[#This Row],[WINNER / RESULT]]="Draw",1,IF(tblActuals35415[[#This Row],[WINNER / RESULT]]=tblActuals35415[[#This Row],[Team 2]],3,0)))</f>
        <v/>
      </c>
      <c r="AH32" s="121"/>
      <c r="AI32" s="121"/>
      <c r="AJ32" s="121"/>
      <c r="AK32" s="121"/>
      <c r="AL32" s="120" t="e">
        <f>tblActuals35415[[#This Row],[Team 1 Goals]]+tblActuals35415[[#This Row],[Team 1 ET Goals]]&amp;":"&amp;tblActuals35415[[#This Row],[Team 2 Goals]]+tblActuals35415[[#This Row],[Team 2 ET Goals]]</f>
        <v>#VALUE!</v>
      </c>
      <c r="AM32" s="120" t="e">
        <f>+tblActuals35415[[#This Row],[Team 1 Goals]]+tblActuals35415[[#This Row],[Team 2 Goals]]</f>
        <v>#VALUE!</v>
      </c>
      <c r="AN32" s="161">
        <f t="shared" si="3"/>
        <v>45468</v>
      </c>
      <c r="AT32" s="77" t="s">
        <v>12</v>
      </c>
      <c r="AU32" s="142">
        <v>3</v>
      </c>
      <c r="AV32" s="143" t="str">
        <f ca="1">IFERROR(INDEX(BD:BD,MATCH("3"&amp;AT32,BN:BN,0),1),"")</f>
        <v>Slovakia</v>
      </c>
      <c r="AW32" s="143" t="str">
        <f ca="1">IF(AV32="","",VLOOKUP(AV32,BD:BI,2,FALSE)&amp;"-"&amp;VLOOKUP(AV32,BD:BI,3,FALSE)&amp;"-"&amp;VLOOKUP(AV32,BD:BI,4,FALSE))</f>
        <v>0-0-0</v>
      </c>
      <c r="AX32" s="143">
        <f ca="1">IF(AV32="","",VLOOKUP(AV32,BD:BK,8,FALSE))</f>
        <v>0</v>
      </c>
      <c r="AY32" s="144">
        <f ca="1">IF(AV32="","",VLOOKUP(AV32,BD:BN,5,FALSE))</f>
        <v>0</v>
      </c>
      <c r="AZ32" s="75" t="str">
        <f ca="1">IF(INDEX($AU$43:$AU$48,MATCH(AV32,$AV$43:$AV$48,0),1)&lt;=4,"X","")</f>
        <v>X</v>
      </c>
      <c r="BA32" s="4"/>
      <c r="BB32" s="4"/>
      <c r="BC32" s="4" t="s">
        <v>45</v>
      </c>
      <c r="BD32" s="4" t="s">
        <v>133</v>
      </c>
      <c r="BE32" s="4">
        <f>COUNTIF(tblActuals35415[Winner],BD32)</f>
        <v>0</v>
      </c>
      <c r="BF32" s="4">
        <f>COUNTIFS(tblActuals35415[Team 2],BD32,tblActuals35415[WINNER / RESULT],"Draw")+COUNTIFS(tblActuals35415[Team 1],BD32,tblActuals35415[WINNER / RESULT],"Draw")</f>
        <v>0</v>
      </c>
      <c r="BG32" s="4">
        <f>COUNTIF(tblActuals35415[Loser],BD32)</f>
        <v>0</v>
      </c>
      <c r="BH32" s="4">
        <f>BF32+(3*BE32)</f>
        <v>0</v>
      </c>
      <c r="BI32" s="4">
        <f>SUMIFS(tblActuals35415[Team 1 Goals],tblActuals35415[Team 1],BD32)+SUMIFS(tblActuals35415[Team 2 Goals],tblActuals35415[Team 2],BD32)</f>
        <v>0</v>
      </c>
      <c r="BJ32" s="4">
        <f>SUMIFS(tblActuals35415[Team 2 Goals],tblActuals35415[Team 1],BD32)+SUMIFS(tblActuals35415[Team 1 Goals],tblActuals35415[Team 2],BD32)</f>
        <v>0</v>
      </c>
      <c r="BK32" s="4">
        <f>BI32-BJ32</f>
        <v>0</v>
      </c>
      <c r="BL32" s="4">
        <f ca="1">RANK(BY32,$BY$29:$BY$32,1)</f>
        <v>4</v>
      </c>
      <c r="BM32" s="4" t="str">
        <f t="shared" si="4"/>
        <v/>
      </c>
      <c r="BN32" s="4" t="str">
        <f ca="1">IF(BM32="",BL32&amp;BC32,BM32&amp;BC32)</f>
        <v>4F</v>
      </c>
      <c r="BO32" s="4">
        <f>RANK(BH32,$BH$29:$BH$32,0)</f>
        <v>1</v>
      </c>
      <c r="BP32" s="4" cm="1">
        <f t="array" aca="1" ref="BP32" ca="1">SUMPRODUCT((OFFSET($CV$3:$EA$3,MATCH($BD32,$CU$4:$CU$35,0),0))*((IF($BO30=$BO32,$CV$3:$EA$3=$BD30,0))+(IF($BO29=$BO32,$CV$3:$EA$3=$BD29,0))+(IF($BO31=$BO32,$CV$3:$EA$3=$BD31,0))))</f>
        <v>0</v>
      </c>
      <c r="BQ32" s="4" cm="1">
        <f t="array" aca="1" ref="BQ32" ca="1">SUMPRODUCT((OFFSET($ED$3:$FI$3,MATCH($BD32,$EC$4:$EC$35,0),0))*((IF($BO30=$BO32,$ED$3:$FI$3=$BD30,0))+(IF($BO29=$BO32,$ED$3:$FI$3=$BD29,0))+(IF($BO31=$BO32,$ED$3:$FI$3=$BD31,0))))</f>
        <v>0</v>
      </c>
      <c r="BR32" s="4" cm="1">
        <f t="array" aca="1" ref="BR32" ca="1">SUMPRODUCT((OFFSET($FL$3:$GQ$3,MATCH($BD32,$FK$4:$FK$35,0),0))*((IF($BO30=$BO32,$FL$3:$GQ$3=$BD30,0))+(IF($BO29=$BO32,$FL$3:$GQ$3=$BD29,0))+(IF($BO31=$BO32,$FL$3:$GQ$3=$BD31,0))))</f>
        <v>0</v>
      </c>
      <c r="BS32" s="4" cm="1">
        <f t="array" aca="1" ref="BS32" ca="1">SUMPRODUCT((OFFSET($CV$3:$EA$3,MATCH($BD32,$CU$4:$CU$35,0),0))*((IF($BO30&lt;&gt;$BO32,$CV$3:$EA$3=$BD30,0))+(IF($BO29&lt;&gt;$BO32,$CV$3:$EA$3=$BD29,0))+(IF($BO31&lt;&gt;$BO32,$CV$3:$EA$3=$BD31,0))))</f>
        <v>0</v>
      </c>
      <c r="BT32" s="4" cm="1">
        <f t="array" aca="1" ref="BT32" ca="1">SUMPRODUCT((OFFSET($ED$3:$FI$3,MATCH($BD32,$EC$4:$EC$35,0),0))*((IF($BO30&lt;&gt;$BO32,$ED$3:$FI$3=$BD30,0))+(IF($BO29&lt;&gt;$BO32,$ED$3:$FI$3=$BD29,0))+(IF($BO31&lt;&gt;$BO32,$ED$3:$FI$3=$BD31,0))))</f>
        <v>0</v>
      </c>
      <c r="BU32" s="4" cm="1">
        <f t="array" aca="1" ref="BU32" ca="1">SUMPRODUCT((OFFSET($FL$3:$GQ$3,MATCH($BD32,$FK$4:$FK$35,0),0))*((IF($BO30&lt;&gt;$BO32,$FL$3:$GQ$3=$BD30,0))+(IF($BO29&lt;&gt;$BO32,$FL$3:$GQ$3=$BD29,0))+(IF($BO31&lt;&gt;$BO32,$FL$3:$GQ$3=$BD31,0))))</f>
        <v>0</v>
      </c>
      <c r="BV32" s="4">
        <f>BK32</f>
        <v>0</v>
      </c>
      <c r="BW32" s="4">
        <f>BI32</f>
        <v>0</v>
      </c>
      <c r="BX32" s="4">
        <f ca="1">(BP32/10)+(BQ32/100)+(BR32/1000)+(BT32/10000)+(BU32/100000)+(BV32/1000000)+(BW32/10000000)+(ROW(BS29)/100000000)</f>
        <v>2.8999999999999998E-7</v>
      </c>
      <c r="BY32" s="4">
        <f ca="1">+BO32-BX32</f>
        <v>0.99999970999999999</v>
      </c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U32" s="4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4"/>
      <c r="EC32" s="4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4"/>
      <c r="FK32" s="4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37"/>
      <c r="GM32" s="37"/>
      <c r="GN32" s="37"/>
      <c r="GO32" s="37"/>
      <c r="GP32" s="37"/>
      <c r="GQ32" s="37"/>
      <c r="GR32" s="75"/>
      <c r="GS32" s="157"/>
      <c r="GT32" s="157"/>
      <c r="GU32" s="79"/>
      <c r="GV32" s="79"/>
      <c r="GW32" s="79"/>
      <c r="GX32" s="79"/>
      <c r="GY32" s="79"/>
      <c r="GZ32" s="79"/>
    </row>
    <row r="33" spans="1:208" s="11" customFormat="1" ht="30" customHeight="1" thickBot="1" x14ac:dyDescent="0.3">
      <c r="A33" s="20"/>
      <c r="B33" s="122">
        <v>30</v>
      </c>
      <c r="C33" s="122" t="s">
        <v>6</v>
      </c>
      <c r="D33" s="123">
        <v>45468</v>
      </c>
      <c r="E33" s="122" t="s">
        <v>78</v>
      </c>
      <c r="F33" s="124">
        <v>0.875</v>
      </c>
      <c r="G33" s="125">
        <f t="shared" si="11"/>
        <v>45468.625</v>
      </c>
      <c r="H33" s="122" t="s">
        <v>118</v>
      </c>
      <c r="I33" s="126"/>
      <c r="J33" s="118"/>
      <c r="K33" s="118"/>
      <c r="L33" s="174">
        <f>IF(I33="",0,IFERROR(IF(SCORING.RULES!$C$8="No",1,((VLOOKUP($B33,ACTUALS!$B$4:$L$100,7,FALSE)=$H33)+(VLOOKUP($B33,ACTUALS!$B$4:$L$100,7,FALSE)=S33)))*(M33+N33+O33+P33+Q33),0))+$R33</f>
        <v>0</v>
      </c>
      <c r="M33" s="168">
        <f>IFERROR(IF($B33="","",IF(U33=INDEX(ACTUALS!$AA$4:$AA$100,MATCH($B33,ACTUALS!$B$4:$B$100,0),1),CorrectScore,0)),0)</f>
        <v>0</v>
      </c>
      <c r="N33" s="157" t="str">
        <f>IFERROR(IF(I33="","",IF(INDEX(ACTUALS!$AB$4:$AB$100,MATCH($B33,ACTUALS!$B$4:$B$100,0),1)=(AB33+AC33+AH33+AI33),CorrectNumberofGoals,0)),0)</f>
        <v/>
      </c>
      <c r="O33" s="157"/>
      <c r="P33" s="157">
        <f>IFERROR(IF(B33="","",IF(INDEX(ACTUALS!$L$4:$L$100,MATCH($B33,ACTUALS!$B$4:$B$100,0),1)=W33,CorrectResult,0)),0)</f>
        <v>3</v>
      </c>
      <c r="Q33" s="157"/>
      <c r="R33" s="157"/>
      <c r="S33" s="157" t="str">
        <f t="shared" si="0"/>
        <v/>
      </c>
      <c r="T33" s="157"/>
      <c r="U33" s="157" t="str">
        <f t="shared" si="1"/>
        <v/>
      </c>
      <c r="V33" s="157" t="str">
        <f t="shared" si="2"/>
        <v/>
      </c>
      <c r="W33" s="119" t="str">
        <f>IF(tblActuals35415[[#This Row],[SCORE]]="","",IF(AB33=AC33,"Draw",IF(AB33&gt;AC33,X33,Y33)))</f>
        <v/>
      </c>
      <c r="X33" s="120" t="str">
        <f>IF(tblActuals35415[[#This Row],[TEAMS]]="","",LEFT(H33,FIND(" -",H33,1)-1))</f>
        <v>Denmark</v>
      </c>
      <c r="Y33" s="120" t="str">
        <f>IF(tblActuals35415[[#This Row],[TEAMS]]="","",MID(H33,FIND("-",H33,1)+2,LEN(H33)-FIND("-",H33,1)+2))</f>
        <v>Serbia</v>
      </c>
      <c r="Z33" s="120" t="str">
        <f>IF(tblActuals35415[[#This Row],[Team 1 Goals]]&gt;tblActuals35415[[#This Row],[Team 2 Goals]],tblActuals35415[[#This Row],[Team 1]],IF(tblActuals35415[[#This Row],[Team 2 Goals]]&gt;tblActuals35415[[#This Row],[Team 1 Goals]],tblActuals35415[[#This Row],[Team 2]],""))</f>
        <v/>
      </c>
      <c r="AA33" s="120" t="str">
        <f>IF(tblActuals35415[[#This Row],[Winner]]=tblActuals35415[[#This Row],[Team 1]],tblActuals35415[[#This Row],[Team 2]],IF(tblActuals35415[[#This Row],[Winner]]=tblActuals35415[[#This Row],[Team 2]],tblActuals35415[[#This Row],[Team 1]],""))</f>
        <v/>
      </c>
      <c r="AB33" s="120" t="str">
        <f>IF(tblActuals35415[[#This Row],[SCORE]]="","",LEFT(I33,FIND(":",I33,1)-1)*1)</f>
        <v/>
      </c>
      <c r="AC33" s="120" t="str">
        <f>IF(tblActuals35415[[#This Row],[SCORE]]="","",MID(I33,FIND(":",I33,1)+1,LEN(I33)-FIND(":",I33,1)+1)*1)</f>
        <v/>
      </c>
      <c r="AD33" s="120" t="str">
        <f>IF(OR(tblActuals35415[[#This Row],[Team 1 Goals]]="",tblActuals35415[[#This Row],[Team 2 Goals]]=""),"",tblActuals35415[[#This Row],[Team 1 Goals]]-tblActuals35415[[#This Row],[Team 2 Goals]])</f>
        <v/>
      </c>
      <c r="AE33" s="120" t="str">
        <f>IF(OR(tblActuals35415[[#This Row],[Team 1 Goals]]="",tblActuals35415[[#This Row],[Team 2 Goals]]=""),"",tblActuals35415[[#This Row],[Team 2 Goals]]-tblActuals35415[[#This Row],[Team 1 Goals]])</f>
        <v/>
      </c>
      <c r="AF33" s="120" t="str">
        <f>IF(tblActuals35415[[#This Row],[SCORE]]="","",IF(tblActuals35415[[#This Row],[WINNER / RESULT]]="Draw",1,IF(tblActuals35415[[#This Row],[WINNER / RESULT]]=tblActuals35415[[#This Row],[Team 1]],3,0)))</f>
        <v/>
      </c>
      <c r="AG33" s="120" t="str">
        <f>IF(tblActuals35415[[#This Row],[SCORE]]="","",IF(tblActuals35415[[#This Row],[WINNER / RESULT]]="Draw",1,IF(tblActuals35415[[#This Row],[WINNER / RESULT]]=tblActuals35415[[#This Row],[Team 2]],3,0)))</f>
        <v/>
      </c>
      <c r="AH33" s="121"/>
      <c r="AI33" s="121"/>
      <c r="AJ33" s="121"/>
      <c r="AK33" s="121"/>
      <c r="AL33" s="120" t="e">
        <f>tblActuals35415[[#This Row],[Team 1 Goals]]+tblActuals35415[[#This Row],[Team 1 ET Goals]]&amp;":"&amp;tblActuals35415[[#This Row],[Team 2 Goals]]+tblActuals35415[[#This Row],[Team 2 ET Goals]]</f>
        <v>#VALUE!</v>
      </c>
      <c r="AM33" s="120" t="e">
        <f>+tblActuals35415[[#This Row],[Team 1 Goals]]+tblActuals35415[[#This Row],[Team 2 Goals]]</f>
        <v>#VALUE!</v>
      </c>
      <c r="AN33" s="161">
        <f t="shared" si="3"/>
        <v>45468</v>
      </c>
      <c r="AT33" s="77" t="s">
        <v>12</v>
      </c>
      <c r="AU33" s="145">
        <v>4</v>
      </c>
      <c r="AV33" s="146" t="str">
        <f ca="1">IFERROR(INDEX(BD:BD,MATCH("4"&amp;AT33,BN:BN,0),1),"")</f>
        <v>Ukraine</v>
      </c>
      <c r="AW33" s="146" t="str">
        <f ca="1">IF(AV33="","",VLOOKUP(AV33,BD:BI,2,FALSE)&amp;"-"&amp;VLOOKUP(AV33,BD:BI,3,FALSE)&amp;"-"&amp;VLOOKUP(AV33,BD:BI,4,FALSE))</f>
        <v>0-0-0</v>
      </c>
      <c r="AX33" s="146">
        <f ca="1">IF(AV33="","",VLOOKUP(AV33,BD:BK,8,FALSE))</f>
        <v>0</v>
      </c>
      <c r="AY33" s="147">
        <f ca="1">IF(AV33="","",VLOOKUP(AV33,BD:BN,5,FALSE))</f>
        <v>0</v>
      </c>
      <c r="AZ33" s="75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U33" s="4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4"/>
      <c r="EC33" s="4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4"/>
      <c r="FK33" s="4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37"/>
      <c r="GM33" s="37"/>
      <c r="GN33" s="37"/>
      <c r="GO33" s="37"/>
      <c r="GP33" s="37"/>
      <c r="GQ33" s="37"/>
      <c r="GR33" s="75"/>
      <c r="GS33" s="157"/>
      <c r="GT33" s="157"/>
      <c r="GU33" s="79"/>
      <c r="GV33" s="79"/>
      <c r="GW33" s="79"/>
      <c r="GX33" s="79"/>
      <c r="GY33" s="79"/>
      <c r="GZ33" s="79"/>
    </row>
    <row r="34" spans="1:208" s="11" customFormat="1" ht="30" customHeight="1" thickBot="1" x14ac:dyDescent="0.3">
      <c r="A34" s="20"/>
      <c r="B34" s="122">
        <v>31</v>
      </c>
      <c r="C34" s="122" t="s">
        <v>7</v>
      </c>
      <c r="D34" s="123">
        <v>45468</v>
      </c>
      <c r="E34" s="122" t="s">
        <v>80</v>
      </c>
      <c r="F34" s="124">
        <v>0.75</v>
      </c>
      <c r="G34" s="125">
        <f t="shared" si="11"/>
        <v>45468.5</v>
      </c>
      <c r="H34" s="122" t="s">
        <v>141</v>
      </c>
      <c r="I34" s="126"/>
      <c r="J34" s="118"/>
      <c r="K34" s="118"/>
      <c r="L34" s="174">
        <f>IF(I34="",0,IFERROR(IF(SCORING.RULES!$C$8="No",1,((VLOOKUP($B34,ACTUALS!$B$4:$L$100,7,FALSE)=$H34)+(VLOOKUP($B34,ACTUALS!$B$4:$L$100,7,FALSE)=S34)))*(M34+N34+O34+P34+Q34),0))+$R34</f>
        <v>0</v>
      </c>
      <c r="M34" s="168">
        <f>IFERROR(IF($B34="","",IF(U34=INDEX(ACTUALS!$AA$4:$AA$100,MATCH($B34,ACTUALS!$B$4:$B$100,0),1),CorrectScore,0)),0)</f>
        <v>0</v>
      </c>
      <c r="N34" s="157" t="str">
        <f>IFERROR(IF(I34="","",IF(INDEX(ACTUALS!$AB$4:$AB$100,MATCH($B34,ACTUALS!$B$4:$B$100,0),1)=(AB34+AC34+AH34+AI34),CorrectNumberofGoals,0)),0)</f>
        <v/>
      </c>
      <c r="O34" s="157"/>
      <c r="P34" s="157">
        <f>IFERROR(IF(B34="","",IF(INDEX(ACTUALS!$L$4:$L$100,MATCH($B34,ACTUALS!$B$4:$B$100,0),1)=W34,CorrectResult,0)),0)</f>
        <v>3</v>
      </c>
      <c r="Q34" s="157"/>
      <c r="R34" s="157"/>
      <c r="S34" s="157" t="str">
        <f t="shared" si="0"/>
        <v/>
      </c>
      <c r="T34" s="157"/>
      <c r="U34" s="157" t="str">
        <f t="shared" si="1"/>
        <v/>
      </c>
      <c r="V34" s="157" t="str">
        <f t="shared" si="2"/>
        <v/>
      </c>
      <c r="W34" s="119" t="str">
        <f>IF(tblActuals35415[[#This Row],[SCORE]]="","",IF(AB34=AC34,"Draw",IF(AB34&gt;AC34,X34,Y34)))</f>
        <v/>
      </c>
      <c r="X34" s="120" t="str">
        <f>IF(tblActuals35415[[#This Row],[TEAMS]]="","",LEFT(H34,FIND(" -",H34,1)-1))</f>
        <v>Netherlands</v>
      </c>
      <c r="Y34" s="120" t="str">
        <f>IF(tblActuals35415[[#This Row],[TEAMS]]="","",MID(H34,FIND("-",H34,1)+2,LEN(H34)-FIND("-",H34,1)+2))</f>
        <v>Austria</v>
      </c>
      <c r="Z34" s="120" t="str">
        <f>IF(tblActuals35415[[#This Row],[Team 1 Goals]]&gt;tblActuals35415[[#This Row],[Team 2 Goals]],tblActuals35415[[#This Row],[Team 1]],IF(tblActuals35415[[#This Row],[Team 2 Goals]]&gt;tblActuals35415[[#This Row],[Team 1 Goals]],tblActuals35415[[#This Row],[Team 2]],""))</f>
        <v/>
      </c>
      <c r="AA34" s="120" t="str">
        <f>IF(tblActuals35415[[#This Row],[Winner]]=tblActuals35415[[#This Row],[Team 1]],tblActuals35415[[#This Row],[Team 2]],IF(tblActuals35415[[#This Row],[Winner]]=tblActuals35415[[#This Row],[Team 2]],tblActuals35415[[#This Row],[Team 1]],""))</f>
        <v/>
      </c>
      <c r="AB34" s="120" t="str">
        <f>IF(tblActuals35415[[#This Row],[SCORE]]="","",LEFT(I34,FIND(":",I34,1)-1)*1)</f>
        <v/>
      </c>
      <c r="AC34" s="120" t="str">
        <f>IF(tblActuals35415[[#This Row],[SCORE]]="","",MID(I34,FIND(":",I34,1)+1,LEN(I34)-FIND(":",I34,1)+1)*1)</f>
        <v/>
      </c>
      <c r="AD34" s="120" t="str">
        <f>IF(OR(tblActuals35415[[#This Row],[Team 1 Goals]]="",tblActuals35415[[#This Row],[Team 2 Goals]]=""),"",tblActuals35415[[#This Row],[Team 1 Goals]]-tblActuals35415[[#This Row],[Team 2 Goals]])</f>
        <v/>
      </c>
      <c r="AE34" s="120" t="str">
        <f>IF(OR(tblActuals35415[[#This Row],[Team 1 Goals]]="",tblActuals35415[[#This Row],[Team 2 Goals]]=""),"",tblActuals35415[[#This Row],[Team 2 Goals]]-tblActuals35415[[#This Row],[Team 1 Goals]])</f>
        <v/>
      </c>
      <c r="AF34" s="120" t="str">
        <f>IF(tblActuals35415[[#This Row],[SCORE]]="","",IF(tblActuals35415[[#This Row],[WINNER / RESULT]]="Draw",1,IF(tblActuals35415[[#This Row],[WINNER / RESULT]]=tblActuals35415[[#This Row],[Team 1]],3,0)))</f>
        <v/>
      </c>
      <c r="AG34" s="120" t="str">
        <f>IF(tblActuals35415[[#This Row],[SCORE]]="","",IF(tblActuals35415[[#This Row],[WINNER / RESULT]]="Draw",1,IF(tblActuals35415[[#This Row],[WINNER / RESULT]]=tblActuals35415[[#This Row],[Team 2]],3,0)))</f>
        <v/>
      </c>
      <c r="AH34" s="121"/>
      <c r="AI34" s="121"/>
      <c r="AJ34" s="121"/>
      <c r="AK34" s="121"/>
      <c r="AL34" s="120" t="e">
        <f>tblActuals35415[[#This Row],[Team 1 Goals]]+tblActuals35415[[#This Row],[Team 1 ET Goals]]&amp;":"&amp;tblActuals35415[[#This Row],[Team 2 Goals]]+tblActuals35415[[#This Row],[Team 2 ET Goals]]</f>
        <v>#VALUE!</v>
      </c>
      <c r="AM34" s="120" t="e">
        <f>+tblActuals35415[[#This Row],[Team 1 Goals]]+tblActuals35415[[#This Row],[Team 2 Goals]]</f>
        <v>#VALUE!</v>
      </c>
      <c r="AN34" s="161">
        <f t="shared" si="3"/>
        <v>45468</v>
      </c>
      <c r="AT34" s="77"/>
      <c r="AU34" s="148"/>
      <c r="AV34" s="148"/>
      <c r="AW34" s="148"/>
      <c r="AX34" s="148"/>
      <c r="AY34" s="148"/>
      <c r="AZ34" s="75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U34" s="4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4"/>
      <c r="EC34" s="4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4"/>
      <c r="FK34" s="4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37"/>
      <c r="GM34" s="37"/>
      <c r="GN34" s="37"/>
      <c r="GO34" s="37"/>
      <c r="GP34" s="37"/>
      <c r="GQ34" s="37"/>
      <c r="GR34" s="75"/>
      <c r="GS34" s="157"/>
      <c r="GT34" s="157"/>
      <c r="GU34" s="79"/>
      <c r="GV34" s="79"/>
      <c r="GW34" s="79"/>
      <c r="GX34" s="79"/>
      <c r="GY34" s="79"/>
      <c r="GZ34" s="79"/>
    </row>
    <row r="35" spans="1:208" s="11" customFormat="1" ht="30" customHeight="1" thickBot="1" x14ac:dyDescent="0.3">
      <c r="A35" s="20"/>
      <c r="B35" s="122">
        <v>32</v>
      </c>
      <c r="C35" s="122" t="s">
        <v>7</v>
      </c>
      <c r="D35" s="123">
        <v>45468</v>
      </c>
      <c r="E35" s="122" t="s">
        <v>81</v>
      </c>
      <c r="F35" s="124">
        <v>0.75</v>
      </c>
      <c r="G35" s="125">
        <f t="shared" si="11"/>
        <v>45468.5</v>
      </c>
      <c r="H35" s="122" t="s">
        <v>119</v>
      </c>
      <c r="I35" s="126"/>
      <c r="J35" s="118"/>
      <c r="K35" s="118"/>
      <c r="L35" s="174">
        <f>IF(I35="",0,IFERROR(IF(SCORING.RULES!$C$8="No",1,((VLOOKUP($B35,ACTUALS!$B$4:$L$100,7,FALSE)=$H35)+(VLOOKUP($B35,ACTUALS!$B$4:$L$100,7,FALSE)=S35)))*(M35+N35+O35+P35+Q35),0))+$R35</f>
        <v>0</v>
      </c>
      <c r="M35" s="168">
        <f>IFERROR(IF($B35="","",IF(U35=INDEX(ACTUALS!$AA$4:$AA$100,MATCH($B35,ACTUALS!$B$4:$B$100,0),1),CorrectScore,0)),0)</f>
        <v>0</v>
      </c>
      <c r="N35" s="157" t="str">
        <f>IFERROR(IF(I35="","",IF(INDEX(ACTUALS!$AB$4:$AB$100,MATCH($B35,ACTUALS!$B$4:$B$100,0),1)=(AB35+AC35+AH35+AI35),CorrectNumberofGoals,0)),0)</f>
        <v/>
      </c>
      <c r="O35" s="157"/>
      <c r="P35" s="157">
        <f>IFERROR(IF(B35="","",IF(INDEX(ACTUALS!$L$4:$L$100,MATCH($B35,ACTUALS!$B$4:$B$100,0),1)=W35,CorrectResult,0)),0)</f>
        <v>3</v>
      </c>
      <c r="Q35" s="157"/>
      <c r="R35" s="157"/>
      <c r="S35" s="157" t="str">
        <f t="shared" si="0"/>
        <v/>
      </c>
      <c r="T35" s="157"/>
      <c r="U35" s="157" t="str">
        <f t="shared" si="1"/>
        <v/>
      </c>
      <c r="V35" s="157" t="str">
        <f t="shared" si="2"/>
        <v/>
      </c>
      <c r="W35" s="119" t="str">
        <f>IF(tblActuals35415[[#This Row],[SCORE]]="","",IF(AB35=AC35,"Draw",IF(AB35&gt;AC35,X35,Y35)))</f>
        <v/>
      </c>
      <c r="X35" s="120" t="str">
        <f>IF(tblActuals35415[[#This Row],[TEAMS]]="","",LEFT(H35,FIND(" -",H35,1)-1))</f>
        <v>France</v>
      </c>
      <c r="Y35" s="120" t="str">
        <f>IF(tblActuals35415[[#This Row],[TEAMS]]="","",MID(H35,FIND("-",H35,1)+2,LEN(H35)-FIND("-",H35,1)+2))</f>
        <v>Poland</v>
      </c>
      <c r="Z35" s="120" t="str">
        <f>IF(tblActuals35415[[#This Row],[Team 1 Goals]]&gt;tblActuals35415[[#This Row],[Team 2 Goals]],tblActuals35415[[#This Row],[Team 1]],IF(tblActuals35415[[#This Row],[Team 2 Goals]]&gt;tblActuals35415[[#This Row],[Team 1 Goals]],tblActuals35415[[#This Row],[Team 2]],""))</f>
        <v/>
      </c>
      <c r="AA35" s="120" t="str">
        <f>IF(tblActuals35415[[#This Row],[Winner]]=tblActuals35415[[#This Row],[Team 1]],tblActuals35415[[#This Row],[Team 2]],IF(tblActuals35415[[#This Row],[Winner]]=tblActuals35415[[#This Row],[Team 2]],tblActuals35415[[#This Row],[Team 1]],""))</f>
        <v/>
      </c>
      <c r="AB35" s="120" t="str">
        <f>IF(tblActuals35415[[#This Row],[SCORE]]="","",LEFT(I35,FIND(":",I35,1)-1)*1)</f>
        <v/>
      </c>
      <c r="AC35" s="120" t="str">
        <f>IF(tblActuals35415[[#This Row],[SCORE]]="","",MID(I35,FIND(":",I35,1)+1,LEN(I35)-FIND(":",I35,1)+1)*1)</f>
        <v/>
      </c>
      <c r="AD35" s="120" t="str">
        <f>IF(OR(tblActuals35415[[#This Row],[Team 1 Goals]]="",tblActuals35415[[#This Row],[Team 2 Goals]]=""),"",tblActuals35415[[#This Row],[Team 1 Goals]]-tblActuals35415[[#This Row],[Team 2 Goals]])</f>
        <v/>
      </c>
      <c r="AE35" s="120" t="str">
        <f>IF(OR(tblActuals35415[[#This Row],[Team 1 Goals]]="",tblActuals35415[[#This Row],[Team 2 Goals]]=""),"",tblActuals35415[[#This Row],[Team 2 Goals]]-tblActuals35415[[#This Row],[Team 1 Goals]])</f>
        <v/>
      </c>
      <c r="AF35" s="120" t="str">
        <f>IF(tblActuals35415[[#This Row],[SCORE]]="","",IF(tblActuals35415[[#This Row],[WINNER / RESULT]]="Draw",1,IF(tblActuals35415[[#This Row],[WINNER / RESULT]]=tblActuals35415[[#This Row],[Team 1]],3,0)))</f>
        <v/>
      </c>
      <c r="AG35" s="120" t="str">
        <f>IF(tblActuals35415[[#This Row],[SCORE]]="","",IF(tblActuals35415[[#This Row],[WINNER / RESULT]]="Draw",1,IF(tblActuals35415[[#This Row],[WINNER / RESULT]]=tblActuals35415[[#This Row],[Team 2]],3,0)))</f>
        <v/>
      </c>
      <c r="AH35" s="121"/>
      <c r="AI35" s="121"/>
      <c r="AJ35" s="121"/>
      <c r="AK35" s="121"/>
      <c r="AL35" s="120" t="e">
        <f>tblActuals35415[[#This Row],[Team 1 Goals]]+tblActuals35415[[#This Row],[Team 1 ET Goals]]&amp;":"&amp;tblActuals35415[[#This Row],[Team 2 Goals]]+tblActuals35415[[#This Row],[Team 2 ET Goals]]</f>
        <v>#VALUE!</v>
      </c>
      <c r="AM35" s="120" t="e">
        <f>+tblActuals35415[[#This Row],[Team 1 Goals]]+tblActuals35415[[#This Row],[Team 2 Goals]]</f>
        <v>#VALUE!</v>
      </c>
      <c r="AN35" s="161">
        <f t="shared" si="3"/>
        <v>45468</v>
      </c>
      <c r="AT35" s="78"/>
      <c r="AU35" s="179" t="s">
        <v>56</v>
      </c>
      <c r="AV35" s="180"/>
      <c r="AW35" s="133" t="s">
        <v>46</v>
      </c>
      <c r="AX35" s="134" t="s">
        <v>57</v>
      </c>
      <c r="AY35" s="135" t="s">
        <v>11</v>
      </c>
      <c r="AZ35" s="75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U35" s="4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4"/>
      <c r="EC35" s="4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4"/>
      <c r="FK35" s="4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37"/>
      <c r="GM35" s="37"/>
      <c r="GN35" s="37"/>
      <c r="GO35" s="37"/>
      <c r="GP35" s="37"/>
      <c r="GQ35" s="37"/>
      <c r="GR35" s="75"/>
      <c r="GS35" s="157"/>
      <c r="GT35" s="157"/>
      <c r="GU35" s="79"/>
      <c r="GV35" s="79"/>
      <c r="GW35" s="79"/>
      <c r="GX35" s="79"/>
      <c r="GY35" s="79"/>
      <c r="GZ35" s="79"/>
    </row>
    <row r="36" spans="1:208" s="11" customFormat="1" ht="30" customHeight="1" x14ac:dyDescent="0.25">
      <c r="A36" s="20"/>
      <c r="B36" s="122">
        <v>33</v>
      </c>
      <c r="C36" s="122" t="s">
        <v>12</v>
      </c>
      <c r="D36" s="123">
        <v>45469</v>
      </c>
      <c r="E36" s="122" t="s">
        <v>86</v>
      </c>
      <c r="F36" s="124">
        <v>0.75</v>
      </c>
      <c r="G36" s="125">
        <f t="shared" si="11"/>
        <v>45469.5</v>
      </c>
      <c r="H36" s="122" t="s">
        <v>120</v>
      </c>
      <c r="I36" s="126"/>
      <c r="J36" s="118"/>
      <c r="K36" s="118"/>
      <c r="L36" s="174">
        <f>IF(I36="",0,IFERROR(IF(SCORING.RULES!$C$8="No",1,((VLOOKUP($B36,ACTUALS!$B$4:$L$100,7,FALSE)=$H36)+(VLOOKUP($B36,ACTUALS!$B$4:$L$100,7,FALSE)=S36)))*(M36+N36+O36+P36+Q36),0))+$R36</f>
        <v>0</v>
      </c>
      <c r="M36" s="168">
        <f>IFERROR(IF($B36="","",IF(U36=INDEX(ACTUALS!$AA$4:$AA$100,MATCH($B36,ACTUALS!$B$4:$B$100,0),1),CorrectScore,0)),0)</f>
        <v>0</v>
      </c>
      <c r="N36" s="157" t="str">
        <f>IFERROR(IF(I36="","",IF(INDEX(ACTUALS!$AB$4:$AB$100,MATCH($B36,ACTUALS!$B$4:$B$100,0),1)=(AB36+AC36+AH36+AI36),CorrectNumberofGoals,0)),0)</f>
        <v/>
      </c>
      <c r="O36" s="157"/>
      <c r="P36" s="157">
        <f>IFERROR(IF(B36="","",IF(INDEX(ACTUALS!$L$4:$L$100,MATCH($B36,ACTUALS!$B$4:$B$100,0),1)=W36,CorrectResult,0)),0)</f>
        <v>3</v>
      </c>
      <c r="Q36" s="157"/>
      <c r="R36" s="157"/>
      <c r="S36" s="157" t="str">
        <f t="shared" si="0"/>
        <v/>
      </c>
      <c r="T36" s="157"/>
      <c r="U36" s="157" t="str">
        <f t="shared" si="1"/>
        <v/>
      </c>
      <c r="V36" s="157" t="str">
        <f t="shared" si="2"/>
        <v/>
      </c>
      <c r="W36" s="119" t="str">
        <f>IF(tblActuals35415[[#This Row],[SCORE]]="","",IF(AB36=AC36,"Draw",IF(AB36&gt;AC36,X36,Y36)))</f>
        <v/>
      </c>
      <c r="X36" s="120" t="str">
        <f>IF(tblActuals35415[[#This Row],[TEAMS]]="","",LEFT(H36,FIND(" -",H36,1)-1))</f>
        <v>Slovakia</v>
      </c>
      <c r="Y36" s="120" t="str">
        <f>IF(tblActuals35415[[#This Row],[TEAMS]]="","",MID(H36,FIND("-",H36,1)+2,LEN(H36)-FIND("-",H36,1)+2))</f>
        <v>Romania</v>
      </c>
      <c r="Z36" s="120" t="str">
        <f>IF(tblActuals35415[[#This Row],[Team 1 Goals]]&gt;tblActuals35415[[#This Row],[Team 2 Goals]],tblActuals35415[[#This Row],[Team 1]],IF(tblActuals35415[[#This Row],[Team 2 Goals]]&gt;tblActuals35415[[#This Row],[Team 1 Goals]],tblActuals35415[[#This Row],[Team 2]],""))</f>
        <v/>
      </c>
      <c r="AA36" s="120" t="str">
        <f>IF(tblActuals35415[[#This Row],[Winner]]=tblActuals35415[[#This Row],[Team 1]],tblActuals35415[[#This Row],[Team 2]],IF(tblActuals35415[[#This Row],[Winner]]=tblActuals35415[[#This Row],[Team 2]],tblActuals35415[[#This Row],[Team 1]],""))</f>
        <v/>
      </c>
      <c r="AB36" s="120" t="str">
        <f>IF(tblActuals35415[[#This Row],[SCORE]]="","",LEFT(I36,FIND(":",I36,1)-1)*1)</f>
        <v/>
      </c>
      <c r="AC36" s="120" t="str">
        <f>IF(tblActuals35415[[#This Row],[SCORE]]="","",MID(I36,FIND(":",I36,1)+1,LEN(I36)-FIND(":",I36,1)+1)*1)</f>
        <v/>
      </c>
      <c r="AD36" s="120" t="str">
        <f>IF(OR(tblActuals35415[[#This Row],[Team 1 Goals]]="",tblActuals35415[[#This Row],[Team 2 Goals]]=""),"",tblActuals35415[[#This Row],[Team 1 Goals]]-tblActuals35415[[#This Row],[Team 2 Goals]])</f>
        <v/>
      </c>
      <c r="AE36" s="120" t="str">
        <f>IF(OR(tblActuals35415[[#This Row],[Team 1 Goals]]="",tblActuals35415[[#This Row],[Team 2 Goals]]=""),"",tblActuals35415[[#This Row],[Team 2 Goals]]-tblActuals35415[[#This Row],[Team 1 Goals]])</f>
        <v/>
      </c>
      <c r="AF36" s="120" t="str">
        <f>IF(tblActuals35415[[#This Row],[SCORE]]="","",IF(tblActuals35415[[#This Row],[WINNER / RESULT]]="Draw",1,IF(tblActuals35415[[#This Row],[WINNER / RESULT]]=tblActuals35415[[#This Row],[Team 1]],3,0)))</f>
        <v/>
      </c>
      <c r="AG36" s="120" t="str">
        <f>IF(tblActuals35415[[#This Row],[SCORE]]="","",IF(tblActuals35415[[#This Row],[WINNER / RESULT]]="Draw",1,IF(tblActuals35415[[#This Row],[WINNER / RESULT]]=tblActuals35415[[#This Row],[Team 2]],3,0)))</f>
        <v/>
      </c>
      <c r="AH36" s="121"/>
      <c r="AI36" s="121"/>
      <c r="AJ36" s="121"/>
      <c r="AK36" s="121"/>
      <c r="AL36" s="120" t="e">
        <f>tblActuals35415[[#This Row],[Team 1 Goals]]+tblActuals35415[[#This Row],[Team 1 ET Goals]]&amp;":"&amp;tblActuals35415[[#This Row],[Team 2 Goals]]+tblActuals35415[[#This Row],[Team 2 ET Goals]]</f>
        <v>#VALUE!</v>
      </c>
      <c r="AM36" s="120" t="e">
        <f>+tblActuals35415[[#This Row],[Team 1 Goals]]+tblActuals35415[[#This Row],[Team 2 Goals]]</f>
        <v>#VALUE!</v>
      </c>
      <c r="AN36" s="161">
        <f t="shared" ref="AN36:AN54" si="13">DATE(YEAR(G36),MONTH(G36),DAY(G36))</f>
        <v>45469</v>
      </c>
      <c r="AT36" s="77" t="s">
        <v>45</v>
      </c>
      <c r="AU36" s="136">
        <v>1</v>
      </c>
      <c r="AV36" s="137" t="str">
        <f ca="1">IFERROR(INDEX(BD:BD,MATCH("1"&amp;AT36,BN:BN,0),1),"")</f>
        <v>Czechia</v>
      </c>
      <c r="AW36" s="137" t="str">
        <f ca="1">IF(AV36="","",VLOOKUP(AV36,BD:BI,2,FALSE)&amp;"-"&amp;VLOOKUP(AV36,BD:BI,3,FALSE)&amp;"-"&amp;VLOOKUP(AV36,BD:BI,4,FALSE))</f>
        <v>0-0-0</v>
      </c>
      <c r="AX36" s="137">
        <f ca="1">IF(AV36="","",VLOOKUP(AV36,BD:BK,8,FALSE))</f>
        <v>0</v>
      </c>
      <c r="AY36" s="138">
        <f ca="1">IF(AV36="","",VLOOKUP(AV36,BD:BN,5,FALSE))</f>
        <v>0</v>
      </c>
      <c r="AZ36" s="75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U36" s="58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4"/>
      <c r="EC36" s="58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4"/>
      <c r="FK36" s="58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13"/>
      <c r="GM36" s="13"/>
      <c r="GN36" s="13"/>
      <c r="GO36" s="13"/>
      <c r="GP36" s="13"/>
      <c r="GQ36" s="13"/>
      <c r="GR36" s="75"/>
      <c r="GS36" s="157"/>
      <c r="GT36" s="157"/>
      <c r="GU36" s="79"/>
      <c r="GV36" s="79"/>
      <c r="GW36" s="79"/>
      <c r="GX36" s="79"/>
      <c r="GY36" s="79"/>
      <c r="GZ36" s="79"/>
    </row>
    <row r="37" spans="1:208" s="11" customFormat="1" ht="30" customHeight="1" x14ac:dyDescent="0.25">
      <c r="A37" s="20"/>
      <c r="B37" s="122">
        <v>34</v>
      </c>
      <c r="C37" s="122" t="s">
        <v>12</v>
      </c>
      <c r="D37" s="123">
        <v>45469</v>
      </c>
      <c r="E37" s="122" t="s">
        <v>83</v>
      </c>
      <c r="F37" s="124">
        <v>0.75</v>
      </c>
      <c r="G37" s="125">
        <f t="shared" si="11"/>
        <v>45469.5</v>
      </c>
      <c r="H37" s="122" t="s">
        <v>121</v>
      </c>
      <c r="I37" s="126"/>
      <c r="J37" s="118"/>
      <c r="K37" s="118"/>
      <c r="L37" s="174">
        <f>IF(I37="",0,IFERROR(IF(SCORING.RULES!$C$8="No",1,((VLOOKUP($B37,ACTUALS!$B$4:$L$100,7,FALSE)=$H37)+(VLOOKUP($B37,ACTUALS!$B$4:$L$100,7,FALSE)=S37)))*(M37+N37+O37+P37+Q37),0))+$R37</f>
        <v>0</v>
      </c>
      <c r="M37" s="168">
        <f>IFERROR(IF($B37="","",IF(U37=INDEX(ACTUALS!$AA$4:$AA$100,MATCH($B37,ACTUALS!$B$4:$B$100,0),1),CorrectScore,0)),0)</f>
        <v>0</v>
      </c>
      <c r="N37" s="157" t="str">
        <f>IFERROR(IF(I37="","",IF(INDEX(ACTUALS!$AB$4:$AB$100,MATCH($B37,ACTUALS!$B$4:$B$100,0),1)=(AB37+AC37+AH37+AI37),CorrectNumberofGoals,0)),0)</f>
        <v/>
      </c>
      <c r="O37" s="157"/>
      <c r="P37" s="157">
        <f>IFERROR(IF(B37="","",IF(INDEX(ACTUALS!$L$4:$L$100,MATCH($B37,ACTUALS!$B$4:$B$100,0),1)=W37,CorrectResult,0)),0)</f>
        <v>3</v>
      </c>
      <c r="Q37" s="157"/>
      <c r="R37" s="157"/>
      <c r="S37" s="157" t="str">
        <f t="shared" si="0"/>
        <v/>
      </c>
      <c r="T37" s="157"/>
      <c r="U37" s="157" t="str">
        <f t="shared" si="1"/>
        <v/>
      </c>
      <c r="V37" s="157" t="str">
        <f t="shared" si="2"/>
        <v/>
      </c>
      <c r="W37" s="119" t="str">
        <f>IF(tblActuals35415[[#This Row],[SCORE]]="","",IF(AB37=AC37,"Draw",IF(AB37&gt;AC37,X37,Y37)))</f>
        <v/>
      </c>
      <c r="X37" s="120" t="str">
        <f>IF(tblActuals35415[[#This Row],[TEAMS]]="","",LEFT(H37,FIND(" -",H37,1)-1))</f>
        <v>Ukraine</v>
      </c>
      <c r="Y37" s="120" t="str">
        <f>IF(tblActuals35415[[#This Row],[TEAMS]]="","",MID(H37,FIND("-",H37,1)+2,LEN(H37)-FIND("-",H37,1)+2))</f>
        <v>Belgium</v>
      </c>
      <c r="Z37" s="120" t="str">
        <f>IF(tblActuals35415[[#This Row],[Team 1 Goals]]&gt;tblActuals35415[[#This Row],[Team 2 Goals]],tblActuals35415[[#This Row],[Team 1]],IF(tblActuals35415[[#This Row],[Team 2 Goals]]&gt;tblActuals35415[[#This Row],[Team 1 Goals]],tblActuals35415[[#This Row],[Team 2]],""))</f>
        <v/>
      </c>
      <c r="AA37" s="120" t="str">
        <f>IF(tblActuals35415[[#This Row],[Winner]]=tblActuals35415[[#This Row],[Team 1]],tblActuals35415[[#This Row],[Team 2]],IF(tblActuals35415[[#This Row],[Winner]]=tblActuals35415[[#This Row],[Team 2]],tblActuals35415[[#This Row],[Team 1]],""))</f>
        <v/>
      </c>
      <c r="AB37" s="120" t="str">
        <f>IF(tblActuals35415[[#This Row],[SCORE]]="","",LEFT(I37,FIND(":",I37,1)-1)*1)</f>
        <v/>
      </c>
      <c r="AC37" s="120" t="str">
        <f>IF(tblActuals35415[[#This Row],[SCORE]]="","",MID(I37,FIND(":",I37,1)+1,LEN(I37)-FIND(":",I37,1)+1)*1)</f>
        <v/>
      </c>
      <c r="AD37" s="120" t="str">
        <f>IF(OR(tblActuals35415[[#This Row],[Team 1 Goals]]="",tblActuals35415[[#This Row],[Team 2 Goals]]=""),"",tblActuals35415[[#This Row],[Team 1 Goals]]-tblActuals35415[[#This Row],[Team 2 Goals]])</f>
        <v/>
      </c>
      <c r="AE37" s="120" t="str">
        <f>IF(OR(tblActuals35415[[#This Row],[Team 1 Goals]]="",tblActuals35415[[#This Row],[Team 2 Goals]]=""),"",tblActuals35415[[#This Row],[Team 2 Goals]]-tblActuals35415[[#This Row],[Team 1 Goals]])</f>
        <v/>
      </c>
      <c r="AF37" s="120" t="str">
        <f>IF(tblActuals35415[[#This Row],[SCORE]]="","",IF(tblActuals35415[[#This Row],[WINNER / RESULT]]="Draw",1,IF(tblActuals35415[[#This Row],[WINNER / RESULT]]=tblActuals35415[[#This Row],[Team 1]],3,0)))</f>
        <v/>
      </c>
      <c r="AG37" s="120" t="str">
        <f>IF(tblActuals35415[[#This Row],[SCORE]]="","",IF(tblActuals35415[[#This Row],[WINNER / RESULT]]="Draw",1,IF(tblActuals35415[[#This Row],[WINNER / RESULT]]=tblActuals35415[[#This Row],[Team 2]],3,0)))</f>
        <v/>
      </c>
      <c r="AH37" s="121"/>
      <c r="AI37" s="121"/>
      <c r="AJ37" s="121"/>
      <c r="AK37" s="121"/>
      <c r="AL37" s="120" t="e">
        <f>tblActuals35415[[#This Row],[Team 1 Goals]]+tblActuals35415[[#This Row],[Team 1 ET Goals]]&amp;":"&amp;tblActuals35415[[#This Row],[Team 2 Goals]]+tblActuals35415[[#This Row],[Team 2 ET Goals]]</f>
        <v>#VALUE!</v>
      </c>
      <c r="AM37" s="120" t="e">
        <f>+tblActuals35415[[#This Row],[Team 1 Goals]]+tblActuals35415[[#This Row],[Team 2 Goals]]</f>
        <v>#VALUE!</v>
      </c>
      <c r="AN37" s="161">
        <f t="shared" si="13"/>
        <v>45469</v>
      </c>
      <c r="AT37" s="77" t="s">
        <v>45</v>
      </c>
      <c r="AU37" s="139">
        <v>2</v>
      </c>
      <c r="AV37" s="140" t="str">
        <f ca="1">IFERROR(INDEX(BD:BD,MATCH("2"&amp;AT37,BN:BN,0),1),"")</f>
        <v>Georgia</v>
      </c>
      <c r="AW37" s="140" t="str">
        <f ca="1">IF(AV37="","",VLOOKUP(AV37,BD:BI,2,FALSE)&amp;"-"&amp;VLOOKUP(AV37,BD:BI,3,FALSE)&amp;"-"&amp;VLOOKUP(AV37,BD:BI,4,FALSE))</f>
        <v>0-0-0</v>
      </c>
      <c r="AX37" s="140">
        <f ca="1">IF(AV37="","",VLOOKUP(AV37,BD:BK,8,FALSE))</f>
        <v>0</v>
      </c>
      <c r="AY37" s="141">
        <f ca="1">IF(AV37="","",VLOOKUP(AV37,BD:BN,5,FALSE))</f>
        <v>0</v>
      </c>
      <c r="AZ37" s="75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U37" s="58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4"/>
      <c r="EC37" s="58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4"/>
      <c r="FK37" s="58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13"/>
      <c r="GM37" s="13"/>
      <c r="GN37" s="13"/>
      <c r="GO37" s="13"/>
      <c r="GP37" s="13"/>
      <c r="GQ37" s="13"/>
      <c r="GR37" s="75"/>
      <c r="GS37" s="157"/>
      <c r="GT37" s="157"/>
      <c r="GU37" s="79"/>
      <c r="GV37" s="79"/>
      <c r="GW37" s="79"/>
      <c r="GX37" s="79"/>
      <c r="GY37" s="79"/>
      <c r="GZ37" s="79"/>
    </row>
    <row r="38" spans="1:208" s="11" customFormat="1" ht="30" customHeight="1" x14ac:dyDescent="0.25">
      <c r="A38" s="20"/>
      <c r="B38" s="122">
        <v>35</v>
      </c>
      <c r="C38" s="122" t="s">
        <v>45</v>
      </c>
      <c r="D38" s="123">
        <v>45469</v>
      </c>
      <c r="E38" s="122" t="s">
        <v>82</v>
      </c>
      <c r="F38" s="124">
        <v>0.875</v>
      </c>
      <c r="G38" s="125">
        <f t="shared" si="11"/>
        <v>45469.625</v>
      </c>
      <c r="H38" s="122" t="s">
        <v>122</v>
      </c>
      <c r="I38" s="126"/>
      <c r="J38" s="118"/>
      <c r="K38" s="118"/>
      <c r="L38" s="174">
        <f>IF(I38="",0,IFERROR(IF(SCORING.RULES!$C$8="No",1,((VLOOKUP($B38,ACTUALS!$B$4:$L$100,7,FALSE)=$H38)+(VLOOKUP($B38,ACTUALS!$B$4:$L$100,7,FALSE)=S38)))*(M38+N38+O38+P38+Q38),0))+$R38</f>
        <v>0</v>
      </c>
      <c r="M38" s="168">
        <f>IFERROR(IF($B38="","",IF(U38=INDEX(ACTUALS!$AA$4:$AA$100,MATCH($B38,ACTUALS!$B$4:$B$100,0),1),CorrectScore,0)),0)</f>
        <v>0</v>
      </c>
      <c r="N38" s="157" t="str">
        <f>IFERROR(IF(I38="","",IF(INDEX(ACTUALS!$AB$4:$AB$100,MATCH($B38,ACTUALS!$B$4:$B$100,0),1)=(AB38+AC38+AH38+AI38),CorrectNumberofGoals,0)),0)</f>
        <v/>
      </c>
      <c r="O38" s="157"/>
      <c r="P38" s="157">
        <f>IFERROR(IF(B38="","",IF(INDEX(ACTUALS!$L$4:$L$100,MATCH($B38,ACTUALS!$B$4:$B$100,0),1)=W38,CorrectResult,0)),0)</f>
        <v>3</v>
      </c>
      <c r="Q38" s="157"/>
      <c r="R38" s="157"/>
      <c r="S38" s="157" t="str">
        <f t="shared" si="0"/>
        <v/>
      </c>
      <c r="T38" s="157"/>
      <c r="U38" s="157" t="str">
        <f t="shared" si="1"/>
        <v/>
      </c>
      <c r="V38" s="157" t="str">
        <f t="shared" si="2"/>
        <v/>
      </c>
      <c r="W38" s="119" t="str">
        <f>IF(tblActuals35415[[#This Row],[SCORE]]="","",IF(AB38=AC38,"Draw",IF(AB38&gt;AC38,X38,Y38)))</f>
        <v/>
      </c>
      <c r="X38" s="120" t="str">
        <f>IF(tblActuals35415[[#This Row],[TEAMS]]="","",LEFT(H38,FIND(" -",H38,1)-1))</f>
        <v>Georgia</v>
      </c>
      <c r="Y38" s="120" t="str">
        <f>IF(tblActuals35415[[#This Row],[TEAMS]]="","",MID(H38,FIND("-",H38,1)+2,LEN(H38)-FIND("-",H38,1)+2))</f>
        <v>Portugal</v>
      </c>
      <c r="Z38" s="120" t="str">
        <f>IF(tblActuals35415[[#This Row],[Team 1 Goals]]&gt;tblActuals35415[[#This Row],[Team 2 Goals]],tblActuals35415[[#This Row],[Team 1]],IF(tblActuals35415[[#This Row],[Team 2 Goals]]&gt;tblActuals35415[[#This Row],[Team 1 Goals]],tblActuals35415[[#This Row],[Team 2]],""))</f>
        <v/>
      </c>
      <c r="AA38" s="120" t="str">
        <f>IF(tblActuals35415[[#This Row],[Winner]]=tblActuals35415[[#This Row],[Team 1]],tblActuals35415[[#This Row],[Team 2]],IF(tblActuals35415[[#This Row],[Winner]]=tblActuals35415[[#This Row],[Team 2]],tblActuals35415[[#This Row],[Team 1]],""))</f>
        <v/>
      </c>
      <c r="AB38" s="120" t="str">
        <f>IF(tblActuals35415[[#This Row],[SCORE]]="","",LEFT(I38,FIND(":",I38,1)-1)*1)</f>
        <v/>
      </c>
      <c r="AC38" s="120" t="str">
        <f>IF(tblActuals35415[[#This Row],[SCORE]]="","",MID(I38,FIND(":",I38,1)+1,LEN(I38)-FIND(":",I38,1)+1)*1)</f>
        <v/>
      </c>
      <c r="AD38" s="120" t="str">
        <f>IF(OR(tblActuals35415[[#This Row],[Team 1 Goals]]="",tblActuals35415[[#This Row],[Team 2 Goals]]=""),"",tblActuals35415[[#This Row],[Team 1 Goals]]-tblActuals35415[[#This Row],[Team 2 Goals]])</f>
        <v/>
      </c>
      <c r="AE38" s="120" t="str">
        <f>IF(OR(tblActuals35415[[#This Row],[Team 1 Goals]]="",tblActuals35415[[#This Row],[Team 2 Goals]]=""),"",tblActuals35415[[#This Row],[Team 2 Goals]]-tblActuals35415[[#This Row],[Team 1 Goals]])</f>
        <v/>
      </c>
      <c r="AF38" s="120" t="str">
        <f>IF(tblActuals35415[[#This Row],[SCORE]]="","",IF(tblActuals35415[[#This Row],[WINNER / RESULT]]="Draw",1,IF(tblActuals35415[[#This Row],[WINNER / RESULT]]=tblActuals35415[[#This Row],[Team 1]],3,0)))</f>
        <v/>
      </c>
      <c r="AG38" s="120" t="str">
        <f>IF(tblActuals35415[[#This Row],[SCORE]]="","",IF(tblActuals35415[[#This Row],[WINNER / RESULT]]="Draw",1,IF(tblActuals35415[[#This Row],[WINNER / RESULT]]=tblActuals35415[[#This Row],[Team 2]],3,0)))</f>
        <v/>
      </c>
      <c r="AH38" s="121"/>
      <c r="AI38" s="121"/>
      <c r="AJ38" s="121"/>
      <c r="AK38" s="121"/>
      <c r="AL38" s="120" t="e">
        <f>tblActuals35415[[#This Row],[Team 1 Goals]]+tblActuals35415[[#This Row],[Team 1 ET Goals]]&amp;":"&amp;tblActuals35415[[#This Row],[Team 2 Goals]]+tblActuals35415[[#This Row],[Team 2 ET Goals]]</f>
        <v>#VALUE!</v>
      </c>
      <c r="AM38" s="120" t="e">
        <f>+tblActuals35415[[#This Row],[Team 1 Goals]]+tblActuals35415[[#This Row],[Team 2 Goals]]</f>
        <v>#VALUE!</v>
      </c>
      <c r="AN38" s="161">
        <f t="shared" si="13"/>
        <v>45469</v>
      </c>
      <c r="AT38" s="77" t="s">
        <v>45</v>
      </c>
      <c r="AU38" s="142">
        <v>3</v>
      </c>
      <c r="AV38" s="143" t="str">
        <f ca="1">IFERROR(INDEX(BD:BD,MATCH("3"&amp;AT38,BN:BN,0),1),"")</f>
        <v>Portugal</v>
      </c>
      <c r="AW38" s="143" t="str">
        <f ca="1">IF(AV38="","",VLOOKUP(AV38,BD:BI,2,FALSE)&amp;"-"&amp;VLOOKUP(AV38,BD:BI,3,FALSE)&amp;"-"&amp;VLOOKUP(AV38,BD:BI,4,FALSE))</f>
        <v>0-0-0</v>
      </c>
      <c r="AX38" s="143">
        <f ca="1">IF(AV38="","",VLOOKUP(AV38,BD:BK,8,FALSE))</f>
        <v>0</v>
      </c>
      <c r="AY38" s="144">
        <f ca="1">IF(AV38="","",VLOOKUP(AV38,BD:BN,5,FALSE))</f>
        <v>0</v>
      </c>
      <c r="AZ38" s="75" t="str">
        <f ca="1">IF(INDEX($AU$43:$AU$48,MATCH(AV38,$AV$43:$AV$48,0),1)&lt;=4,"X","")</f>
        <v>X</v>
      </c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U38" s="58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4"/>
      <c r="EC38" s="58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4"/>
      <c r="FK38" s="58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13"/>
      <c r="GM38" s="13"/>
      <c r="GN38" s="13"/>
      <c r="GO38" s="13"/>
      <c r="GP38" s="13"/>
      <c r="GQ38" s="13"/>
      <c r="GR38" s="75"/>
      <c r="GS38" s="157"/>
      <c r="GT38" s="157"/>
      <c r="GU38" s="75"/>
      <c r="GV38" s="75"/>
      <c r="GW38" s="75"/>
      <c r="GX38" s="75"/>
      <c r="GY38" s="75"/>
      <c r="GZ38" s="75"/>
    </row>
    <row r="39" spans="1:208" s="11" customFormat="1" ht="30" customHeight="1" thickBot="1" x14ac:dyDescent="0.3">
      <c r="A39" s="20"/>
      <c r="B39" s="127">
        <v>36</v>
      </c>
      <c r="C39" s="127" t="s">
        <v>45</v>
      </c>
      <c r="D39" s="128">
        <v>45469</v>
      </c>
      <c r="E39" s="127" t="s">
        <v>84</v>
      </c>
      <c r="F39" s="129">
        <v>0.875</v>
      </c>
      <c r="G39" s="130">
        <f t="shared" si="11"/>
        <v>45469.625</v>
      </c>
      <c r="H39" s="127" t="s">
        <v>123</v>
      </c>
      <c r="I39" s="131"/>
      <c r="J39" s="118"/>
      <c r="K39" s="118"/>
      <c r="L39" s="174">
        <f>IF(I39="",0,IFERROR(IF(SCORING.RULES!$C$8="No",1,((VLOOKUP($B39,ACTUALS!$B$4:$L$100,7,FALSE)=$H39)+(VLOOKUP($B39,ACTUALS!$B$4:$L$100,7,FALSE)=S39)))*(M39+N39+O39+P39+Q39),0))+$R39</f>
        <v>0</v>
      </c>
      <c r="M39" s="168">
        <f>IFERROR(IF($B39="","",IF(U39=INDEX(ACTUALS!$AA$4:$AA$100,MATCH($B39,ACTUALS!$B$4:$B$100,0),1),CorrectScore,0)),0)</f>
        <v>0</v>
      </c>
      <c r="N39" s="157" t="str">
        <f>IFERROR(IF(I39="","",IF(INDEX(ACTUALS!$AB$4:$AB$100,MATCH($B39,ACTUALS!$B$4:$B$100,0),1)=(AB39+AC39+AH39+AI39),CorrectNumberofGoals,0)),0)</f>
        <v/>
      </c>
      <c r="O39" s="157"/>
      <c r="P39" s="157">
        <f>IFERROR(IF(B39="","",IF(INDEX(ACTUALS!$L$4:$L$100,MATCH($B39,ACTUALS!$B$4:$B$100,0),1)=W39,CorrectResult,0)),0)</f>
        <v>3</v>
      </c>
      <c r="Q39" s="157"/>
      <c r="R39" s="157"/>
      <c r="S39" s="157" t="str">
        <f t="shared" si="0"/>
        <v/>
      </c>
      <c r="T39" s="157"/>
      <c r="U39" s="157" t="str">
        <f t="shared" si="1"/>
        <v/>
      </c>
      <c r="V39" s="157" t="str">
        <f t="shared" si="2"/>
        <v/>
      </c>
      <c r="W39" s="132" t="str">
        <f>IF(tblActuals35415[[#This Row],[SCORE]]="","",IF(AB39=AC39,"Draw",IF(AB39&gt;AC39,X39,Y39)))</f>
        <v/>
      </c>
      <c r="X39" s="120" t="str">
        <f>IF(tblActuals35415[[#This Row],[TEAMS]]="","",LEFT(H39,FIND(" -",H39,1)-1))</f>
        <v>Czechia</v>
      </c>
      <c r="Y39" s="120" t="str">
        <f>IF(tblActuals35415[[#This Row],[TEAMS]]="","",MID(H39,FIND("-",H39,1)+2,LEN(H39)-FIND("-",H39,1)+2))</f>
        <v>Turkey</v>
      </c>
      <c r="Z39" s="120" t="str">
        <f>IF(tblActuals35415[[#This Row],[Team 1 Goals]]&gt;tblActuals35415[[#This Row],[Team 2 Goals]],tblActuals35415[[#This Row],[Team 1]],IF(tblActuals35415[[#This Row],[Team 2 Goals]]&gt;tblActuals35415[[#This Row],[Team 1 Goals]],tblActuals35415[[#This Row],[Team 2]],""))</f>
        <v/>
      </c>
      <c r="AA39" s="120" t="str">
        <f>IF(tblActuals35415[[#This Row],[Winner]]=tblActuals35415[[#This Row],[Team 1]],tblActuals35415[[#This Row],[Team 2]],IF(tblActuals35415[[#This Row],[Winner]]=tblActuals35415[[#This Row],[Team 2]],tblActuals35415[[#This Row],[Team 1]],""))</f>
        <v/>
      </c>
      <c r="AB39" s="120" t="str">
        <f>IF(tblActuals35415[[#This Row],[SCORE]]="","",LEFT(I39,FIND(":",I39,1)-1)*1)</f>
        <v/>
      </c>
      <c r="AC39" s="120" t="str">
        <f>IF(tblActuals35415[[#This Row],[SCORE]]="","",MID(I39,FIND(":",I39,1)+1,LEN(I39)-FIND(":",I39,1)+1)*1)</f>
        <v/>
      </c>
      <c r="AD39" s="120" t="str">
        <f>IF(OR(tblActuals35415[[#This Row],[Team 1 Goals]]="",tblActuals35415[[#This Row],[Team 2 Goals]]=""),"",tblActuals35415[[#This Row],[Team 1 Goals]]-tblActuals35415[[#This Row],[Team 2 Goals]])</f>
        <v/>
      </c>
      <c r="AE39" s="120" t="str">
        <f>IF(OR(tblActuals35415[[#This Row],[Team 1 Goals]]="",tblActuals35415[[#This Row],[Team 2 Goals]]=""),"",tblActuals35415[[#This Row],[Team 2 Goals]]-tblActuals35415[[#This Row],[Team 1 Goals]])</f>
        <v/>
      </c>
      <c r="AF39" s="120" t="str">
        <f>IF(tblActuals35415[[#This Row],[SCORE]]="","",IF(tblActuals35415[[#This Row],[WINNER / RESULT]]="Draw",1,IF(tblActuals35415[[#This Row],[WINNER / RESULT]]=tblActuals35415[[#This Row],[Team 1]],3,0)))</f>
        <v/>
      </c>
      <c r="AG39" s="120" t="str">
        <f>IF(tblActuals35415[[#This Row],[SCORE]]="","",IF(tblActuals35415[[#This Row],[WINNER / RESULT]]="Draw",1,IF(tblActuals35415[[#This Row],[WINNER / RESULT]]=tblActuals35415[[#This Row],[Team 2]],3,0)))</f>
        <v/>
      </c>
      <c r="AH39" s="121"/>
      <c r="AI39" s="121"/>
      <c r="AJ39" s="121"/>
      <c r="AK39" s="121"/>
      <c r="AL39" s="120" t="e">
        <f>tblActuals35415[[#This Row],[Team 1 Goals]]+tblActuals35415[[#This Row],[Team 1 ET Goals]]&amp;":"&amp;tblActuals35415[[#This Row],[Team 2 Goals]]+tblActuals35415[[#This Row],[Team 2 ET Goals]]</f>
        <v>#VALUE!</v>
      </c>
      <c r="AM39" s="120" t="e">
        <f>+tblActuals35415[[#This Row],[Team 1 Goals]]+tblActuals35415[[#This Row],[Team 2 Goals]]</f>
        <v>#VALUE!</v>
      </c>
      <c r="AN39" s="161">
        <f t="shared" si="13"/>
        <v>45469</v>
      </c>
      <c r="AT39" s="77" t="s">
        <v>45</v>
      </c>
      <c r="AU39" s="145">
        <v>4</v>
      </c>
      <c r="AV39" s="146" t="str">
        <f ca="1">IFERROR(INDEX(BD:BD,MATCH("4"&amp;AT39,BN:BN,0),1),"")</f>
        <v>Turkey</v>
      </c>
      <c r="AW39" s="146" t="str">
        <f ca="1">IF(AV39="","",VLOOKUP(AV39,BD:BI,2,FALSE)&amp;"-"&amp;VLOOKUP(AV39,BD:BI,3,FALSE)&amp;"-"&amp;VLOOKUP(AV39,BD:BI,4,FALSE))</f>
        <v>0-0-0</v>
      </c>
      <c r="AX39" s="146">
        <f ca="1">IF(AV39="","",VLOOKUP(AV39,BD:BK,8,FALSE))</f>
        <v>0</v>
      </c>
      <c r="AY39" s="147">
        <f ca="1">IF(AV39="","",VLOOKUP(AV39,BD:BN,5,FALSE))</f>
        <v>0</v>
      </c>
      <c r="AZ39" s="75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U39" s="58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4"/>
      <c r="EC39" s="58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4"/>
      <c r="FK39" s="58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13"/>
      <c r="GM39" s="13"/>
      <c r="GN39" s="13"/>
      <c r="GO39" s="13"/>
      <c r="GP39" s="13"/>
      <c r="GQ39" s="13"/>
      <c r="GR39" s="75"/>
      <c r="GS39" s="157"/>
      <c r="GT39" s="157"/>
      <c r="GU39" s="75"/>
      <c r="GV39" s="75"/>
      <c r="GW39" s="75"/>
      <c r="GX39" s="75"/>
      <c r="GY39" s="75"/>
      <c r="GZ39" s="75"/>
    </row>
    <row r="40" spans="1:208" s="11" customFormat="1" ht="30" customHeight="1" thickBot="1" x14ac:dyDescent="0.3">
      <c r="A40" s="20"/>
      <c r="B40" s="113">
        <v>37</v>
      </c>
      <c r="C40" s="113" t="s">
        <v>48</v>
      </c>
      <c r="D40" s="114">
        <v>45472</v>
      </c>
      <c r="E40" s="113" t="s">
        <v>81</v>
      </c>
      <c r="F40" s="115">
        <v>0.875</v>
      </c>
      <c r="G40" s="116">
        <f t="shared" si="11"/>
        <v>45472.625</v>
      </c>
      <c r="H40" s="113" t="str">
        <f>IF(I39="","Round of 16",INDEX(BD:BD,MATCH("1A",BN:BN,0),1)&amp;" - "&amp;INDEX(BD:BD,MATCH("2C",BN:BN,0),1))</f>
        <v>Round of 16</v>
      </c>
      <c r="I40" s="50"/>
      <c r="J40" s="62"/>
      <c r="K40" s="66"/>
      <c r="L40" s="175">
        <f>IF(I40="",0,IFERROR(IF(SCORING.RULES!$C$8="No",1,((VLOOKUP($B40,ACTUALS!$B$4:$L$100,7,FALSE)=$H40)+(VLOOKUP($B40,ACTUALS!$B$4:$L$100,7,FALSE)=S40)))*(M40+N40+O40+P40+Q40),0))+$R40</f>
        <v>0</v>
      </c>
      <c r="M40" s="168">
        <f>IFERROR(IF($B40="","",IF(U40=INDEX(ACTUALS!$AA$4:$AA$100,MATCH($B40,ACTUALS!$B$4:$B$100,0),1),CorrectScore,0)),0)</f>
        <v>0</v>
      </c>
      <c r="N40" s="168" t="str">
        <f>IFERROR(IF(I40="","",IF(INDEX(ACTUALS!$AB$4:$AB$100,MATCH($B40,ACTUALS!$B$4:$B$100,0),1)=(AB40+AC40+AH40+AI40),CorrectNumberofGoals,0)),0)</f>
        <v/>
      </c>
      <c r="O40" s="168">
        <f>IFERROR(IF(V40="",0,IF($V40=INDEX(ACTUALS!$K$3:$K$100,MATCH($B40,ACTUALS!$B$3:$B$100,0),1),penaltiesscored,0)),0)</f>
        <v>0</v>
      </c>
      <c r="P40" s="168">
        <f>IFERROR(IF(B40="","",IF(INDEX(ACTUALS!$L$4:$L$100,MATCH($B40,ACTUALS!$B$4:$B$100,0),1)=W40,CorrectResult,0)),0)</f>
        <v>3</v>
      </c>
      <c r="Q40" s="168">
        <f>IFERROR(IF(ISNUMBER(AI40),IF(ISNUMBER(INDEX(ACTUALS!$Y$3:$Y$100,MATCH($B40,ACTUALS!$B$3:$B$100,0),1)),shootoutswon,0),0),0)</f>
        <v>0</v>
      </c>
      <c r="R40" s="168">
        <f t="shared" ref="R40:R54" si="14">(IF(ISNUMBER(FIND($X40,VLOOKUP($C40,EliminationStages,2,FALSE),1)),1,0)+IF(ISNUMBER(FIND($Y40,VLOOKUP($C40,EliminationStages,2,FALSE),1)),1,0))*CorrectStage</f>
        <v>0</v>
      </c>
      <c r="S40" s="168" t="e">
        <f>IF(OR($H40="",$B40&lt;37),"",RIGHT($H40,LEN($H40)-FIND("-",$H40,1)-1)&amp;" - "&amp;LEFT($H40,FIND("-",$H40,1)-2))</f>
        <v>#VALUE!</v>
      </c>
      <c r="T40" s="168" t="str">
        <f>IF($W40="","",IF(NOT(ISERROR(MATCH($S40,ACTUALS!$H$40:$H$47,0))),"Y","N"))</f>
        <v/>
      </c>
      <c r="U40" s="168" t="str">
        <f>IF($I40="","",IF($T40="Y",AC40+AI40&amp;":"&amp;AB40+AH40,AB40+AH40&amp;":"&amp;AC40+AI40))</f>
        <v/>
      </c>
      <c r="V40" s="168" t="str">
        <f>IF($K40="","",IF($T40="Y",$AK40&amp;":"&amp;$AJ40,$AJ40&amp;":"&amp;$AK40))</f>
        <v/>
      </c>
      <c r="W40" s="63" t="str">
        <f t="shared" ref="W40:W54" si="15">IF(I40="","",IF(AB40=AC40,IF(AJ40&gt;AK40,X40,IF(AK40&gt;AJ40,Y40,IF(AH40&gt;AI40,X40,IF(AI40&gt;AH40,Y40,"")))),IF(AB40&gt;AC40,X40,Y40)))</f>
        <v/>
      </c>
      <c r="X40" s="65" t="e">
        <f t="shared" ref="X40:X54" si="16">IF(OR(LEFT(H40,1)=" ",H40=""),"N/A",LEFT(H40,FIND(" -",H40,1)-1))</f>
        <v>#VALUE!</v>
      </c>
      <c r="Y40" s="65" t="e">
        <f t="shared" ref="Y40:Y54" si="17">IF(OR(RIGHT(H40)=" ",H40=""),"N/A",MID(H40,FIND("-",H40,1)+2,LEN(H40)-FIND("-",H40,1)+2))</f>
        <v>#VALUE!</v>
      </c>
      <c r="Z40" s="65" t="str">
        <f t="shared" ref="Z40:Z51" si="18">IF(W40="","",IF(W40=X40,X40,Y40))</f>
        <v/>
      </c>
      <c r="AA40" s="65" t="str">
        <f t="shared" ref="AA40:AA51" si="19">IF(W40="","",IF(Z40=X40,Y40,X40))</f>
        <v/>
      </c>
      <c r="AB40" s="65" t="str">
        <f t="shared" ref="AB40:AB54" si="20">IF(I40="","",LEFT(I40,FIND(":",I40,1)-1)*1)</f>
        <v/>
      </c>
      <c r="AC40" s="65" t="str">
        <f t="shared" ref="AC40:AC54" si="21">IF(I40="","",MID(I40,FIND(":",I40,1)+1,LEN(I40)-FIND(":",I40,1)+1)*1)</f>
        <v/>
      </c>
      <c r="AD40" s="65"/>
      <c r="AE40" s="65"/>
      <c r="AF40" s="65"/>
      <c r="AG40" s="65"/>
      <c r="AH40" s="65">
        <f>IF(J40="",0,LEFT(J40,FIND(":",J40,1)-1)*1)</f>
        <v>0</v>
      </c>
      <c r="AI40" s="65">
        <f>IF(J40="",0,MID(J40,FIND(":",J40,1)+1,LEN(J40)-FIND(":",J40,1)+1)*1)</f>
        <v>0</v>
      </c>
      <c r="AJ40" s="65" t="str">
        <f t="shared" ref="AJ40:AJ54" si="22">IF(K40="","",LEFT(K40,FIND(":",K40,1)-1)*1)</f>
        <v/>
      </c>
      <c r="AK40" s="65" t="str">
        <f t="shared" ref="AK40:AK54" si="23">IF(K40="","",MID(K40,FIND(":",K40,1)+1,LEN(K40)-FIND(":",K40,1)+1)*1)</f>
        <v/>
      </c>
      <c r="AL40" s="65" t="e">
        <f>AB40+N(AH40)&amp;":"&amp;AC40+N(AI40)</f>
        <v>#VALUE!</v>
      </c>
      <c r="AM40" s="65" t="e">
        <f t="shared" ref="AM40:AM54" si="24">+AB40+AC40+N(AH40)+N(AI40)</f>
        <v>#VALUE!</v>
      </c>
      <c r="AN40" s="161">
        <f t="shared" si="13"/>
        <v>45472</v>
      </c>
      <c r="AT40" s="79"/>
      <c r="AU40" s="148"/>
      <c r="AV40" s="148"/>
      <c r="AW40" s="148"/>
      <c r="AX40" s="148"/>
      <c r="AY40" s="148"/>
      <c r="AZ40" s="75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U40" s="58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4"/>
      <c r="EC40" s="58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4"/>
      <c r="FK40" s="58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13"/>
      <c r="GM40" s="13"/>
      <c r="GN40" s="13"/>
      <c r="GO40" s="13"/>
      <c r="GP40" s="13"/>
      <c r="GQ40" s="13"/>
      <c r="GR40" s="75"/>
      <c r="GS40" s="157"/>
      <c r="GT40" s="157"/>
      <c r="GU40" s="75"/>
      <c r="GV40" s="75"/>
      <c r="GW40" s="75"/>
      <c r="GX40" s="75"/>
      <c r="GY40" s="75"/>
      <c r="GZ40" s="75"/>
    </row>
    <row r="41" spans="1:208" s="11" customFormat="1" ht="30" customHeight="1" x14ac:dyDescent="0.25">
      <c r="A41" s="20"/>
      <c r="B41" s="122">
        <v>38</v>
      </c>
      <c r="C41" s="122" t="s">
        <v>48</v>
      </c>
      <c r="D41" s="123">
        <v>45472</v>
      </c>
      <c r="E41" s="122" t="s">
        <v>80</v>
      </c>
      <c r="F41" s="124">
        <v>0.75</v>
      </c>
      <c r="G41" s="125">
        <f t="shared" si="11"/>
        <v>45472.5</v>
      </c>
      <c r="H41" s="122" t="str">
        <f>IF(I39="","Round of 16",INDEX(BD:BD,MATCH("2A",BN:BN,0),1)&amp;" - "&amp;INDEX(BD:BD,MATCH("2b",BN:BN,0),1))</f>
        <v>Round of 16</v>
      </c>
      <c r="I41" s="49"/>
      <c r="J41" s="62"/>
      <c r="K41" s="66"/>
      <c r="L41" s="175">
        <f>IF(I41="",0,IFERROR(IF(SCORING.RULES!$C$8="No",1,((VLOOKUP($B41,ACTUALS!$B$4:$L$100,7,FALSE)=$H41)+(VLOOKUP($B41,ACTUALS!$B$4:$L$100,7,FALSE)=S41)))*(M41+N41+O41+P41+Q41),0))+$R41</f>
        <v>0</v>
      </c>
      <c r="M41" s="168">
        <f>IFERROR(IF($B41="","",IF(U41=INDEX(ACTUALS!$AA$4:$AA$100,MATCH($B41,ACTUALS!$B$4:$B$100,0),1),CorrectScore,0)),0)</f>
        <v>0</v>
      </c>
      <c r="N41" s="168" t="str">
        <f>IFERROR(IF(I41="","",IF(INDEX(ACTUALS!$AB$4:$AB$100,MATCH($B41,ACTUALS!$B$4:$B$100,0),1)=(AB41+AC41+AH41+AI41),CorrectNumberofGoals,0)),0)</f>
        <v/>
      </c>
      <c r="O41" s="168">
        <f>IFERROR(IF(V41="",0,IF($V41=INDEX(ACTUALS!$K$3:$K$100,MATCH($B41,ACTUALS!$B$3:$B$100,0),1),penaltiesscored,0)),0)</f>
        <v>0</v>
      </c>
      <c r="P41" s="168">
        <f>IFERROR(IF(B41="","",IF(INDEX(ACTUALS!$L$4:$L$100,MATCH($B41,ACTUALS!$B$4:$B$100,0),1)=W41,CorrectResult,0)),0)</f>
        <v>3</v>
      </c>
      <c r="Q41" s="168">
        <f>IFERROR(IF(ISNUMBER(AI41),IF(ISNUMBER(INDEX(ACTUALS!$Y$3:$Y$100,MATCH($B41,ACTUALS!$B$3:$B$100,0),1)),shootoutswon,0),0),0)</f>
        <v>0</v>
      </c>
      <c r="R41" s="168">
        <f t="shared" si="14"/>
        <v>0</v>
      </c>
      <c r="S41" s="168" t="e">
        <f t="shared" ref="S41:S54" si="25">IF(OR($H41="",$B41&lt;37),"",RIGHT($H41,LEN($H41)-FIND("-",$H41,1)-1)&amp;" - "&amp;LEFT($H41,FIND("-",$H41,1)-2))</f>
        <v>#VALUE!</v>
      </c>
      <c r="T41" s="168" t="str">
        <f>IF($W41="","",IF(NOT(ISERROR(MATCH($S41,ACTUALS!$H$40:$H$47,0))),"Y","N"))</f>
        <v/>
      </c>
      <c r="U41" s="168" t="str">
        <f t="shared" ref="U41:U54" si="26">IF($I41="","",IF($T41="Y",AC41+AI41&amp;":"&amp;AB41+AH41,AB41+AH41&amp;":"&amp;AC41+AI41))</f>
        <v/>
      </c>
      <c r="V41" s="168" t="str">
        <f t="shared" ref="V41:V54" si="27">IF($K41="","",IF($T41="Y",$AK41&amp;":"&amp;$AJ41,$AJ41&amp;":"&amp;$AK41))</f>
        <v/>
      </c>
      <c r="W41" s="63" t="str">
        <f t="shared" si="15"/>
        <v/>
      </c>
      <c r="X41" s="65" t="e">
        <f t="shared" si="16"/>
        <v>#VALUE!</v>
      </c>
      <c r="Y41" s="65" t="e">
        <f t="shared" si="17"/>
        <v>#VALUE!</v>
      </c>
      <c r="Z41" s="65" t="str">
        <f>IF(W41="","",IF(W41=X41,X41,Y41))</f>
        <v/>
      </c>
      <c r="AA41" s="65" t="str">
        <f t="shared" si="19"/>
        <v/>
      </c>
      <c r="AB41" s="65" t="str">
        <f t="shared" si="20"/>
        <v/>
      </c>
      <c r="AC41" s="65" t="str">
        <f t="shared" si="21"/>
        <v/>
      </c>
      <c r="AD41" s="65"/>
      <c r="AE41" s="65"/>
      <c r="AF41" s="65"/>
      <c r="AG41" s="65"/>
      <c r="AH41" s="65">
        <f t="shared" ref="AH41:AH54" si="28">IF(J41="",0,LEFT(J41,FIND(":",J41,1)-1)*1)</f>
        <v>0</v>
      </c>
      <c r="AI41" s="65">
        <f t="shared" ref="AI41:AI54" si="29">IF(J41="",0,MID(J41,FIND(":",J41,1)+1,LEN(J41)-FIND(":",J41,1)+1)*1)</f>
        <v>0</v>
      </c>
      <c r="AJ41" s="65" t="str">
        <f t="shared" si="22"/>
        <v/>
      </c>
      <c r="AK41" s="65" t="str">
        <f t="shared" si="23"/>
        <v/>
      </c>
      <c r="AL41" s="65" t="e">
        <f t="shared" ref="AL41:AL54" si="30">AB41+N(AH41)&amp;":"&amp;AC41+N(AI41)</f>
        <v>#VALUE!</v>
      </c>
      <c r="AM41" s="65" t="e">
        <f t="shared" si="24"/>
        <v>#VALUE!</v>
      </c>
      <c r="AN41" s="161">
        <f t="shared" si="13"/>
        <v>45472</v>
      </c>
      <c r="AT41" s="80"/>
      <c r="AU41" s="187" t="s">
        <v>138</v>
      </c>
      <c r="AV41" s="188"/>
      <c r="AW41" s="188"/>
      <c r="AX41" s="188"/>
      <c r="AY41" s="189"/>
      <c r="AZ41" s="75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U41" s="58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4"/>
      <c r="EC41" s="58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4"/>
      <c r="FK41" s="58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13"/>
      <c r="GM41" s="13"/>
      <c r="GN41" s="13"/>
      <c r="GO41" s="13"/>
      <c r="GP41" s="13"/>
      <c r="GQ41" s="13"/>
      <c r="GR41" s="75"/>
      <c r="GS41" s="157"/>
      <c r="GT41" s="157"/>
      <c r="GU41" s="75"/>
      <c r="GV41" s="75"/>
      <c r="GW41" s="75"/>
      <c r="GX41" s="75"/>
      <c r="GY41" s="75"/>
      <c r="GZ41" s="75"/>
    </row>
    <row r="42" spans="1:208" s="11" customFormat="1" ht="30" customHeight="1" thickBot="1" x14ac:dyDescent="0.3">
      <c r="A42" s="20"/>
      <c r="B42" s="122">
        <v>39</v>
      </c>
      <c r="C42" s="122" t="s">
        <v>48</v>
      </c>
      <c r="D42" s="123">
        <v>45473</v>
      </c>
      <c r="E42" s="122" t="s">
        <v>79</v>
      </c>
      <c r="F42" s="124">
        <v>0.875</v>
      </c>
      <c r="G42" s="125">
        <f t="shared" si="11"/>
        <v>45473.625</v>
      </c>
      <c r="H42" s="122" t="str">
        <f>IF(I39="","Round of 16",INDEX(BD:BD,MATCH("1B",BN:BN,0),1)&amp;" - "&amp;INDEX(BD:BD,MATCH(INDEX(HJ:HJ,MATCH(AZ42,HB:HB,0),1),BN:BN,0),1))</f>
        <v>Round of 16</v>
      </c>
      <c r="I42" s="49"/>
      <c r="J42" s="62"/>
      <c r="K42" s="66"/>
      <c r="L42" s="175">
        <f>IF(I42="",0,IFERROR(IF(SCORING.RULES!$C$8="No",1,((VLOOKUP($B42,ACTUALS!$B$4:$L$100,7,FALSE)=$H42)+(VLOOKUP($B42,ACTUALS!$B$4:$L$100,7,FALSE)=S42)))*(M42+N42+O42+P42+Q42),0))+$R42</f>
        <v>0</v>
      </c>
      <c r="M42" s="168">
        <f>IFERROR(IF($B42="","",IF(U42=INDEX(ACTUALS!$AA$4:$AA$100,MATCH($B42,ACTUALS!$B$4:$B$100,0),1),CorrectScore,0)),0)</f>
        <v>0</v>
      </c>
      <c r="N42" s="168" t="str">
        <f>IFERROR(IF(I42="","",IF(INDEX(ACTUALS!$AB$4:$AB$100,MATCH($B42,ACTUALS!$B$4:$B$100,0),1)=(AB42+AC42+AH42+AI42),CorrectNumberofGoals,0)),0)</f>
        <v/>
      </c>
      <c r="O42" s="168">
        <f>IFERROR(IF(V42="",0,IF($V42=INDEX(ACTUALS!$K$3:$K$100,MATCH($B42,ACTUALS!$B$3:$B$100,0),1),penaltiesscored,0)),0)</f>
        <v>0</v>
      </c>
      <c r="P42" s="168">
        <f>IFERROR(IF(B42="","",IF(INDEX(ACTUALS!$L$4:$L$100,MATCH($B42,ACTUALS!$B$4:$B$100,0),1)=W42,CorrectResult,0)),0)</f>
        <v>3</v>
      </c>
      <c r="Q42" s="168">
        <f>IFERROR(IF(ISNUMBER(AI42),IF(ISNUMBER(INDEX(ACTUALS!$Y$3:$Y$100,MATCH($B42,ACTUALS!$B$3:$B$100,0),1)),shootoutswon,0),0),0)</f>
        <v>0</v>
      </c>
      <c r="R42" s="168">
        <f t="shared" si="14"/>
        <v>0</v>
      </c>
      <c r="S42" s="168" t="e">
        <f t="shared" si="25"/>
        <v>#VALUE!</v>
      </c>
      <c r="T42" s="168" t="str">
        <f>IF($W42="","",IF(NOT(ISERROR(MATCH($S42,ACTUALS!$H$40:$H$47,0))),"Y","N"))</f>
        <v/>
      </c>
      <c r="U42" s="168" t="str">
        <f t="shared" si="26"/>
        <v/>
      </c>
      <c r="V42" s="168" t="str">
        <f t="shared" si="27"/>
        <v/>
      </c>
      <c r="W42" s="63" t="str">
        <f t="shared" si="15"/>
        <v/>
      </c>
      <c r="X42" s="65" t="e">
        <f t="shared" si="16"/>
        <v>#VALUE!</v>
      </c>
      <c r="Y42" s="65" t="e">
        <f t="shared" si="17"/>
        <v>#VALUE!</v>
      </c>
      <c r="Z42" s="65" t="str">
        <f t="shared" si="18"/>
        <v/>
      </c>
      <c r="AA42" s="65" t="str">
        <f t="shared" si="19"/>
        <v/>
      </c>
      <c r="AB42" s="65" t="str">
        <f t="shared" si="20"/>
        <v/>
      </c>
      <c r="AC42" s="65" t="str">
        <f t="shared" si="21"/>
        <v/>
      </c>
      <c r="AD42" s="65"/>
      <c r="AE42" s="65"/>
      <c r="AF42" s="65"/>
      <c r="AG42" s="65"/>
      <c r="AH42" s="65">
        <f t="shared" si="28"/>
        <v>0</v>
      </c>
      <c r="AI42" s="65">
        <f t="shared" si="29"/>
        <v>0</v>
      </c>
      <c r="AJ42" s="65" t="str">
        <f t="shared" si="22"/>
        <v/>
      </c>
      <c r="AK42" s="65" t="str">
        <f t="shared" si="23"/>
        <v/>
      </c>
      <c r="AL42" s="65" t="e">
        <f t="shared" si="30"/>
        <v>#VALUE!</v>
      </c>
      <c r="AM42" s="65" t="e">
        <f t="shared" si="24"/>
        <v>#VALUE!</v>
      </c>
      <c r="AN42" s="161">
        <f t="shared" si="13"/>
        <v>45473</v>
      </c>
      <c r="AT42" s="79"/>
      <c r="AU42" s="149" t="s">
        <v>140</v>
      </c>
      <c r="AV42" s="150" t="s">
        <v>13</v>
      </c>
      <c r="AW42" s="150" t="s">
        <v>46</v>
      </c>
      <c r="AX42" s="150" t="s">
        <v>57</v>
      </c>
      <c r="AY42" s="151" t="s">
        <v>11</v>
      </c>
      <c r="AZ42" s="75" t="str">
        <f ca="1">IF(AZ8="X","A","")&amp;IF(AZ14="X","B","")&amp;IF(AZ20="X","C","")&amp;IF(AZ26="X","D","")&amp;IF(AZ32="X","E","")&amp;IF(AZ38="X","F","")</f>
        <v>CDEF</v>
      </c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U42" s="58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R42" s="75"/>
      <c r="GS42" s="157"/>
      <c r="GT42" s="157"/>
      <c r="GU42" s="75"/>
      <c r="GV42" s="75"/>
      <c r="GW42" s="75"/>
      <c r="GX42" s="75"/>
      <c r="GY42" s="75"/>
      <c r="GZ42" s="75"/>
    </row>
    <row r="43" spans="1:208" s="11" customFormat="1" ht="30" customHeight="1" x14ac:dyDescent="0.25">
      <c r="A43" s="20"/>
      <c r="B43" s="122">
        <v>40</v>
      </c>
      <c r="C43" s="122" t="s">
        <v>48</v>
      </c>
      <c r="D43" s="123">
        <v>45473</v>
      </c>
      <c r="E43" s="122" t="s">
        <v>82</v>
      </c>
      <c r="F43" s="124">
        <v>0.75</v>
      </c>
      <c r="G43" s="125">
        <f t="shared" si="11"/>
        <v>45473.5</v>
      </c>
      <c r="H43" s="122" t="str">
        <f>IF(I39="","Round of 16",INDEX(BD:BD,MATCH("1c",BN:BN,0),1)&amp;" - "&amp;INDEX(BD:BD,MATCH(INDEX(HK:HK,MATCH(AZ42,HB:HB,0),1),BN:BN,0),1))</f>
        <v>Round of 16</v>
      </c>
      <c r="I43" s="49"/>
      <c r="J43" s="62"/>
      <c r="K43" s="66"/>
      <c r="L43" s="175">
        <f>IF(I43="",0,IFERROR(IF(SCORING.RULES!$C$8="No",1,((VLOOKUP($B43,ACTUALS!$B$4:$L$100,7,FALSE)=$H43)+(VLOOKUP($B43,ACTUALS!$B$4:$L$100,7,FALSE)=S43)))*(M43+N43+O43+P43+Q43),0))+$R43</f>
        <v>0</v>
      </c>
      <c r="M43" s="168">
        <f>IFERROR(IF($B43="","",IF(U43=INDEX(ACTUALS!$AA$4:$AA$100,MATCH($B43,ACTUALS!$B$4:$B$100,0),1),CorrectScore,0)),0)</f>
        <v>0</v>
      </c>
      <c r="N43" s="168" t="str">
        <f>IFERROR(IF(I43="","",IF(INDEX(ACTUALS!$AB$4:$AB$100,MATCH($B43,ACTUALS!$B$4:$B$100,0),1)=(AB43+AC43+AH43+AI43),CorrectNumberofGoals,0)),0)</f>
        <v/>
      </c>
      <c r="O43" s="168">
        <f>IFERROR(IF(V43="",0,IF($V43=INDEX(ACTUALS!$K$3:$K$100,MATCH($B43,ACTUALS!$B$3:$B$100,0),1),penaltiesscored,0)),0)</f>
        <v>0</v>
      </c>
      <c r="P43" s="168">
        <f>IFERROR(IF(B43="","",IF(INDEX(ACTUALS!$L$4:$L$100,MATCH($B43,ACTUALS!$B$4:$B$100,0),1)=W43,CorrectResult,0)),0)</f>
        <v>3</v>
      </c>
      <c r="Q43" s="168">
        <f>IFERROR(IF(ISNUMBER(AI43),IF(ISNUMBER(INDEX(ACTUALS!$Y$3:$Y$100,MATCH($B43,ACTUALS!$B$3:$B$100,0),1)),shootoutswon,0),0),0)</f>
        <v>0</v>
      </c>
      <c r="R43" s="168">
        <f t="shared" si="14"/>
        <v>0</v>
      </c>
      <c r="S43" s="168" t="e">
        <f t="shared" si="25"/>
        <v>#VALUE!</v>
      </c>
      <c r="T43" s="168" t="str">
        <f>IF($W43="","",IF(NOT(ISERROR(MATCH($S43,ACTUALS!$H$40:$H$47,0))),"Y","N"))</f>
        <v/>
      </c>
      <c r="U43" s="168" t="str">
        <f t="shared" si="26"/>
        <v/>
      </c>
      <c r="V43" s="168" t="str">
        <f t="shared" si="27"/>
        <v/>
      </c>
      <c r="W43" s="63" t="str">
        <f t="shared" si="15"/>
        <v/>
      </c>
      <c r="X43" s="65" t="e">
        <f t="shared" si="16"/>
        <v>#VALUE!</v>
      </c>
      <c r="Y43" s="65" t="e">
        <f t="shared" si="17"/>
        <v>#VALUE!</v>
      </c>
      <c r="Z43" s="65" t="str">
        <f t="shared" si="18"/>
        <v/>
      </c>
      <c r="AA43" s="65" t="str">
        <f t="shared" si="19"/>
        <v/>
      </c>
      <c r="AB43" s="65" t="str">
        <f t="shared" si="20"/>
        <v/>
      </c>
      <c r="AC43" s="65" t="str">
        <f t="shared" si="21"/>
        <v/>
      </c>
      <c r="AD43" s="65"/>
      <c r="AE43" s="65"/>
      <c r="AF43" s="65"/>
      <c r="AG43" s="65"/>
      <c r="AH43" s="65">
        <f t="shared" si="28"/>
        <v>0</v>
      </c>
      <c r="AI43" s="65">
        <f t="shared" si="29"/>
        <v>0</v>
      </c>
      <c r="AJ43" s="65" t="str">
        <f t="shared" si="22"/>
        <v/>
      </c>
      <c r="AK43" s="65" t="str">
        <f t="shared" si="23"/>
        <v/>
      </c>
      <c r="AL43" s="65" t="e">
        <f t="shared" si="30"/>
        <v>#VALUE!</v>
      </c>
      <c r="AM43" s="65" t="e">
        <f t="shared" si="24"/>
        <v>#VALUE!</v>
      </c>
      <c r="AN43" s="161">
        <f t="shared" si="13"/>
        <v>45473</v>
      </c>
      <c r="AT43" s="79"/>
      <c r="AU43" s="136">
        <v>1</v>
      </c>
      <c r="AV43" s="137" t="str">
        <f t="shared" ref="AV43:AV48" ca="1" si="31">IF(GV4&lt;&gt;"",GV4,INDEX($CB$4:$CB$9,MATCH(ROW(A1),$CH$4:$CH$9,0),1))</f>
        <v>Portugal</v>
      </c>
      <c r="AW43" s="137" t="str">
        <f t="shared" ref="AW43:AW48" ca="1" si="32">INDEX($AW$5:$AW$39,MATCH($AV43,$AV$5:$AV$39,0),1)</f>
        <v>0-0-0</v>
      </c>
      <c r="AX43" s="137">
        <f t="shared" ref="AX43:AX48" ca="1" si="33">INDEX($AX$5:$AX$39,MATCH($AV43,$AV$5:$AV$39,0),1)</f>
        <v>0</v>
      </c>
      <c r="AY43" s="138">
        <f t="shared" ref="AY43:AY48" ca="1" si="34">INDEX($AY$5:$AY$39,MATCH($AV43,$AV$5:$AV$39,0),1)</f>
        <v>0</v>
      </c>
      <c r="AZ43" s="75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U43" s="58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R43" s="75"/>
      <c r="GS43" s="157"/>
      <c r="GT43" s="157"/>
      <c r="GU43" s="75"/>
      <c r="GV43" s="75"/>
      <c r="GW43" s="75"/>
      <c r="GX43" s="75"/>
      <c r="GY43" s="75"/>
      <c r="GZ43" s="75"/>
    </row>
    <row r="44" spans="1:208" s="11" customFormat="1" ht="30" customHeight="1" x14ac:dyDescent="0.25">
      <c r="A44" s="20"/>
      <c r="B44" s="122">
        <v>41</v>
      </c>
      <c r="C44" s="122" t="s">
        <v>48</v>
      </c>
      <c r="D44" s="123">
        <v>45474</v>
      </c>
      <c r="E44" s="122" t="s">
        <v>86</v>
      </c>
      <c r="F44" s="124">
        <v>0.875</v>
      </c>
      <c r="G44" s="125">
        <f t="shared" si="11"/>
        <v>45474.625</v>
      </c>
      <c r="H44" s="122" t="str">
        <f>IF(I39="","Round of 16",INDEX(BD:BD,MATCH("1f",BN:BN,0),1)&amp;" - "&amp;INDEX(BD:BD,MATCH(INDEX(HM:HM,MATCH(AZ42,HB:HB,0),1),BN:BN,0),1))</f>
        <v>Round of 16</v>
      </c>
      <c r="I44" s="49"/>
      <c r="J44" s="62"/>
      <c r="K44" s="66"/>
      <c r="L44" s="175">
        <f>IF(I44="",0,IFERROR(IF(SCORING.RULES!$C$8="No",1,((VLOOKUP($B44,ACTUALS!$B$4:$L$100,7,FALSE)=$H44)+(VLOOKUP($B44,ACTUALS!$B$4:$L$100,7,FALSE)=S44)))*(M44+N44+O44+P44+Q44),0))+$R44</f>
        <v>0</v>
      </c>
      <c r="M44" s="168">
        <f>IFERROR(IF($B44="","",IF(U44=INDEX(ACTUALS!$AA$4:$AA$100,MATCH($B44,ACTUALS!$B$4:$B$100,0),1),CorrectScore,0)),0)</f>
        <v>0</v>
      </c>
      <c r="N44" s="168" t="str">
        <f>IFERROR(IF(I44="","",IF(INDEX(ACTUALS!$AB$4:$AB$100,MATCH($B44,ACTUALS!$B$4:$B$100,0),1)=(AB44+AC44+AH44+AI44),CorrectNumberofGoals,0)),0)</f>
        <v/>
      </c>
      <c r="O44" s="168">
        <f>IFERROR(IF(V44="",0,IF($V44=INDEX(ACTUALS!$K$3:$K$100,MATCH($B44,ACTUALS!$B$3:$B$100,0),1),penaltiesscored,0)),0)</f>
        <v>0</v>
      </c>
      <c r="P44" s="168">
        <f>IFERROR(IF(B44="","",IF(INDEX(ACTUALS!$L$4:$L$100,MATCH($B44,ACTUALS!$B$4:$B$100,0),1)=W44,CorrectResult,0)),0)</f>
        <v>3</v>
      </c>
      <c r="Q44" s="168">
        <f>IFERROR(IF(ISNUMBER(AI44),IF(ISNUMBER(INDEX(ACTUALS!$Y$3:$Y$100,MATCH($B44,ACTUALS!$B$3:$B$100,0),1)),shootoutswon,0),0),0)</f>
        <v>0</v>
      </c>
      <c r="R44" s="168">
        <f t="shared" si="14"/>
        <v>0</v>
      </c>
      <c r="S44" s="168" t="e">
        <f t="shared" si="25"/>
        <v>#VALUE!</v>
      </c>
      <c r="T44" s="168" t="str">
        <f>IF($W44="","",IF(NOT(ISERROR(MATCH($S44,ACTUALS!$H$40:$H$47,0))),"Y","N"))</f>
        <v/>
      </c>
      <c r="U44" s="168" t="str">
        <f t="shared" si="26"/>
        <v/>
      </c>
      <c r="V44" s="168" t="str">
        <f t="shared" si="27"/>
        <v/>
      </c>
      <c r="W44" s="63" t="str">
        <f t="shared" si="15"/>
        <v/>
      </c>
      <c r="X44" s="65" t="e">
        <f t="shared" si="16"/>
        <v>#VALUE!</v>
      </c>
      <c r="Y44" s="65" t="e">
        <f t="shared" si="17"/>
        <v>#VALUE!</v>
      </c>
      <c r="Z44" s="65" t="str">
        <f t="shared" si="18"/>
        <v/>
      </c>
      <c r="AA44" s="65" t="str">
        <f t="shared" si="19"/>
        <v/>
      </c>
      <c r="AB44" s="65" t="str">
        <f t="shared" si="20"/>
        <v/>
      </c>
      <c r="AC44" s="65" t="str">
        <f t="shared" si="21"/>
        <v/>
      </c>
      <c r="AD44" s="65"/>
      <c r="AE44" s="65"/>
      <c r="AF44" s="65"/>
      <c r="AG44" s="65"/>
      <c r="AH44" s="65">
        <f t="shared" si="28"/>
        <v>0</v>
      </c>
      <c r="AI44" s="65">
        <f t="shared" si="29"/>
        <v>0</v>
      </c>
      <c r="AJ44" s="65" t="str">
        <f t="shared" si="22"/>
        <v/>
      </c>
      <c r="AK44" s="65" t="str">
        <f t="shared" si="23"/>
        <v/>
      </c>
      <c r="AL44" s="65" t="e">
        <f t="shared" si="30"/>
        <v>#VALUE!</v>
      </c>
      <c r="AM44" s="65" t="e">
        <f t="shared" si="24"/>
        <v>#VALUE!</v>
      </c>
      <c r="AN44" s="161">
        <f t="shared" si="13"/>
        <v>45474</v>
      </c>
      <c r="AT44" s="79"/>
      <c r="AU44" s="136">
        <v>2</v>
      </c>
      <c r="AV44" s="137" t="str">
        <f t="shared" ca="1" si="31"/>
        <v>Slovakia</v>
      </c>
      <c r="AW44" s="137" t="str">
        <f t="shared" ca="1" si="32"/>
        <v>0-0-0</v>
      </c>
      <c r="AX44" s="137">
        <f t="shared" ca="1" si="33"/>
        <v>0</v>
      </c>
      <c r="AY44" s="138">
        <f t="shared" ca="1" si="34"/>
        <v>0</v>
      </c>
      <c r="AZ44" s="75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U44" s="58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R44" s="75"/>
      <c r="GS44" s="157"/>
      <c r="GT44" s="157"/>
      <c r="GU44" s="75"/>
      <c r="GV44" s="75"/>
      <c r="GW44" s="75"/>
      <c r="GX44" s="75"/>
      <c r="GY44" s="75"/>
      <c r="GZ44" s="75"/>
    </row>
    <row r="45" spans="1:208" s="11" customFormat="1" ht="30" customHeight="1" x14ac:dyDescent="0.25">
      <c r="A45" s="20"/>
      <c r="B45" s="122">
        <v>42</v>
      </c>
      <c r="C45" s="122" t="s">
        <v>48</v>
      </c>
      <c r="D45" s="123">
        <v>45474</v>
      </c>
      <c r="E45" s="122" t="s">
        <v>85</v>
      </c>
      <c r="F45" s="124">
        <v>0.75</v>
      </c>
      <c r="G45" s="125">
        <f t="shared" si="11"/>
        <v>45474.5</v>
      </c>
      <c r="H45" s="122" t="str">
        <f>IF(I39="","Round of 16",INDEX(BD:BD,MATCH("2d",BN:BN,0),1)&amp;" - "&amp;INDEX(BD:BD,MATCH("2e",BN:BN,0),1))</f>
        <v>Round of 16</v>
      </c>
      <c r="I45" s="49"/>
      <c r="J45" s="62"/>
      <c r="K45" s="66"/>
      <c r="L45" s="175">
        <f>IF(I45="",0,IFERROR(IF(SCORING.RULES!$C$8="No",1,((VLOOKUP($B45,ACTUALS!$B$4:$L$100,7,FALSE)=$H45)+(VLOOKUP($B45,ACTUALS!$B$4:$L$100,7,FALSE)=S45)))*(M45+N45+O45+P45+Q45),0))+$R45</f>
        <v>0</v>
      </c>
      <c r="M45" s="168">
        <f>IFERROR(IF($B45="","",IF(U45=INDEX(ACTUALS!$AA$4:$AA$100,MATCH($B45,ACTUALS!$B$4:$B$100,0),1),CorrectScore,0)),0)</f>
        <v>0</v>
      </c>
      <c r="N45" s="168" t="str">
        <f>IFERROR(IF(I45="","",IF(INDEX(ACTUALS!$AB$4:$AB$100,MATCH($B45,ACTUALS!$B$4:$B$100,0),1)=(AB45+AC45+AH45+AI45),CorrectNumberofGoals,0)),0)</f>
        <v/>
      </c>
      <c r="O45" s="168">
        <f>IFERROR(IF(V45="",0,IF($V45=INDEX(ACTUALS!$K$3:$K$100,MATCH($B45,ACTUALS!$B$3:$B$100,0),1),penaltiesscored,0)),0)</f>
        <v>0</v>
      </c>
      <c r="P45" s="168">
        <f>IFERROR(IF(B45="","",IF(INDEX(ACTUALS!$L$4:$L$100,MATCH($B45,ACTUALS!$B$4:$B$100,0),1)=W45,CorrectResult,0)),0)</f>
        <v>3</v>
      </c>
      <c r="Q45" s="168">
        <f>IFERROR(IF(ISNUMBER(AI45),IF(ISNUMBER(INDEX(ACTUALS!$Y$3:$Y$100,MATCH($B45,ACTUALS!$B$3:$B$100,0),1)),shootoutswon,0),0),0)</f>
        <v>0</v>
      </c>
      <c r="R45" s="168">
        <f t="shared" si="14"/>
        <v>0</v>
      </c>
      <c r="S45" s="168" t="e">
        <f t="shared" si="25"/>
        <v>#VALUE!</v>
      </c>
      <c r="T45" s="168" t="str">
        <f>IF($W45="","",IF(NOT(ISERROR(MATCH($S45,ACTUALS!$H$40:$H$47,0))),"Y","N"))</f>
        <v/>
      </c>
      <c r="U45" s="168" t="str">
        <f t="shared" si="26"/>
        <v/>
      </c>
      <c r="V45" s="168" t="str">
        <f t="shared" si="27"/>
        <v/>
      </c>
      <c r="W45" s="63" t="str">
        <f t="shared" si="15"/>
        <v/>
      </c>
      <c r="X45" s="65" t="e">
        <f t="shared" si="16"/>
        <v>#VALUE!</v>
      </c>
      <c r="Y45" s="65" t="e">
        <f t="shared" si="17"/>
        <v>#VALUE!</v>
      </c>
      <c r="Z45" s="65" t="str">
        <f t="shared" si="18"/>
        <v/>
      </c>
      <c r="AA45" s="65" t="str">
        <f t="shared" si="19"/>
        <v/>
      </c>
      <c r="AB45" s="65" t="str">
        <f t="shared" si="20"/>
        <v/>
      </c>
      <c r="AC45" s="65" t="str">
        <f t="shared" si="21"/>
        <v/>
      </c>
      <c r="AD45" s="65"/>
      <c r="AE45" s="65"/>
      <c r="AF45" s="65"/>
      <c r="AG45" s="65"/>
      <c r="AH45" s="65">
        <f t="shared" si="28"/>
        <v>0</v>
      </c>
      <c r="AI45" s="65">
        <f t="shared" si="29"/>
        <v>0</v>
      </c>
      <c r="AJ45" s="65" t="str">
        <f t="shared" si="22"/>
        <v/>
      </c>
      <c r="AK45" s="65" t="str">
        <f t="shared" si="23"/>
        <v/>
      </c>
      <c r="AL45" s="65" t="e">
        <f t="shared" si="30"/>
        <v>#VALUE!</v>
      </c>
      <c r="AM45" s="65" t="e">
        <f t="shared" si="24"/>
        <v>#VALUE!</v>
      </c>
      <c r="AN45" s="161">
        <f t="shared" si="13"/>
        <v>45474</v>
      </c>
      <c r="AT45" s="79"/>
      <c r="AU45" s="136">
        <v>3</v>
      </c>
      <c r="AV45" s="137" t="str">
        <f t="shared" ca="1" si="31"/>
        <v>Netherlands</v>
      </c>
      <c r="AW45" s="137" t="str">
        <f t="shared" ca="1" si="32"/>
        <v>0-0-0</v>
      </c>
      <c r="AX45" s="137">
        <f t="shared" ca="1" si="33"/>
        <v>0</v>
      </c>
      <c r="AY45" s="138">
        <f t="shared" ca="1" si="34"/>
        <v>0</v>
      </c>
      <c r="AZ45" s="75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U45" s="58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R45" s="75"/>
      <c r="GS45" s="157"/>
      <c r="GT45" s="157"/>
      <c r="GU45" s="75"/>
      <c r="GV45" s="75"/>
      <c r="GW45" s="75"/>
      <c r="GX45" s="75"/>
      <c r="GY45" s="75"/>
      <c r="GZ45" s="75"/>
    </row>
    <row r="46" spans="1:208" s="11" customFormat="1" ht="30" customHeight="1" x14ac:dyDescent="0.25">
      <c r="A46" s="20"/>
      <c r="B46" s="122">
        <v>43</v>
      </c>
      <c r="C46" s="122" t="s">
        <v>48</v>
      </c>
      <c r="D46" s="123">
        <v>45475</v>
      </c>
      <c r="E46" s="122" t="s">
        <v>78</v>
      </c>
      <c r="F46" s="124">
        <v>0.75</v>
      </c>
      <c r="G46" s="125">
        <f t="shared" si="11"/>
        <v>45475.5</v>
      </c>
      <c r="H46" s="122" t="str">
        <f>IF(I39="","Round of 16",INDEX(BD:BD,MATCH("1e",BN:BN,0),1)&amp;" - "&amp;INDEX(BD:BD,MATCH(INDEX(HL:HL,MATCH(AZ42,HB:HB,0),1),BN:BN,0),1))</f>
        <v>Round of 16</v>
      </c>
      <c r="I46" s="49"/>
      <c r="J46" s="62"/>
      <c r="K46" s="66"/>
      <c r="L46" s="175">
        <f>IF(I46="",0,IFERROR(IF(SCORING.RULES!$C$8="No",1,((VLOOKUP($B46,ACTUALS!$B$4:$L$100,7,FALSE)=$H46)+(VLOOKUP($B46,ACTUALS!$B$4:$L$100,7,FALSE)=S46)))*(M46+N46+O46+P46+Q46),0))+$R46</f>
        <v>0</v>
      </c>
      <c r="M46" s="168">
        <f>IFERROR(IF($B46="","",IF(U46=INDEX(ACTUALS!$AA$4:$AA$100,MATCH($B46,ACTUALS!$B$4:$B$100,0),1),CorrectScore,0)),0)</f>
        <v>0</v>
      </c>
      <c r="N46" s="168" t="str">
        <f>IFERROR(IF(I46="","",IF(INDEX(ACTUALS!$AB$4:$AB$100,MATCH($B46,ACTUALS!$B$4:$B$100,0),1)=(AB46+AC46+AH46+AI46),CorrectNumberofGoals,0)),0)</f>
        <v/>
      </c>
      <c r="O46" s="168">
        <f>IFERROR(IF(V46="",0,IF($V46=INDEX(ACTUALS!$K$3:$K$100,MATCH($B46,ACTUALS!$B$3:$B$100,0),1),penaltiesscored,0)),0)</f>
        <v>0</v>
      </c>
      <c r="P46" s="168">
        <f>IFERROR(IF(B46="","",IF(INDEX(ACTUALS!$L$4:$L$100,MATCH($B46,ACTUALS!$B$4:$B$100,0),1)=W46,CorrectResult,0)),0)</f>
        <v>3</v>
      </c>
      <c r="Q46" s="168">
        <f>IFERROR(IF(ISNUMBER(AI46),IF(ISNUMBER(INDEX(ACTUALS!$Y$3:$Y$100,MATCH($B46,ACTUALS!$B$3:$B$100,0),1)),shootoutswon,0),0),0)</f>
        <v>0</v>
      </c>
      <c r="R46" s="168">
        <f t="shared" si="14"/>
        <v>0</v>
      </c>
      <c r="S46" s="168" t="e">
        <f t="shared" si="25"/>
        <v>#VALUE!</v>
      </c>
      <c r="T46" s="168" t="str">
        <f>IF($W46="","",IF(NOT(ISERROR(MATCH($S46,ACTUALS!$H$40:$H$47,0))),"Y","N"))</f>
        <v/>
      </c>
      <c r="U46" s="168" t="str">
        <f t="shared" si="26"/>
        <v/>
      </c>
      <c r="V46" s="168" t="str">
        <f t="shared" si="27"/>
        <v/>
      </c>
      <c r="W46" s="63" t="str">
        <f t="shared" si="15"/>
        <v/>
      </c>
      <c r="X46" s="65" t="e">
        <f t="shared" si="16"/>
        <v>#VALUE!</v>
      </c>
      <c r="Y46" s="65" t="e">
        <f t="shared" si="17"/>
        <v>#VALUE!</v>
      </c>
      <c r="Z46" s="65" t="str">
        <f t="shared" si="18"/>
        <v/>
      </c>
      <c r="AA46" s="65" t="str">
        <f t="shared" si="19"/>
        <v/>
      </c>
      <c r="AB46" s="65" t="str">
        <f t="shared" si="20"/>
        <v/>
      </c>
      <c r="AC46" s="65" t="str">
        <f t="shared" si="21"/>
        <v/>
      </c>
      <c r="AD46" s="65"/>
      <c r="AE46" s="65"/>
      <c r="AF46" s="65"/>
      <c r="AG46" s="65"/>
      <c r="AH46" s="65">
        <f t="shared" si="28"/>
        <v>0</v>
      </c>
      <c r="AI46" s="65">
        <f t="shared" si="29"/>
        <v>0</v>
      </c>
      <c r="AJ46" s="65" t="str">
        <f t="shared" si="22"/>
        <v/>
      </c>
      <c r="AK46" s="65" t="str">
        <f t="shared" si="23"/>
        <v/>
      </c>
      <c r="AL46" s="65" t="e">
        <f t="shared" si="30"/>
        <v>#VALUE!</v>
      </c>
      <c r="AM46" s="65" t="e">
        <f t="shared" si="24"/>
        <v>#VALUE!</v>
      </c>
      <c r="AN46" s="161">
        <f t="shared" si="13"/>
        <v>45475</v>
      </c>
      <c r="AT46" s="79"/>
      <c r="AU46" s="139">
        <v>4</v>
      </c>
      <c r="AV46" s="140" t="str">
        <f t="shared" ca="1" si="31"/>
        <v>Serbia</v>
      </c>
      <c r="AW46" s="140" t="str">
        <f t="shared" ca="1" si="32"/>
        <v>0-0-0</v>
      </c>
      <c r="AX46" s="140">
        <f t="shared" ca="1" si="33"/>
        <v>0</v>
      </c>
      <c r="AY46" s="141">
        <f t="shared" ca="1" si="34"/>
        <v>0</v>
      </c>
      <c r="AZ46" s="75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U46" s="58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R46" s="75"/>
      <c r="GS46" s="157"/>
      <c r="GT46" s="157"/>
      <c r="GU46" s="75"/>
      <c r="GV46" s="75"/>
      <c r="GW46" s="75"/>
      <c r="GX46" s="75"/>
      <c r="GY46" s="75"/>
      <c r="GZ46" s="75"/>
    </row>
    <row r="47" spans="1:208" s="11" customFormat="1" ht="30" customHeight="1" thickBot="1" x14ac:dyDescent="0.3">
      <c r="A47" s="20"/>
      <c r="B47" s="127">
        <v>44</v>
      </c>
      <c r="C47" s="127" t="s">
        <v>48</v>
      </c>
      <c r="D47" s="128">
        <v>45475</v>
      </c>
      <c r="E47" s="127" t="s">
        <v>87</v>
      </c>
      <c r="F47" s="129">
        <v>0.875</v>
      </c>
      <c r="G47" s="130">
        <f t="shared" si="11"/>
        <v>45475.625</v>
      </c>
      <c r="H47" s="127" t="str">
        <f>IF(I39="","Round of 16",INDEX(BD:BD,MATCH("1d",BN:BN,0),1)&amp;" - "&amp;INDEX(BD:BD,MATCH("2f",BN:BN,0),1))</f>
        <v>Round of 16</v>
      </c>
      <c r="I47" s="51"/>
      <c r="J47" s="62"/>
      <c r="K47" s="66"/>
      <c r="L47" s="175">
        <f>IF(I47="",0,IFERROR(IF(SCORING.RULES!$C$8="No",1,((VLOOKUP($B47,ACTUALS!$B$4:$L$100,7,FALSE)=$H47)+(VLOOKUP($B47,ACTUALS!$B$4:$L$100,7,FALSE)=S47)))*(M47+N47+O47+P47+Q47),0))+$R47</f>
        <v>0</v>
      </c>
      <c r="M47" s="168">
        <f>IFERROR(IF($B47="","",IF(U47=INDEX(ACTUALS!$AA$4:$AA$100,MATCH($B47,ACTUALS!$B$4:$B$100,0),1),CorrectScore,0)),0)</f>
        <v>0</v>
      </c>
      <c r="N47" s="168" t="str">
        <f>IFERROR(IF(I47="","",IF(INDEX(ACTUALS!$AB$4:$AB$100,MATCH($B47,ACTUALS!$B$4:$B$100,0),1)=(AB47+AC47+AH47+AI47),CorrectNumberofGoals,0)),0)</f>
        <v/>
      </c>
      <c r="O47" s="168">
        <f>IFERROR(IF(V47="",0,IF($V47=INDEX(ACTUALS!$K$3:$K$100,MATCH($B47,ACTUALS!$B$3:$B$100,0),1),penaltiesscored,0)),0)</f>
        <v>0</v>
      </c>
      <c r="P47" s="168">
        <f>IFERROR(IF(B47="","",IF(INDEX(ACTUALS!$L$4:$L$100,MATCH($B47,ACTUALS!$B$4:$B$100,0),1)=W47,CorrectResult,0)),0)</f>
        <v>3</v>
      </c>
      <c r="Q47" s="168">
        <f>IFERROR(IF(ISNUMBER(AI47),IF(ISNUMBER(INDEX(ACTUALS!$Y$3:$Y$100,MATCH($B47,ACTUALS!$B$3:$B$100,0),1)),shootoutswon,0),0),0)</f>
        <v>0</v>
      </c>
      <c r="R47" s="168">
        <f t="shared" si="14"/>
        <v>0</v>
      </c>
      <c r="S47" s="168" t="e">
        <f t="shared" si="25"/>
        <v>#VALUE!</v>
      </c>
      <c r="T47" s="168" t="str">
        <f>IF($W47="","",IF(NOT(ISERROR(MATCH($S47,ACTUALS!$H$40:$H$47,0))),"Y","N"))</f>
        <v/>
      </c>
      <c r="U47" s="168" t="str">
        <f t="shared" si="26"/>
        <v/>
      </c>
      <c r="V47" s="168" t="str">
        <f t="shared" si="27"/>
        <v/>
      </c>
      <c r="W47" s="63" t="str">
        <f t="shared" si="15"/>
        <v/>
      </c>
      <c r="X47" s="65" t="e">
        <f t="shared" si="16"/>
        <v>#VALUE!</v>
      </c>
      <c r="Y47" s="65" t="e">
        <f t="shared" si="17"/>
        <v>#VALUE!</v>
      </c>
      <c r="Z47" s="65" t="str">
        <f t="shared" si="18"/>
        <v/>
      </c>
      <c r="AA47" s="65" t="str">
        <f t="shared" si="19"/>
        <v/>
      </c>
      <c r="AB47" s="65" t="str">
        <f t="shared" si="20"/>
        <v/>
      </c>
      <c r="AC47" s="65" t="str">
        <f t="shared" si="21"/>
        <v/>
      </c>
      <c r="AD47" s="65"/>
      <c r="AE47" s="65"/>
      <c r="AF47" s="65"/>
      <c r="AG47" s="65"/>
      <c r="AH47" s="65">
        <f t="shared" si="28"/>
        <v>0</v>
      </c>
      <c r="AI47" s="65">
        <f t="shared" si="29"/>
        <v>0</v>
      </c>
      <c r="AJ47" s="65" t="str">
        <f t="shared" si="22"/>
        <v/>
      </c>
      <c r="AK47" s="65" t="str">
        <f t="shared" si="23"/>
        <v/>
      </c>
      <c r="AL47" s="65" t="e">
        <f t="shared" si="30"/>
        <v>#VALUE!</v>
      </c>
      <c r="AM47" s="65" t="e">
        <f t="shared" si="24"/>
        <v>#VALUE!</v>
      </c>
      <c r="AN47" s="161">
        <f t="shared" si="13"/>
        <v>45475</v>
      </c>
      <c r="AT47" s="80"/>
      <c r="AU47" s="142">
        <v>5</v>
      </c>
      <c r="AV47" s="143" t="str">
        <f t="shared" ca="1" si="31"/>
        <v>Italy</v>
      </c>
      <c r="AW47" s="143" t="str">
        <f t="shared" ca="1" si="32"/>
        <v>0-0-0</v>
      </c>
      <c r="AX47" s="143">
        <f t="shared" ca="1" si="33"/>
        <v>0</v>
      </c>
      <c r="AY47" s="144">
        <f t="shared" ca="1" si="34"/>
        <v>0</v>
      </c>
      <c r="AZ47" s="75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U47" s="58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R47" s="75"/>
      <c r="GS47" s="157"/>
      <c r="GT47" s="157"/>
      <c r="GU47" s="75"/>
      <c r="GV47" s="75"/>
      <c r="GW47" s="75"/>
      <c r="GX47" s="75"/>
      <c r="GY47" s="75"/>
      <c r="GZ47" s="75"/>
    </row>
    <row r="48" spans="1:208" s="11" customFormat="1" ht="30" customHeight="1" thickBot="1" x14ac:dyDescent="0.3">
      <c r="A48" s="20"/>
      <c r="B48" s="113">
        <v>45</v>
      </c>
      <c r="C48" s="113" t="s">
        <v>74</v>
      </c>
      <c r="D48" s="114">
        <v>45478</v>
      </c>
      <c r="E48" s="113" t="s">
        <v>83</v>
      </c>
      <c r="F48" s="115">
        <v>0.75</v>
      </c>
      <c r="G48" s="116">
        <f t="shared" si="11"/>
        <v>45478.5</v>
      </c>
      <c r="H48" s="113" t="str">
        <f>IF(I47="","Quarterfinal 1",Z42&amp;" - "&amp;Z40)</f>
        <v>Quarterfinal 1</v>
      </c>
      <c r="I48" s="50"/>
      <c r="J48" s="62"/>
      <c r="K48" s="66"/>
      <c r="L48" s="175">
        <f>IF(I48="",0,IFERROR(IF(SCORING.RULES!$C$8="No",1,((VLOOKUP($B48,ACTUALS!$B$4:$L$100,7,FALSE)=$H48)+(VLOOKUP($B48,ACTUALS!$B$4:$L$100,7,FALSE)=S48)))*(M48+N48+O48+P48+Q48),0))+$R48</f>
        <v>0</v>
      </c>
      <c r="M48" s="168">
        <f>IFERROR(IF($B48="","",IF(U48=INDEX(ACTUALS!$AA$4:$AA$100,MATCH($B48,ACTUALS!$B$4:$B$100,0),1),CorrectScore,0)),0)</f>
        <v>0</v>
      </c>
      <c r="N48" s="168" t="str">
        <f>IFERROR(IF(I48="","",IF(INDEX(ACTUALS!$AB$4:$AB$100,MATCH($B48,ACTUALS!$B$4:$B$100,0),1)=(AB48+AC48+AH48+AI48),CorrectNumberofGoals,0)),0)</f>
        <v/>
      </c>
      <c r="O48" s="168">
        <f>IFERROR(IF(V48="",0,IF($V48=INDEX(ACTUALS!$K$3:$K$100,MATCH($B48,ACTUALS!$B$3:$B$100,0),1),penaltiesscored,0)),0)</f>
        <v>0</v>
      </c>
      <c r="P48" s="168">
        <f>IFERROR(IF(B48="","",IF(INDEX(ACTUALS!$L$4:$L$100,MATCH($B48,ACTUALS!$B$4:$B$100,0),1)=W48,CorrectResult,0)),0)</f>
        <v>3</v>
      </c>
      <c r="Q48" s="168">
        <f>IFERROR(IF(ISNUMBER(AI48),IF(ISNUMBER(INDEX(ACTUALS!$Y$3:$Y$100,MATCH($B48,ACTUALS!$B$3:$B$100,0),1)),shootoutswon,0),0),0)</f>
        <v>0</v>
      </c>
      <c r="R48" s="168">
        <f t="shared" si="14"/>
        <v>0</v>
      </c>
      <c r="S48" s="168" t="e">
        <f t="shared" si="25"/>
        <v>#VALUE!</v>
      </c>
      <c r="T48" s="168" t="str">
        <f>IF($W48="","",IF(NOT(ISERROR(MATCH($S48,ACTUALS!$H$48:$H$51,0))),"Y","N"))</f>
        <v/>
      </c>
      <c r="U48" s="168" t="str">
        <f t="shared" si="26"/>
        <v/>
      </c>
      <c r="V48" s="168" t="str">
        <f t="shared" si="27"/>
        <v/>
      </c>
      <c r="W48" s="63" t="str">
        <f t="shared" si="15"/>
        <v/>
      </c>
      <c r="X48" s="65" t="e">
        <f t="shared" si="16"/>
        <v>#VALUE!</v>
      </c>
      <c r="Y48" s="65" t="e">
        <f t="shared" si="17"/>
        <v>#VALUE!</v>
      </c>
      <c r="Z48" s="65" t="str">
        <f>IF(W48="","",IF(W48=X48,X48,Y48))</f>
        <v/>
      </c>
      <c r="AA48" s="65" t="str">
        <f t="shared" si="19"/>
        <v/>
      </c>
      <c r="AB48" s="65" t="str">
        <f t="shared" si="20"/>
        <v/>
      </c>
      <c r="AC48" s="65" t="str">
        <f t="shared" si="21"/>
        <v/>
      </c>
      <c r="AD48" s="65"/>
      <c r="AE48" s="65"/>
      <c r="AF48" s="65"/>
      <c r="AG48" s="65"/>
      <c r="AH48" s="65">
        <f t="shared" si="28"/>
        <v>0</v>
      </c>
      <c r="AI48" s="65">
        <f t="shared" si="29"/>
        <v>0</v>
      </c>
      <c r="AJ48" s="65" t="str">
        <f t="shared" si="22"/>
        <v/>
      </c>
      <c r="AK48" s="65" t="str">
        <f t="shared" si="23"/>
        <v/>
      </c>
      <c r="AL48" s="65" t="e">
        <f t="shared" si="30"/>
        <v>#VALUE!</v>
      </c>
      <c r="AM48" s="65" t="e">
        <f t="shared" si="24"/>
        <v>#VALUE!</v>
      </c>
      <c r="AN48" s="161">
        <f t="shared" si="13"/>
        <v>45478</v>
      </c>
      <c r="AT48" s="79"/>
      <c r="AU48" s="145">
        <v>6</v>
      </c>
      <c r="AV48" s="146" t="str">
        <f t="shared" ca="1" si="31"/>
        <v>Scotland</v>
      </c>
      <c r="AW48" s="146" t="str">
        <f t="shared" ca="1" si="32"/>
        <v>0-0-0</v>
      </c>
      <c r="AX48" s="146">
        <f t="shared" ca="1" si="33"/>
        <v>0</v>
      </c>
      <c r="AY48" s="147">
        <f t="shared" ca="1" si="34"/>
        <v>0</v>
      </c>
      <c r="AZ48" s="75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U48" s="58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R48" s="75"/>
      <c r="GS48" s="157"/>
      <c r="GT48" s="157"/>
      <c r="GU48" s="75"/>
      <c r="GV48" s="75"/>
      <c r="GW48" s="75"/>
      <c r="GX48" s="75"/>
      <c r="GY48" s="75"/>
      <c r="GZ48" s="75"/>
    </row>
    <row r="49" spans="1:208" s="11" customFormat="1" ht="30" customHeight="1" x14ac:dyDescent="0.25">
      <c r="A49" s="20"/>
      <c r="B49" s="122">
        <v>46</v>
      </c>
      <c r="C49" s="122" t="s">
        <v>74</v>
      </c>
      <c r="D49" s="123">
        <v>45478</v>
      </c>
      <c r="E49" s="122" t="s">
        <v>84</v>
      </c>
      <c r="F49" s="124">
        <v>0.875</v>
      </c>
      <c r="G49" s="125">
        <f t="shared" si="11"/>
        <v>45478.625</v>
      </c>
      <c r="H49" s="122" t="str">
        <f>IF(I47="","Quarterfinal 2",Z44&amp;" - "&amp;Z45)</f>
        <v>Quarterfinal 2</v>
      </c>
      <c r="I49" s="49"/>
      <c r="J49" s="62"/>
      <c r="K49" s="66"/>
      <c r="L49" s="175">
        <f>IF(I49="",0,IFERROR(IF(SCORING.RULES!$C$8="No",1,((VLOOKUP($B49,ACTUALS!$B$4:$L$100,7,FALSE)=$H49)+(VLOOKUP($B49,ACTUALS!$B$4:$L$100,7,FALSE)=S49)))*(M49+N49+O49+P49+Q49),0))+$R49</f>
        <v>0</v>
      </c>
      <c r="M49" s="168">
        <f>IFERROR(IF($B49="","",IF(U49=INDEX(ACTUALS!$AA$4:$AA$100,MATCH($B49,ACTUALS!$B$4:$B$100,0),1),CorrectScore,0)),0)</f>
        <v>0</v>
      </c>
      <c r="N49" s="168" t="str">
        <f>IFERROR(IF(I49="","",IF(INDEX(ACTUALS!$AB$4:$AB$100,MATCH($B49,ACTUALS!$B$4:$B$100,0),1)=(AB49+AC49+AH49+AI49),CorrectNumberofGoals,0)),0)</f>
        <v/>
      </c>
      <c r="O49" s="168">
        <f>IFERROR(IF(V49="",0,IF($V49=INDEX(ACTUALS!$K$3:$K$100,MATCH($B49,ACTUALS!$B$3:$B$100,0),1),penaltiesscored,0)),0)</f>
        <v>0</v>
      </c>
      <c r="P49" s="168">
        <f>IFERROR(IF(B49="","",IF(INDEX(ACTUALS!$L$4:$L$100,MATCH($B49,ACTUALS!$B$4:$B$100,0),1)=W49,CorrectResult,0)),0)</f>
        <v>3</v>
      </c>
      <c r="Q49" s="168">
        <f>IFERROR(IF(ISNUMBER(AI49),IF(ISNUMBER(INDEX(ACTUALS!$Y$3:$Y$100,MATCH($B49,ACTUALS!$B$3:$B$100,0),1)),shootoutswon,0),0),0)</f>
        <v>0</v>
      </c>
      <c r="R49" s="168">
        <f t="shared" si="14"/>
        <v>0</v>
      </c>
      <c r="S49" s="168" t="e">
        <f t="shared" si="25"/>
        <v>#VALUE!</v>
      </c>
      <c r="T49" s="168" t="str">
        <f>IF($W49="","",IF(NOT(ISERROR(MATCH($S49,ACTUALS!$H$48:$H$51,0))),"Y","N"))</f>
        <v/>
      </c>
      <c r="U49" s="168" t="str">
        <f t="shared" si="26"/>
        <v/>
      </c>
      <c r="V49" s="168" t="str">
        <f t="shared" si="27"/>
        <v/>
      </c>
      <c r="W49" s="63" t="str">
        <f t="shared" si="15"/>
        <v/>
      </c>
      <c r="X49" s="65" t="e">
        <f t="shared" si="16"/>
        <v>#VALUE!</v>
      </c>
      <c r="Y49" s="65" t="e">
        <f t="shared" si="17"/>
        <v>#VALUE!</v>
      </c>
      <c r="Z49" s="65" t="str">
        <f t="shared" si="18"/>
        <v/>
      </c>
      <c r="AA49" s="65" t="str">
        <f t="shared" si="19"/>
        <v/>
      </c>
      <c r="AB49" s="65" t="str">
        <f t="shared" si="20"/>
        <v/>
      </c>
      <c r="AC49" s="65" t="str">
        <f t="shared" si="21"/>
        <v/>
      </c>
      <c r="AD49" s="65"/>
      <c r="AE49" s="65"/>
      <c r="AF49" s="65"/>
      <c r="AG49" s="65"/>
      <c r="AH49" s="65">
        <f t="shared" si="28"/>
        <v>0</v>
      </c>
      <c r="AI49" s="65">
        <f t="shared" si="29"/>
        <v>0</v>
      </c>
      <c r="AJ49" s="65" t="str">
        <f t="shared" si="22"/>
        <v/>
      </c>
      <c r="AK49" s="65" t="str">
        <f t="shared" si="23"/>
        <v/>
      </c>
      <c r="AL49" s="65" t="e">
        <f t="shared" si="30"/>
        <v>#VALUE!</v>
      </c>
      <c r="AM49" s="65" t="e">
        <f t="shared" si="24"/>
        <v>#VALUE!</v>
      </c>
      <c r="AN49" s="161">
        <f t="shared" si="13"/>
        <v>45478</v>
      </c>
      <c r="AT49" s="79"/>
      <c r="AU49" s="79"/>
      <c r="AV49" s="79"/>
      <c r="AW49" s="79"/>
      <c r="AX49" s="79"/>
      <c r="AY49" s="79"/>
      <c r="AZ49" s="75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U49" s="58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R49" s="75"/>
      <c r="GS49" s="157"/>
      <c r="GT49" s="157"/>
      <c r="GU49" s="75"/>
      <c r="GV49" s="75"/>
      <c r="GW49" s="75"/>
      <c r="GX49" s="75"/>
      <c r="GY49" s="75"/>
      <c r="GZ49" s="75"/>
    </row>
    <row r="50" spans="1:208" s="11" customFormat="1" ht="30" customHeight="1" x14ac:dyDescent="0.25">
      <c r="A50" s="20"/>
      <c r="B50" s="122">
        <v>47</v>
      </c>
      <c r="C50" s="122" t="s">
        <v>74</v>
      </c>
      <c r="D50" s="123">
        <v>45479</v>
      </c>
      <c r="E50" s="122" t="s">
        <v>80</v>
      </c>
      <c r="F50" s="124">
        <v>0.875</v>
      </c>
      <c r="G50" s="125">
        <f t="shared" si="11"/>
        <v>45479.625</v>
      </c>
      <c r="H50" s="122" t="str">
        <f>IF(I47="","Quarterfinal 3",Z46&amp;" - "&amp;Z47)</f>
        <v>Quarterfinal 3</v>
      </c>
      <c r="I50" s="49"/>
      <c r="J50" s="62"/>
      <c r="K50" s="66"/>
      <c r="L50" s="175">
        <f>IF(I50="",0,IFERROR(IF(SCORING.RULES!$C$8="No",1,((VLOOKUP($B50,ACTUALS!$B$4:$L$100,7,FALSE)=$H50)+(VLOOKUP($B50,ACTUALS!$B$4:$L$100,7,FALSE)=S50)))*(M50+N50+O50+P50+Q50),0))+$R50</f>
        <v>0</v>
      </c>
      <c r="M50" s="168">
        <f>IFERROR(IF($B50="","",IF(U50=INDEX(ACTUALS!$AA$4:$AA$100,MATCH($B50,ACTUALS!$B$4:$B$100,0),1),CorrectScore,0)),0)</f>
        <v>0</v>
      </c>
      <c r="N50" s="168" t="str">
        <f>IFERROR(IF(I50="","",IF(INDEX(ACTUALS!$AB$4:$AB$100,MATCH($B50,ACTUALS!$B$4:$B$100,0),1)=(AB50+AC50+AH50+AI50),CorrectNumberofGoals,0)),0)</f>
        <v/>
      </c>
      <c r="O50" s="168">
        <f>IFERROR(IF(V50="",0,IF($V50=INDEX(ACTUALS!$K$3:$K$100,MATCH($B50,ACTUALS!$B$3:$B$100,0),1),penaltiesscored,0)),0)</f>
        <v>0</v>
      </c>
      <c r="P50" s="168">
        <f>IFERROR(IF(B50="","",IF(INDEX(ACTUALS!$L$4:$L$100,MATCH($B50,ACTUALS!$B$4:$B$100,0),1)=W50,CorrectResult,0)),0)</f>
        <v>3</v>
      </c>
      <c r="Q50" s="168">
        <f>IFERROR(IF(ISNUMBER(AI50),IF(ISNUMBER(INDEX(ACTUALS!$Y$3:$Y$100,MATCH($B50,ACTUALS!$B$3:$B$100,0),1)),shootoutswon,0),0),0)</f>
        <v>0</v>
      </c>
      <c r="R50" s="168">
        <f t="shared" si="14"/>
        <v>0</v>
      </c>
      <c r="S50" s="168" t="e">
        <f t="shared" si="25"/>
        <v>#VALUE!</v>
      </c>
      <c r="T50" s="168" t="str">
        <f>IF($W50="","",IF(NOT(ISERROR(MATCH($S50,ACTUALS!$H$48:$H$51,0))),"Y","N"))</f>
        <v/>
      </c>
      <c r="U50" s="168" t="str">
        <f t="shared" si="26"/>
        <v/>
      </c>
      <c r="V50" s="168" t="str">
        <f t="shared" si="27"/>
        <v/>
      </c>
      <c r="W50" s="63" t="str">
        <f t="shared" si="15"/>
        <v/>
      </c>
      <c r="X50" s="65" t="e">
        <f t="shared" si="16"/>
        <v>#VALUE!</v>
      </c>
      <c r="Y50" s="65" t="e">
        <f t="shared" si="17"/>
        <v>#VALUE!</v>
      </c>
      <c r="Z50" s="65" t="str">
        <f t="shared" si="18"/>
        <v/>
      </c>
      <c r="AA50" s="65" t="str">
        <f t="shared" si="19"/>
        <v/>
      </c>
      <c r="AB50" s="65" t="str">
        <f t="shared" si="20"/>
        <v/>
      </c>
      <c r="AC50" s="65" t="str">
        <f t="shared" si="21"/>
        <v/>
      </c>
      <c r="AD50" s="65"/>
      <c r="AE50" s="65"/>
      <c r="AF50" s="65"/>
      <c r="AG50" s="65"/>
      <c r="AH50" s="65">
        <f t="shared" si="28"/>
        <v>0</v>
      </c>
      <c r="AI50" s="65">
        <f t="shared" si="29"/>
        <v>0</v>
      </c>
      <c r="AJ50" s="65" t="str">
        <f t="shared" si="22"/>
        <v/>
      </c>
      <c r="AK50" s="65" t="str">
        <f t="shared" si="23"/>
        <v/>
      </c>
      <c r="AL50" s="65" t="e">
        <f t="shared" si="30"/>
        <v>#VALUE!</v>
      </c>
      <c r="AM50" s="65" t="e">
        <f t="shared" si="24"/>
        <v>#VALUE!</v>
      </c>
      <c r="AN50" s="161">
        <f t="shared" si="13"/>
        <v>45479</v>
      </c>
      <c r="AT50" s="79"/>
      <c r="AU50" s="181"/>
      <c r="AV50" s="181"/>
      <c r="AW50" s="80"/>
      <c r="AX50" s="81"/>
      <c r="AY50" s="80"/>
      <c r="AZ50" s="75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U50" s="58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R50" s="75"/>
      <c r="GS50" s="157"/>
      <c r="GT50" s="157"/>
      <c r="GU50" s="75"/>
      <c r="GV50" s="75"/>
      <c r="GW50" s="75"/>
      <c r="GX50" s="75"/>
      <c r="GY50" s="75"/>
      <c r="GZ50" s="75"/>
    </row>
    <row r="51" spans="1:208" s="11" customFormat="1" ht="30" customHeight="1" thickBot="1" x14ac:dyDescent="0.3">
      <c r="A51" s="20"/>
      <c r="B51" s="127">
        <v>48</v>
      </c>
      <c r="C51" s="127" t="s">
        <v>74</v>
      </c>
      <c r="D51" s="128">
        <v>45479</v>
      </c>
      <c r="E51" s="127" t="s">
        <v>85</v>
      </c>
      <c r="F51" s="129">
        <v>0.75</v>
      </c>
      <c r="G51" s="130">
        <f t="shared" si="11"/>
        <v>45479.5</v>
      </c>
      <c r="H51" s="127" t="str">
        <f>IF(I47="","Quarterfinal 4",Z43&amp;" - "&amp;Z41)</f>
        <v>Quarterfinal 4</v>
      </c>
      <c r="I51" s="51"/>
      <c r="J51" s="62"/>
      <c r="K51" s="66"/>
      <c r="L51" s="175">
        <f>IF(I51="",0,IFERROR(IF(SCORING.RULES!$C$8="No",1,((VLOOKUP($B51,ACTUALS!$B$4:$L$100,7,FALSE)=$H51)+(VLOOKUP($B51,ACTUALS!$B$4:$L$100,7,FALSE)=S51)))*(M51+N51+O51+P51+Q51),0))+$R51</f>
        <v>0</v>
      </c>
      <c r="M51" s="168">
        <f>IFERROR(IF($B51="","",IF(U51=INDEX(ACTUALS!$AA$4:$AA$100,MATCH($B51,ACTUALS!$B$4:$B$100,0),1),CorrectScore,0)),0)</f>
        <v>0</v>
      </c>
      <c r="N51" s="168" t="str">
        <f>IFERROR(IF(I51="","",IF(INDEX(ACTUALS!$AB$4:$AB$100,MATCH($B51,ACTUALS!$B$4:$B$100,0),1)=(AB51+AC51+AH51+AI51),CorrectNumberofGoals,0)),0)</f>
        <v/>
      </c>
      <c r="O51" s="168">
        <f>IFERROR(IF(V51="",0,IF($V51=INDEX(ACTUALS!$K$3:$K$100,MATCH($B51,ACTUALS!$B$3:$B$100,0),1),penaltiesscored,0)),0)</f>
        <v>0</v>
      </c>
      <c r="P51" s="168">
        <f>IFERROR(IF(B51="","",IF(INDEX(ACTUALS!$L$4:$L$100,MATCH($B51,ACTUALS!$B$4:$B$100,0),1)=W51,CorrectResult,0)),0)</f>
        <v>3</v>
      </c>
      <c r="Q51" s="168">
        <f>IFERROR(IF(ISNUMBER(AI51),IF(ISNUMBER(INDEX(ACTUALS!$Y$3:$Y$100,MATCH($B51,ACTUALS!$B$3:$B$100,0),1)),shootoutswon,0),0),0)</f>
        <v>0</v>
      </c>
      <c r="R51" s="168">
        <f t="shared" si="14"/>
        <v>0</v>
      </c>
      <c r="S51" s="168" t="e">
        <f t="shared" si="25"/>
        <v>#VALUE!</v>
      </c>
      <c r="T51" s="168" t="str">
        <f>IF($W51="","",IF(NOT(ISERROR(MATCH($S51,ACTUALS!$H$48:$H$51,0))),"Y","N"))</f>
        <v/>
      </c>
      <c r="U51" s="168" t="str">
        <f t="shared" si="26"/>
        <v/>
      </c>
      <c r="V51" s="168" t="str">
        <f t="shared" si="27"/>
        <v/>
      </c>
      <c r="W51" s="63" t="str">
        <f t="shared" si="15"/>
        <v/>
      </c>
      <c r="X51" s="65" t="e">
        <f t="shared" si="16"/>
        <v>#VALUE!</v>
      </c>
      <c r="Y51" s="65" t="e">
        <f t="shared" si="17"/>
        <v>#VALUE!</v>
      </c>
      <c r="Z51" s="65" t="str">
        <f t="shared" si="18"/>
        <v/>
      </c>
      <c r="AA51" s="65" t="str">
        <f t="shared" si="19"/>
        <v/>
      </c>
      <c r="AB51" s="65" t="str">
        <f t="shared" si="20"/>
        <v/>
      </c>
      <c r="AC51" s="65" t="str">
        <f t="shared" si="21"/>
        <v/>
      </c>
      <c r="AD51" s="65"/>
      <c r="AE51" s="65"/>
      <c r="AF51" s="65"/>
      <c r="AG51" s="65"/>
      <c r="AH51" s="65">
        <f t="shared" si="28"/>
        <v>0</v>
      </c>
      <c r="AI51" s="65">
        <f t="shared" si="29"/>
        <v>0</v>
      </c>
      <c r="AJ51" s="65" t="str">
        <f t="shared" si="22"/>
        <v/>
      </c>
      <c r="AK51" s="65" t="str">
        <f t="shared" si="23"/>
        <v/>
      </c>
      <c r="AL51" s="65" t="e">
        <f t="shared" si="30"/>
        <v>#VALUE!</v>
      </c>
      <c r="AM51" s="65" t="e">
        <f t="shared" si="24"/>
        <v>#VALUE!</v>
      </c>
      <c r="AN51" s="161">
        <f t="shared" si="13"/>
        <v>45479</v>
      </c>
      <c r="AT51" s="79"/>
      <c r="AU51" s="79"/>
      <c r="AV51" s="79"/>
      <c r="AW51" s="79"/>
      <c r="AX51" s="79"/>
      <c r="AY51" s="79"/>
      <c r="AZ51" s="75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U51" s="58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  <c r="DR51" s="59"/>
      <c r="DS51" s="59"/>
      <c r="DT51" s="59"/>
      <c r="DU51" s="59"/>
      <c r="DV51" s="59"/>
      <c r="DW51" s="59"/>
      <c r="DX51" s="59"/>
      <c r="DY51" s="59"/>
      <c r="DZ51" s="59"/>
      <c r="EA51" s="59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R51" s="75"/>
      <c r="GS51" s="157"/>
      <c r="GT51" s="157"/>
      <c r="GU51" s="75"/>
      <c r="GV51" s="75"/>
      <c r="GW51" s="75"/>
      <c r="GX51" s="75"/>
      <c r="GY51" s="75"/>
      <c r="GZ51" s="75"/>
    </row>
    <row r="52" spans="1:208" s="11" customFormat="1" ht="30" customHeight="1" x14ac:dyDescent="0.25">
      <c r="A52" s="20"/>
      <c r="B52" s="113">
        <v>49</v>
      </c>
      <c r="C52" s="113" t="s">
        <v>75</v>
      </c>
      <c r="D52" s="114">
        <v>45482</v>
      </c>
      <c r="E52" s="113" t="s">
        <v>78</v>
      </c>
      <c r="F52" s="115">
        <v>0.875</v>
      </c>
      <c r="G52" s="116">
        <f>D52+TIME(HOUR(F52)+$A$7,0,0)</f>
        <v>45482.625</v>
      </c>
      <c r="H52" s="113" t="str">
        <f>IF(I51="","Semifinal 1",Z48&amp;" - "&amp;Z49)</f>
        <v>Semifinal 1</v>
      </c>
      <c r="I52" s="50"/>
      <c r="J52" s="62"/>
      <c r="K52" s="66"/>
      <c r="L52" s="175">
        <f>IF(I52="",0,IFERROR(IF(SCORING.RULES!$C$8="No",1,((VLOOKUP($B52,ACTUALS!$B$4:$L$100,7,FALSE)=$H52)+(VLOOKUP($B52,ACTUALS!$B$4:$L$100,7,FALSE)=S52)))*(M52+N52+O52+P52+Q52),0))+$R52</f>
        <v>0</v>
      </c>
      <c r="M52" s="168">
        <f>IFERROR(IF($B52="","",IF(U52=INDEX(ACTUALS!$AA$4:$AA$100,MATCH($B52,ACTUALS!$B$4:$B$100,0),1),CorrectScore,0)),0)</f>
        <v>0</v>
      </c>
      <c r="N52" s="168" t="str">
        <f>IFERROR(IF(I52="","",IF(INDEX(ACTUALS!$AB$4:$AB$100,MATCH($B52,ACTUALS!$B$4:$B$100,0),1)=(AB52+AC52+AH52+AI52),CorrectNumberofGoals,0)),0)</f>
        <v/>
      </c>
      <c r="O52" s="168">
        <f>IFERROR(IF(V52="",0,IF($V52=INDEX(ACTUALS!$K$3:$K$100,MATCH($B52,ACTUALS!$B$3:$B$100,0),1),penaltiesscored,0)),0)</f>
        <v>0</v>
      </c>
      <c r="P52" s="168">
        <f>IFERROR(IF(B52="","",IF(INDEX(ACTUALS!$L$4:$L$100,MATCH($B52,ACTUALS!$B$4:$B$100,0),1)=W52,CorrectResult,0)),0)</f>
        <v>3</v>
      </c>
      <c r="Q52" s="168">
        <f>IFERROR(IF(ISNUMBER(AI52),IF(ISNUMBER(INDEX(ACTUALS!$Y$3:$Y$100,MATCH($B52,ACTUALS!$B$3:$B$100,0),1)),shootoutswon,0),0),0)</f>
        <v>0</v>
      </c>
      <c r="R52" s="168">
        <f t="shared" si="14"/>
        <v>0</v>
      </c>
      <c r="S52" s="168" t="e">
        <f t="shared" si="25"/>
        <v>#VALUE!</v>
      </c>
      <c r="T52" s="168" t="str">
        <f>IF($W52="","",IF(NOT(ISERROR(MATCH($S52,ACTUALS!$H$52:$H$53,0))),"Y","N"))</f>
        <v/>
      </c>
      <c r="U52" s="168" t="str">
        <f t="shared" si="26"/>
        <v/>
      </c>
      <c r="V52" s="168" t="str">
        <f t="shared" si="27"/>
        <v/>
      </c>
      <c r="W52" s="63" t="str">
        <f t="shared" si="15"/>
        <v/>
      </c>
      <c r="X52" s="65" t="e">
        <f t="shared" si="16"/>
        <v>#VALUE!</v>
      </c>
      <c r="Y52" s="65" t="e">
        <f t="shared" si="17"/>
        <v>#VALUE!</v>
      </c>
      <c r="Z52" s="65" t="str">
        <f>IF(W52="","",IF(W52=X52,X52,Y52))</f>
        <v/>
      </c>
      <c r="AA52" s="65" t="str">
        <f>IF(W52="","",IF(Z52=X52,Y52,X52))</f>
        <v/>
      </c>
      <c r="AB52" s="65" t="str">
        <f t="shared" si="20"/>
        <v/>
      </c>
      <c r="AC52" s="65" t="str">
        <f t="shared" si="21"/>
        <v/>
      </c>
      <c r="AD52" s="65"/>
      <c r="AE52" s="65"/>
      <c r="AF52" s="65"/>
      <c r="AG52" s="65"/>
      <c r="AH52" s="65">
        <f t="shared" si="28"/>
        <v>0</v>
      </c>
      <c r="AI52" s="65">
        <f t="shared" si="29"/>
        <v>0</v>
      </c>
      <c r="AJ52" s="65" t="str">
        <f t="shared" si="22"/>
        <v/>
      </c>
      <c r="AK52" s="65" t="str">
        <f t="shared" si="23"/>
        <v/>
      </c>
      <c r="AL52" s="65" t="e">
        <f t="shared" si="30"/>
        <v>#VALUE!</v>
      </c>
      <c r="AM52" s="65" t="e">
        <f t="shared" si="24"/>
        <v>#VALUE!</v>
      </c>
      <c r="AN52" s="161">
        <f t="shared" si="13"/>
        <v>45482</v>
      </c>
      <c r="AT52" s="75"/>
      <c r="AU52" s="79"/>
      <c r="AV52" s="79"/>
      <c r="AW52" s="79"/>
      <c r="AX52" s="79"/>
      <c r="AY52" s="79"/>
      <c r="AZ52" s="75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U52" s="58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R52" s="75"/>
      <c r="GS52" s="157"/>
      <c r="GT52" s="157"/>
      <c r="GU52" s="75"/>
      <c r="GV52" s="75"/>
      <c r="GW52" s="75"/>
      <c r="GX52" s="75"/>
      <c r="GY52" s="75"/>
      <c r="GZ52" s="75"/>
    </row>
    <row r="53" spans="1:208" s="11" customFormat="1" ht="30" customHeight="1" thickBot="1" x14ac:dyDescent="0.3">
      <c r="A53" s="20"/>
      <c r="B53" s="127">
        <v>50</v>
      </c>
      <c r="C53" s="127" t="s">
        <v>75</v>
      </c>
      <c r="D53" s="128">
        <v>45483</v>
      </c>
      <c r="E53" s="127" t="s">
        <v>81</v>
      </c>
      <c r="F53" s="129">
        <v>0.875</v>
      </c>
      <c r="G53" s="130">
        <f>D53+TIME(HOUR(F53)+$A$7,0,0)</f>
        <v>45483.625</v>
      </c>
      <c r="H53" s="127" t="str">
        <f>IF(I51="","Semifinal 2",Z50&amp;" - "&amp;Z51)</f>
        <v>Semifinal 2</v>
      </c>
      <c r="I53" s="51"/>
      <c r="J53" s="62"/>
      <c r="K53" s="66"/>
      <c r="L53" s="175">
        <f>IF(I53="",0,IFERROR(IF(SCORING.RULES!$C$8="No",1,((VLOOKUP($B53,ACTUALS!$B$4:$L$100,7,FALSE)=$H53)+(VLOOKUP($B53,ACTUALS!$B$4:$L$100,7,FALSE)=S53)))*(M53+N53+O53+P53+Q53),0))+$R53</f>
        <v>0</v>
      </c>
      <c r="M53" s="168">
        <f>IFERROR(IF($B53="","",IF(U53=INDEX(ACTUALS!$AA$4:$AA$100,MATCH($B53,ACTUALS!$B$4:$B$100,0),1),CorrectScore,0)),0)</f>
        <v>0</v>
      </c>
      <c r="N53" s="168" t="str">
        <f>IFERROR(IF(I53="","",IF(INDEX(ACTUALS!$AB$4:$AB$100,MATCH($B53,ACTUALS!$B$4:$B$100,0),1)=(AB53+AC53+AH53+AI53),CorrectNumberofGoals,0)),0)</f>
        <v/>
      </c>
      <c r="O53" s="168">
        <f>IFERROR(IF(V53="",0,IF($V53=INDEX(ACTUALS!$K$3:$K$100,MATCH($B53,ACTUALS!$B$3:$B$100,0),1),penaltiesscored,0)),0)</f>
        <v>0</v>
      </c>
      <c r="P53" s="168">
        <f>IFERROR(IF(B53="","",IF(INDEX(ACTUALS!$L$4:$L$100,MATCH($B53,ACTUALS!$B$4:$B$100,0),1)=W53,CorrectResult,0)),0)</f>
        <v>3</v>
      </c>
      <c r="Q53" s="168">
        <f>IFERROR(IF(ISNUMBER(AI53),IF(ISNUMBER(INDEX(ACTUALS!$Y$3:$Y$100,MATCH($B53,ACTUALS!$B$3:$B$100,0),1)),shootoutswon,0),0),0)</f>
        <v>0</v>
      </c>
      <c r="R53" s="168">
        <f t="shared" si="14"/>
        <v>0</v>
      </c>
      <c r="S53" s="168" t="e">
        <f t="shared" si="25"/>
        <v>#VALUE!</v>
      </c>
      <c r="T53" s="168" t="str">
        <f>IF($W53="","",IF(NOT(ISERROR(MATCH($S53,ACTUALS!$H$52:$H$53,0))),"Y","N"))</f>
        <v/>
      </c>
      <c r="U53" s="168" t="str">
        <f t="shared" si="26"/>
        <v/>
      </c>
      <c r="V53" s="168" t="str">
        <f t="shared" si="27"/>
        <v/>
      </c>
      <c r="W53" s="63" t="str">
        <f t="shared" si="15"/>
        <v/>
      </c>
      <c r="X53" s="65" t="e">
        <f t="shared" si="16"/>
        <v>#VALUE!</v>
      </c>
      <c r="Y53" s="65" t="e">
        <f t="shared" si="17"/>
        <v>#VALUE!</v>
      </c>
      <c r="Z53" s="65" t="str">
        <f>IF(W53="","",IF(W53=X53,X53,Y53))</f>
        <v/>
      </c>
      <c r="AA53" s="65" t="str">
        <f>IF(W53="","",IF(Z53=X53,Y53,X53))</f>
        <v/>
      </c>
      <c r="AB53" s="65" t="str">
        <f t="shared" si="20"/>
        <v/>
      </c>
      <c r="AC53" s="65" t="str">
        <f t="shared" si="21"/>
        <v/>
      </c>
      <c r="AD53" s="65"/>
      <c r="AE53" s="65"/>
      <c r="AF53" s="65"/>
      <c r="AG53" s="65"/>
      <c r="AH53" s="65">
        <f t="shared" si="28"/>
        <v>0</v>
      </c>
      <c r="AI53" s="65">
        <f t="shared" si="29"/>
        <v>0</v>
      </c>
      <c r="AJ53" s="65" t="str">
        <f t="shared" si="22"/>
        <v/>
      </c>
      <c r="AK53" s="65" t="str">
        <f t="shared" si="23"/>
        <v/>
      </c>
      <c r="AL53" s="65" t="e">
        <f t="shared" si="30"/>
        <v>#VALUE!</v>
      </c>
      <c r="AM53" s="65" t="e">
        <f t="shared" si="24"/>
        <v>#VALUE!</v>
      </c>
      <c r="AN53" s="161">
        <f t="shared" si="13"/>
        <v>45483</v>
      </c>
      <c r="AT53" s="75"/>
      <c r="AU53" s="79"/>
      <c r="AV53" s="79"/>
      <c r="AW53" s="79"/>
      <c r="AX53" s="79"/>
      <c r="AY53" s="79"/>
      <c r="AZ53" s="75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U53" s="58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R53" s="75"/>
      <c r="GS53" s="157"/>
      <c r="GT53" s="157"/>
      <c r="GU53" s="75"/>
      <c r="GV53" s="75"/>
      <c r="GW53" s="75"/>
      <c r="GX53" s="75"/>
      <c r="GY53" s="75"/>
      <c r="GZ53" s="75"/>
    </row>
    <row r="54" spans="1:208" s="11" customFormat="1" ht="30" customHeight="1" x14ac:dyDescent="0.25">
      <c r="A54" s="20"/>
      <c r="B54" s="113">
        <v>51</v>
      </c>
      <c r="C54" s="113" t="s">
        <v>45</v>
      </c>
      <c r="D54" s="114">
        <v>45487</v>
      </c>
      <c r="E54" s="113" t="s">
        <v>80</v>
      </c>
      <c r="F54" s="115">
        <v>0.875</v>
      </c>
      <c r="G54" s="116">
        <f>D54+TIME(HOUR(F54)+$A$7,0,0)</f>
        <v>45487.625</v>
      </c>
      <c r="H54" s="113" t="str">
        <f>IF(I53="","Final",Z52&amp;" - "&amp;Z53)</f>
        <v>Final</v>
      </c>
      <c r="I54" s="50"/>
      <c r="J54" s="62"/>
      <c r="K54" s="66"/>
      <c r="L54" s="175">
        <f>IF(I54="",0,IFERROR(IF(SCORING.RULES!$C$8="No",1,((VLOOKUP($B54,ACTUALS!$B$4:$L$100,7,FALSE)=$H54)+(VLOOKUP($B54,ACTUALS!$B$4:$L$100,7,FALSE)=S54)))*(M54+N54+O54+P54+Q54),0))+$R54</f>
        <v>0</v>
      </c>
      <c r="M54" s="168">
        <f>IFERROR(IF($B54="","",IF(U54=INDEX(ACTUALS!$AA$4:$AA$100,MATCH($B54,ACTUALS!$B$4:$B$100,0),1),CorrectScore,0)),0)</f>
        <v>0</v>
      </c>
      <c r="N54" s="168" t="str">
        <f>IFERROR(IF(I54="","",IF(INDEX(ACTUALS!$AB$4:$AB$100,MATCH($B54,ACTUALS!$B$4:$B$100,0),1)=(AB54+AC54+AH54+AI54),CorrectNumberofGoals,0)),0)</f>
        <v/>
      </c>
      <c r="O54" s="168">
        <f>IFERROR(IF(V54="",0,IF($V54=INDEX(ACTUALS!$K$3:$K$100,MATCH($B54,ACTUALS!$B$3:$B$100,0),1),penaltiesscored,0)),0)</f>
        <v>0</v>
      </c>
      <c r="P54" s="168">
        <f>IFERROR(IF(B54="","",IF(INDEX(ACTUALS!$L$4:$L$100,MATCH($B54,ACTUALS!$B$4:$B$100,0),1)=W54,CorrectResult,0)),0)</f>
        <v>3</v>
      </c>
      <c r="Q54" s="168">
        <f>IFERROR(IF(ISNUMBER(AI54),IF(ISNUMBER(INDEX(ACTUALS!$Y$3:$Y$100,MATCH($B54,ACTUALS!$B$3:$B$100,0),1)),shootoutswon,0),0),0)</f>
        <v>0</v>
      </c>
      <c r="R54" s="168">
        <f t="shared" si="14"/>
        <v>0</v>
      </c>
      <c r="S54" s="168" t="e">
        <f t="shared" si="25"/>
        <v>#VALUE!</v>
      </c>
      <c r="T54" s="168" t="e">
        <f>IF($X54="","",IF($S54=ACTUALS!H54,"Y","N"))</f>
        <v>#VALUE!</v>
      </c>
      <c r="U54" s="168" t="str">
        <f t="shared" si="26"/>
        <v/>
      </c>
      <c r="V54" s="168" t="str">
        <f t="shared" si="27"/>
        <v/>
      </c>
      <c r="W54" s="63" t="str">
        <f t="shared" si="15"/>
        <v/>
      </c>
      <c r="X54" s="65" t="e">
        <f t="shared" si="16"/>
        <v>#VALUE!</v>
      </c>
      <c r="Y54" s="65" t="e">
        <f t="shared" si="17"/>
        <v>#VALUE!</v>
      </c>
      <c r="Z54" s="65" t="str">
        <f>IF(W54="","",IF(W54=X54,X54,Y54))</f>
        <v/>
      </c>
      <c r="AA54" s="65" t="str">
        <f>IF(W54="","",IF(Z54=X54,Y54,X54))</f>
        <v/>
      </c>
      <c r="AB54" s="65" t="str">
        <f t="shared" si="20"/>
        <v/>
      </c>
      <c r="AC54" s="65" t="str">
        <f t="shared" si="21"/>
        <v/>
      </c>
      <c r="AD54" s="65"/>
      <c r="AE54" s="65"/>
      <c r="AF54" s="65"/>
      <c r="AG54" s="65"/>
      <c r="AH54" s="65">
        <f t="shared" si="28"/>
        <v>0</v>
      </c>
      <c r="AI54" s="65">
        <f t="shared" si="29"/>
        <v>0</v>
      </c>
      <c r="AJ54" s="65" t="str">
        <f t="shared" si="22"/>
        <v/>
      </c>
      <c r="AK54" s="65" t="str">
        <f t="shared" si="23"/>
        <v/>
      </c>
      <c r="AL54" s="65" t="e">
        <f t="shared" si="30"/>
        <v>#VALUE!</v>
      </c>
      <c r="AM54" s="65" t="e">
        <f t="shared" si="24"/>
        <v>#VALUE!</v>
      </c>
      <c r="AN54" s="161">
        <f t="shared" si="13"/>
        <v>45487</v>
      </c>
      <c r="AT54" s="75"/>
      <c r="AU54" s="79"/>
      <c r="AV54" s="79"/>
      <c r="AW54" s="79"/>
      <c r="AX54" s="79"/>
      <c r="AY54" s="79"/>
      <c r="AZ54" s="75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U54" s="58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R54" s="75"/>
      <c r="GS54" s="157"/>
      <c r="GT54" s="157"/>
      <c r="GU54" s="75"/>
      <c r="GV54" s="75"/>
      <c r="GW54" s="75"/>
      <c r="GX54" s="75"/>
      <c r="GY54" s="75"/>
      <c r="GZ54" s="75"/>
    </row>
    <row r="55" spans="1:208" x14ac:dyDescent="0.3">
      <c r="A55" s="21"/>
      <c r="D55" s="14"/>
      <c r="F55" s="15"/>
      <c r="G55" s="16"/>
      <c r="W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U55" s="11"/>
      <c r="AV55" s="11"/>
      <c r="AW55" s="11"/>
      <c r="AX55" s="11"/>
      <c r="AY55" s="11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CU55" s="60"/>
      <c r="GS55" s="156"/>
      <c r="GT55" s="159"/>
    </row>
    <row r="56" spans="1:208" x14ac:dyDescent="0.3">
      <c r="A56" s="21"/>
      <c r="B56" s="76"/>
      <c r="C56" s="76"/>
      <c r="D56" s="14"/>
      <c r="E56" s="89"/>
      <c r="F56" s="89"/>
      <c r="G56" s="90"/>
      <c r="H56" s="89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89"/>
      <c r="X56" s="89"/>
      <c r="Y56" s="92"/>
      <c r="Z56" s="92"/>
      <c r="AA56" s="92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92"/>
      <c r="AP56" s="92"/>
      <c r="AQ56" s="92"/>
      <c r="AR56" s="92"/>
      <c r="AS56" s="92"/>
      <c r="AT56" s="92"/>
      <c r="AU56" s="11"/>
      <c r="AV56" s="11"/>
      <c r="AW56" s="11"/>
      <c r="AX56" s="11"/>
      <c r="AY56" s="11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CU56" s="60"/>
      <c r="GS56" s="156"/>
      <c r="GT56" s="159"/>
    </row>
    <row r="57" spans="1:208" x14ac:dyDescent="0.3">
      <c r="A57" s="21"/>
      <c r="B57" s="170" t="s">
        <v>201</v>
      </c>
      <c r="C57" s="169"/>
      <c r="D57" s="172">
        <f>COUNTA(K4:K54)</f>
        <v>0</v>
      </c>
      <c r="E57" s="2"/>
      <c r="F57" s="47"/>
      <c r="W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U57" s="11"/>
      <c r="AV57" s="11"/>
      <c r="AW57" s="11"/>
      <c r="AX57" s="11"/>
      <c r="AY57" s="11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CU57" s="60"/>
      <c r="GS57" s="159"/>
      <c r="GT57" s="159"/>
    </row>
    <row r="58" spans="1:208" x14ac:dyDescent="0.3">
      <c r="A58" s="21"/>
      <c r="B58" s="171" t="s">
        <v>202</v>
      </c>
      <c r="C58" s="169"/>
      <c r="D58" s="172">
        <f>SUM(L4:L54)+(IF(D57=ACTUALS!F62,SCORING.RULES!C10,0))</f>
        <v>10</v>
      </c>
      <c r="E58" s="2"/>
      <c r="F58" s="47"/>
      <c r="W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CU58" s="60"/>
      <c r="GS58" s="159"/>
      <c r="GT58" s="159"/>
    </row>
    <row r="59" spans="1:208" x14ac:dyDescent="0.3">
      <c r="A59" s="21"/>
      <c r="B59" s="169"/>
      <c r="C59" s="169"/>
      <c r="D59" s="14"/>
      <c r="E59" s="2"/>
      <c r="F59" s="47"/>
      <c r="W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CU59" s="60"/>
      <c r="GS59" s="159"/>
      <c r="GT59" s="159"/>
    </row>
    <row r="60" spans="1:208" x14ac:dyDescent="0.3">
      <c r="A60" s="21"/>
      <c r="B60" s="169"/>
      <c r="C60" s="169"/>
      <c r="D60" s="14"/>
      <c r="E60" s="2"/>
      <c r="F60" s="47"/>
      <c r="W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CU60" s="60"/>
      <c r="GS60" s="159"/>
      <c r="GT60" s="159"/>
    </row>
    <row r="61" spans="1:208" x14ac:dyDescent="0.3">
      <c r="A61" s="21"/>
      <c r="B61" s="169"/>
      <c r="C61" s="169"/>
      <c r="D61" s="14"/>
      <c r="E61" s="89"/>
      <c r="F61" s="89"/>
      <c r="G61" s="90"/>
      <c r="H61" s="89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89"/>
      <c r="X61" s="89"/>
      <c r="Y61" s="92"/>
      <c r="Z61" s="92"/>
      <c r="AA61" s="92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92"/>
      <c r="AP61" s="92"/>
      <c r="AQ61" s="92"/>
      <c r="AR61" s="92"/>
      <c r="AS61" s="92"/>
      <c r="AT61" s="92"/>
      <c r="CU61" s="60"/>
      <c r="GS61" s="159"/>
      <c r="GT61" s="159"/>
    </row>
    <row r="62" spans="1:208" x14ac:dyDescent="0.3">
      <c r="B62" s="169"/>
      <c r="C62" s="169"/>
      <c r="D62" s="14"/>
      <c r="E62" s="89"/>
      <c r="F62" s="89"/>
      <c r="G62" s="90"/>
      <c r="H62" s="89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89"/>
      <c r="X62" s="89"/>
      <c r="Y62" s="92"/>
      <c r="Z62" s="92"/>
      <c r="AA62" s="92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92"/>
      <c r="AP62" s="92"/>
      <c r="AQ62" s="92"/>
      <c r="AR62" s="92"/>
      <c r="AS62" s="92"/>
      <c r="AT62" s="92"/>
      <c r="GS62" s="159"/>
      <c r="GT62" s="159"/>
    </row>
    <row r="63" spans="1:208" x14ac:dyDescent="0.3">
      <c r="B63" s="169"/>
      <c r="C63" s="169"/>
      <c r="E63" s="89"/>
      <c r="F63" s="89"/>
      <c r="G63" s="90"/>
      <c r="H63" s="89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89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GS63" s="159"/>
      <c r="GT63" s="159"/>
    </row>
    <row r="64" spans="1:208" x14ac:dyDescent="0.3">
      <c r="B64" s="169"/>
      <c r="C64" s="169"/>
      <c r="E64" s="89"/>
      <c r="F64" s="89"/>
      <c r="G64" s="90"/>
      <c r="H64" s="89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89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GS64" s="159"/>
      <c r="GT64" s="159"/>
    </row>
    <row r="65" spans="2:202" x14ac:dyDescent="0.3">
      <c r="B65" s="169"/>
      <c r="C65" s="169"/>
      <c r="E65" s="89"/>
      <c r="F65" s="89"/>
      <c r="G65" s="90"/>
      <c r="H65" s="89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89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GS65" s="159"/>
      <c r="GT65" s="159"/>
    </row>
    <row r="66" spans="2:202" x14ac:dyDescent="0.3">
      <c r="B66" s="169"/>
      <c r="C66" s="169"/>
      <c r="E66" s="89"/>
      <c r="F66" s="89"/>
      <c r="G66" s="90"/>
      <c r="H66" s="89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89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GS66" s="159"/>
      <c r="GT66" s="159"/>
    </row>
    <row r="67" spans="2:202" x14ac:dyDescent="0.3">
      <c r="B67" s="169"/>
      <c r="C67" s="169"/>
      <c r="E67" s="89"/>
      <c r="F67" s="89"/>
      <c r="G67" s="90"/>
      <c r="H67" s="89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89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GS67" s="159"/>
      <c r="GT67" s="159"/>
    </row>
    <row r="68" spans="2:202" x14ac:dyDescent="0.3">
      <c r="B68" s="169"/>
      <c r="C68" s="169"/>
      <c r="E68" s="2"/>
      <c r="F68" s="2"/>
      <c r="G68" s="47"/>
      <c r="H68" s="2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2"/>
      <c r="Y68" s="1"/>
      <c r="GS68" s="159"/>
      <c r="GT68" s="159"/>
    </row>
    <row r="69" spans="2:202" x14ac:dyDescent="0.3">
      <c r="B69" s="169"/>
      <c r="C69" s="169"/>
      <c r="E69" s="2"/>
      <c r="F69" s="2"/>
      <c r="G69" s="47"/>
      <c r="H69" s="2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2"/>
      <c r="Y69" s="1"/>
      <c r="GS69" s="159"/>
      <c r="GT69" s="159"/>
    </row>
    <row r="70" spans="2:202" x14ac:dyDescent="0.3">
      <c r="B70" s="169"/>
      <c r="C70" s="169"/>
      <c r="G70" s="47"/>
      <c r="H70" s="2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2"/>
      <c r="Y70" s="1"/>
      <c r="GS70" s="159"/>
      <c r="GT70" s="159"/>
    </row>
    <row r="71" spans="2:202" x14ac:dyDescent="0.3">
      <c r="B71" s="169"/>
      <c r="C71" s="169"/>
      <c r="GS71" s="159"/>
      <c r="GT71" s="159"/>
    </row>
    <row r="72" spans="2:202" x14ac:dyDescent="0.3">
      <c r="B72" s="169"/>
      <c r="C72" s="169"/>
      <c r="GS72" s="159"/>
    </row>
    <row r="73" spans="2:202" x14ac:dyDescent="0.3">
      <c r="B73" s="169"/>
      <c r="C73" s="169"/>
      <c r="GS73" s="159"/>
    </row>
    <row r="74" spans="2:202" x14ac:dyDescent="0.3">
      <c r="B74" s="169"/>
      <c r="C74" s="169"/>
    </row>
    <row r="75" spans="2:202" x14ac:dyDescent="0.3">
      <c r="B75" s="169"/>
      <c r="C75" s="169"/>
    </row>
    <row r="76" spans="2:202" x14ac:dyDescent="0.3">
      <c r="B76" s="169"/>
      <c r="C76" s="169"/>
    </row>
    <row r="77" spans="2:202" x14ac:dyDescent="0.3">
      <c r="B77" s="169"/>
      <c r="C77" s="169"/>
    </row>
    <row r="78" spans="2:202" x14ac:dyDescent="0.3">
      <c r="B78" s="169"/>
      <c r="C78" s="169"/>
    </row>
    <row r="79" spans="2:202" x14ac:dyDescent="0.3">
      <c r="B79" s="169"/>
      <c r="C79" s="169"/>
    </row>
    <row r="80" spans="2:202" x14ac:dyDescent="0.3">
      <c r="B80" s="169"/>
      <c r="C80" s="169"/>
    </row>
    <row r="81" spans="2:3" x14ac:dyDescent="0.3">
      <c r="B81" s="169"/>
      <c r="C81" s="169"/>
    </row>
    <row r="82" spans="2:3" x14ac:dyDescent="0.3">
      <c r="B82" s="169"/>
      <c r="C82" s="169"/>
    </row>
    <row r="83" spans="2:3" x14ac:dyDescent="0.3">
      <c r="B83" s="169"/>
      <c r="C83" s="169"/>
    </row>
    <row r="84" spans="2:3" x14ac:dyDescent="0.3">
      <c r="B84" s="169"/>
      <c r="C84" s="169"/>
    </row>
    <row r="85" spans="2:3" x14ac:dyDescent="0.3">
      <c r="B85" s="169"/>
      <c r="C85" s="169"/>
    </row>
    <row r="86" spans="2:3" x14ac:dyDescent="0.3">
      <c r="B86" s="169"/>
      <c r="C86" s="169"/>
    </row>
    <row r="87" spans="2:3" x14ac:dyDescent="0.3">
      <c r="B87" s="169"/>
      <c r="C87" s="169"/>
    </row>
  </sheetData>
  <sheetProtection algorithmName="SHA-512" hashValue="ictnF0aHka91md3HzBJjiR4R8A1kF7mP42wEejB2IpjHY7btUFB+tPJgt1wRv0jAG/KMN06OGXETGehCFG9yZA==" saltValue="RtwQYGy5+yDQ/WyANl4Zjg==" spinCount="100000" sheet="1" objects="1" scenarios="1"/>
  <mergeCells count="15">
    <mergeCell ref="HI3:HI19"/>
    <mergeCell ref="HC4:HH4"/>
    <mergeCell ref="AU5:AV5"/>
    <mergeCell ref="AU11:AV11"/>
    <mergeCell ref="AU17:AV17"/>
    <mergeCell ref="B1:W1"/>
    <mergeCell ref="AT1:AY1"/>
    <mergeCell ref="AT2:AY2"/>
    <mergeCell ref="AU3:AY3"/>
    <mergeCell ref="HC3:HH3"/>
    <mergeCell ref="AU23:AV23"/>
    <mergeCell ref="AU29:AV29"/>
    <mergeCell ref="AU35:AV35"/>
    <mergeCell ref="AU41:AY41"/>
    <mergeCell ref="AU50:AV50"/>
  </mergeCells>
  <conditionalFormatting sqref="A5 A8">
    <cfRule type="expression" dxfId="65" priority="13">
      <formula>AND(LEN($X2)&gt;0,(OR(IFERROR(FIND($X2,$HA$30,1)&gt;0,0),IFERROR(FIND($Y2,$HA$30,1)&gt;0,0))))</formula>
    </cfRule>
  </conditionalFormatting>
  <conditionalFormatting sqref="A6">
    <cfRule type="expression" dxfId="64" priority="14">
      <formula>AND(LEN($X2)&gt;0,(OR(IFERROR(FIND($X2,$HA$30,1)&gt;0,0),IFERROR(FIND($Y2,$HA$30,1)&gt;0,0))))</formula>
    </cfRule>
  </conditionalFormatting>
  <conditionalFormatting sqref="A7">
    <cfRule type="expression" dxfId="63" priority="15">
      <formula>AND(LEN($X2)&gt;0,(OR(IFERROR(FIND($X2,$HA$30,1)&gt;0,0),IFERROR(FIND($Y2,$HA$30,1)&gt;0,0))))</formula>
    </cfRule>
  </conditionalFormatting>
  <conditionalFormatting sqref="B4:I54">
    <cfRule type="expression" dxfId="62" priority="11">
      <formula>AND(LEN($X4)&gt;0,(OR(IFERROR(FIND($X4,$HA$30,1)&gt;0,0),IFERROR(FIND($Y4,$HA$30,1)&gt;0,0))))</formula>
    </cfRule>
  </conditionalFormatting>
  <conditionalFormatting sqref="M4:M39 J40:V54">
    <cfRule type="expression" dxfId="61" priority="1">
      <formula>LEFT(I4,FIND(":",I4,1)-1)=RIGHT(I4,LEN(I4)-FIND(":",I4,1))</formula>
    </cfRule>
  </conditionalFormatting>
  <conditionalFormatting sqref="AU8:AY8">
    <cfRule type="expression" dxfId="60" priority="7">
      <formula>$AZ8="X"</formula>
    </cfRule>
  </conditionalFormatting>
  <conditionalFormatting sqref="AU14:AY14">
    <cfRule type="expression" dxfId="59" priority="6">
      <formula>$AZ14="X"</formula>
    </cfRule>
  </conditionalFormatting>
  <conditionalFormatting sqref="AU20:AY20">
    <cfRule type="expression" dxfId="58" priority="5">
      <formula>$AZ20="X"</formula>
    </cfRule>
  </conditionalFormatting>
  <conditionalFormatting sqref="AU26:AY26">
    <cfRule type="expression" dxfId="57" priority="4">
      <formula>$AZ26="X"</formula>
    </cfRule>
  </conditionalFormatting>
  <conditionalFormatting sqref="AU32:AY32">
    <cfRule type="expression" dxfId="56" priority="3">
      <formula>$AZ32="X"</formula>
    </cfRule>
  </conditionalFormatting>
  <conditionalFormatting sqref="AU38:AY38">
    <cfRule type="expression" dxfId="55" priority="2">
      <formula>$AZ38="X"</formula>
    </cfRule>
  </conditionalFormatting>
  <conditionalFormatting sqref="BM1:BM1048576">
    <cfRule type="expression" dxfId="54" priority="8">
      <formula>ISNUMBER(BM1)</formula>
    </cfRule>
  </conditionalFormatting>
  <conditionalFormatting sqref="CV4:EA35">
    <cfRule type="expression" dxfId="53" priority="12">
      <formula>CV4=0</formula>
    </cfRule>
  </conditionalFormatting>
  <conditionalFormatting sqref="ED4:FI35">
    <cfRule type="expression" dxfId="52" priority="10">
      <formula>ED4=0</formula>
    </cfRule>
  </conditionalFormatting>
  <conditionalFormatting sqref="FL4:GQ35">
    <cfRule type="expression" dxfId="51" priority="9">
      <formula>FL4=0</formula>
    </cfRule>
  </conditionalFormatting>
  <hyperlinks>
    <hyperlink ref="AT2" r:id="rId1" xr:uid="{8E6D3A4B-1A5D-4378-97EC-8C23EB0D6481}"/>
  </hyperlinks>
  <pageMargins left="0.7" right="0.7" top="0.75" bottom="0.75" header="0.3" footer="0.3"/>
  <pageSetup orientation="portrait" horizontalDpi="4294967293" verticalDpi="0" r:id="rId2"/>
  <drawing r:id="rId3"/>
  <tableParts count="4">
    <tablePart r:id="rId4"/>
    <tablePart r:id="rId5"/>
    <tablePart r:id="rId6"/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AF949-A9E0-431C-9835-844DB9190FEF}">
  <sheetPr>
    <tabColor theme="8" tint="0.39997558519241921"/>
  </sheetPr>
  <dimension ref="A1:HM87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3" sqref="K3"/>
    </sheetView>
  </sheetViews>
  <sheetFormatPr defaultRowHeight="16.5" x14ac:dyDescent="0.3"/>
  <cols>
    <col min="1" max="1" width="26.42578125" style="5" customWidth="1"/>
    <col min="2" max="2" width="13" style="6" customWidth="1"/>
    <col min="3" max="3" width="14.42578125" style="6" bestFit="1" customWidth="1"/>
    <col min="4" max="4" width="10.5703125" style="6" bestFit="1" customWidth="1"/>
    <col min="5" max="5" width="31.28515625" style="6" bestFit="1" customWidth="1"/>
    <col min="6" max="6" width="10.42578125" style="6" bestFit="1" customWidth="1"/>
    <col min="7" max="7" width="22.42578125" style="7" bestFit="1" customWidth="1"/>
    <col min="8" max="8" width="30.85546875" style="6" bestFit="1" customWidth="1"/>
    <col min="9" max="9" width="11.7109375" style="8" bestFit="1" customWidth="1"/>
    <col min="10" max="10" width="12.42578125" style="8" bestFit="1" customWidth="1"/>
    <col min="11" max="11" width="13" style="8" customWidth="1"/>
    <col min="12" max="12" width="17.28515625" style="8" bestFit="1" customWidth="1"/>
    <col min="13" max="13" width="18.85546875" style="8" hidden="1" customWidth="1"/>
    <col min="14" max="14" width="31.5703125" style="8" hidden="1" customWidth="1"/>
    <col min="15" max="15" width="31.7109375" style="8" hidden="1" customWidth="1"/>
    <col min="16" max="16" width="18.5703125" style="8" hidden="1" customWidth="1"/>
    <col min="17" max="17" width="26.85546875" style="8" hidden="1" customWidth="1"/>
    <col min="18" max="18" width="19.42578125" style="8" hidden="1" customWidth="1"/>
    <col min="19" max="19" width="19.140625" style="8" hidden="1" customWidth="1"/>
    <col min="20" max="20" width="18.7109375" style="8" hidden="1" customWidth="1"/>
    <col min="21" max="21" width="29.42578125" style="8" hidden="1" customWidth="1"/>
    <col min="22" max="22" width="27" style="8" hidden="1" customWidth="1"/>
    <col min="23" max="23" width="20.7109375" style="8" hidden="1" customWidth="1"/>
    <col min="24" max="24" width="14.28515625" style="6" hidden="1" customWidth="1"/>
    <col min="25" max="27" width="14.28515625" style="5" hidden="1" customWidth="1"/>
    <col min="28" max="37" width="17.28515625" style="5" hidden="1" customWidth="1"/>
    <col min="38" max="38" width="26.7109375" style="5" hidden="1" customWidth="1"/>
    <col min="39" max="40" width="17.28515625" style="5" hidden="1" customWidth="1"/>
    <col min="41" max="41" width="9.140625" style="5" hidden="1" customWidth="1"/>
    <col min="42" max="42" width="31.28515625" style="5" hidden="1" customWidth="1"/>
    <col min="43" max="44" width="9.140625" style="5" hidden="1" customWidth="1"/>
    <col min="45" max="45" width="1.42578125" style="5" hidden="1" customWidth="1"/>
    <col min="46" max="46" width="9.140625" style="5" customWidth="1"/>
    <col min="47" max="47" width="2.140625" style="6" bestFit="1" customWidth="1"/>
    <col min="48" max="48" width="17.28515625" style="5" bestFit="1" customWidth="1"/>
    <col min="49" max="49" width="9.140625" style="5" customWidth="1"/>
    <col min="50" max="50" width="4.42578125" style="6" bestFit="1" customWidth="1"/>
    <col min="51" max="51" width="9.140625" style="6" customWidth="1"/>
    <col min="52" max="52" width="10" style="67" customWidth="1"/>
    <col min="53" max="53" width="10" style="1" hidden="1" customWidth="1"/>
    <col min="54" max="54" width="9.140625" style="1" hidden="1" customWidth="1"/>
    <col min="55" max="55" width="9.140625" style="2" hidden="1" customWidth="1"/>
    <col min="56" max="56" width="17.28515625" style="2" hidden="1" customWidth="1"/>
    <col min="57" max="57" width="3" style="2" hidden="1" customWidth="1"/>
    <col min="58" max="58" width="2.5703125" style="2" hidden="1" customWidth="1"/>
    <col min="59" max="59" width="2.140625" style="2" hidden="1" customWidth="1"/>
    <col min="60" max="60" width="13.7109375" style="2" hidden="1" customWidth="1"/>
    <col min="61" max="61" width="15.42578125" style="1" hidden="1" customWidth="1"/>
    <col min="62" max="62" width="16.5703125" style="1" hidden="1" customWidth="1"/>
    <col min="63" max="63" width="18.140625" style="1" hidden="1" customWidth="1"/>
    <col min="64" max="64" width="9.140625" style="2" hidden="1" customWidth="1"/>
    <col min="65" max="65" width="11" style="2" hidden="1" customWidth="1"/>
    <col min="66" max="66" width="9.140625" style="2" hidden="1" customWidth="1"/>
    <col min="67" max="67" width="18.7109375" style="1" hidden="1" customWidth="1"/>
    <col min="68" max="68" width="18.7109375" style="2" hidden="1" customWidth="1"/>
    <col min="69" max="73" width="18.7109375" style="1" hidden="1" customWidth="1"/>
    <col min="74" max="75" width="22.7109375" style="1" hidden="1" customWidth="1"/>
    <col min="76" max="76" width="13.42578125" style="1" hidden="1" customWidth="1"/>
    <col min="77" max="79" width="9.140625" style="1" hidden="1" customWidth="1"/>
    <col min="80" max="80" width="18.5703125" style="1" hidden="1" customWidth="1"/>
    <col min="81" max="81" width="9.140625" style="1" hidden="1" customWidth="1"/>
    <col min="82" max="82" width="18.140625" style="1" hidden="1" customWidth="1"/>
    <col min="83" max="83" width="15.140625" style="1" hidden="1" customWidth="1"/>
    <col min="84" max="84" width="5.7109375" style="1" hidden="1" customWidth="1"/>
    <col min="85" max="85" width="13.7109375" style="1" hidden="1" customWidth="1"/>
    <col min="86" max="96" width="9.140625" style="1" hidden="1" customWidth="1"/>
    <col min="97" max="98" width="9.140625" style="5" hidden="1" customWidth="1"/>
    <col min="99" max="99" width="14.28515625" style="1" hidden="1" customWidth="1"/>
    <col min="100" max="131" width="4" style="54" hidden="1" customWidth="1"/>
    <col min="132" max="132" width="9.140625" style="1" hidden="1" customWidth="1"/>
    <col min="133" max="133" width="14.28515625" style="1" hidden="1" customWidth="1"/>
    <col min="134" max="165" width="4" style="1" hidden="1" customWidth="1"/>
    <col min="166" max="166" width="9.140625" style="1" hidden="1" customWidth="1"/>
    <col min="167" max="167" width="14.28515625" style="1" hidden="1" customWidth="1"/>
    <col min="168" max="193" width="4" style="1" hidden="1" customWidth="1"/>
    <col min="194" max="199" width="4" style="5" hidden="1" customWidth="1"/>
    <col min="200" max="200" width="9.140625" style="67" hidden="1" customWidth="1"/>
    <col min="201" max="201" width="23.7109375" style="160" bestFit="1" customWidth="1"/>
    <col min="202" max="202" width="12.42578125" style="160" customWidth="1"/>
    <col min="203" max="203" width="12" style="67" bestFit="1" customWidth="1"/>
    <col min="204" max="204" width="19.5703125" style="5" customWidth="1"/>
    <col min="205" max="208" width="12" style="67" customWidth="1"/>
    <col min="209" max="209" width="9.140625" style="5"/>
    <col min="210" max="221" width="9.140625" style="5" hidden="1" customWidth="1"/>
    <col min="222" max="16384" width="9.140625" style="5"/>
  </cols>
  <sheetData>
    <row r="1" spans="1:221" ht="120" customHeight="1" thickBot="1" x14ac:dyDescent="1.1000000000000001">
      <c r="A1" s="23"/>
      <c r="B1" s="182" t="s">
        <v>66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190" t="e" vm="1">
        <v>#VALUE!</v>
      </c>
      <c r="AU1" s="190"/>
      <c r="AV1" s="190"/>
      <c r="AW1" s="190"/>
      <c r="AX1" s="190"/>
      <c r="AY1" s="191"/>
      <c r="BT1" s="61"/>
      <c r="GS1" s="152"/>
      <c r="GT1" s="152"/>
      <c r="GU1" s="83"/>
      <c r="GV1" s="83"/>
      <c r="GW1" s="83"/>
      <c r="GX1" s="83"/>
      <c r="GY1" s="83"/>
      <c r="GZ1" s="83"/>
      <c r="HA1" s="67"/>
      <c r="HB1" s="67"/>
    </row>
    <row r="2" spans="1:221" s="67" customFormat="1" ht="17.25" thickBot="1" x14ac:dyDescent="0.35">
      <c r="B2" s="68"/>
      <c r="C2" s="68"/>
      <c r="D2" s="68"/>
      <c r="E2" s="68"/>
      <c r="F2" s="68"/>
      <c r="G2" s="69"/>
      <c r="H2" s="68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68"/>
      <c r="AT2" s="192" t="s">
        <v>191</v>
      </c>
      <c r="AU2" s="193"/>
      <c r="AV2" s="193"/>
      <c r="AW2" s="193"/>
      <c r="AX2" s="193"/>
      <c r="AY2" s="193"/>
      <c r="BA2" s="71"/>
      <c r="BB2" s="71"/>
      <c r="BC2" s="72"/>
      <c r="BD2" s="72"/>
      <c r="BE2" s="72"/>
      <c r="BF2" s="72"/>
      <c r="BG2" s="72"/>
      <c r="BH2" s="72"/>
      <c r="BI2" s="71"/>
      <c r="BJ2" s="71"/>
      <c r="BK2" s="71"/>
      <c r="BL2" s="72"/>
      <c r="BM2" s="72"/>
      <c r="BN2" s="72"/>
      <c r="BO2" s="71"/>
      <c r="BP2" s="72" t="s">
        <v>157</v>
      </c>
      <c r="BQ2" s="72" t="s">
        <v>158</v>
      </c>
      <c r="BR2" s="72" t="s">
        <v>159</v>
      </c>
      <c r="BS2" s="72" t="s">
        <v>160</v>
      </c>
      <c r="BT2" s="72" t="s">
        <v>164</v>
      </c>
      <c r="BU2" s="72" t="s">
        <v>165</v>
      </c>
      <c r="BV2" s="72" t="s">
        <v>166</v>
      </c>
      <c r="BW2" s="72" t="s">
        <v>168</v>
      </c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U2" s="71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S2" s="153"/>
      <c r="GT2" s="153"/>
      <c r="GV2" s="53" t="s">
        <v>155</v>
      </c>
    </row>
    <row r="3" spans="1:221" s="9" customFormat="1" ht="40.5" customHeight="1" thickBot="1" x14ac:dyDescent="0.75">
      <c r="B3" s="64" t="s">
        <v>58</v>
      </c>
      <c r="C3" s="25" t="s">
        <v>59</v>
      </c>
      <c r="D3" s="25" t="s">
        <v>60</v>
      </c>
      <c r="E3" s="25" t="s">
        <v>88</v>
      </c>
      <c r="F3" s="25" t="s">
        <v>61</v>
      </c>
      <c r="G3" s="25" t="s">
        <v>62</v>
      </c>
      <c r="H3" s="25" t="s">
        <v>63</v>
      </c>
      <c r="I3" s="86" t="s">
        <v>64</v>
      </c>
      <c r="J3" s="84" t="s">
        <v>170</v>
      </c>
      <c r="K3" s="85" t="s">
        <v>171</v>
      </c>
      <c r="L3" s="48" t="s">
        <v>207</v>
      </c>
      <c r="M3" s="167" t="s">
        <v>195</v>
      </c>
      <c r="N3" s="167" t="s">
        <v>196</v>
      </c>
      <c r="O3" s="167" t="s">
        <v>197</v>
      </c>
      <c r="P3" s="167" t="s">
        <v>198</v>
      </c>
      <c r="Q3" s="167" t="s">
        <v>199</v>
      </c>
      <c r="R3" s="167" t="s">
        <v>182</v>
      </c>
      <c r="S3" s="167" t="s">
        <v>185</v>
      </c>
      <c r="T3" s="167" t="s">
        <v>186</v>
      </c>
      <c r="U3" s="167" t="s">
        <v>181</v>
      </c>
      <c r="V3" s="167" t="s">
        <v>187</v>
      </c>
      <c r="W3" s="48" t="s">
        <v>65</v>
      </c>
      <c r="X3" s="26" t="s">
        <v>2</v>
      </c>
      <c r="Y3" s="27" t="s">
        <v>3</v>
      </c>
      <c r="Z3" s="27" t="s">
        <v>14</v>
      </c>
      <c r="AA3" s="27" t="s">
        <v>15</v>
      </c>
      <c r="AB3" s="27" t="s">
        <v>17</v>
      </c>
      <c r="AC3" s="27" t="s">
        <v>18</v>
      </c>
      <c r="AD3" s="27" t="s">
        <v>39</v>
      </c>
      <c r="AE3" s="27" t="s">
        <v>40</v>
      </c>
      <c r="AF3" s="27" t="s">
        <v>22</v>
      </c>
      <c r="AG3" s="27" t="s">
        <v>23</v>
      </c>
      <c r="AH3" s="27" t="s">
        <v>172</v>
      </c>
      <c r="AI3" s="27" t="s">
        <v>173</v>
      </c>
      <c r="AJ3" s="27" t="s">
        <v>174</v>
      </c>
      <c r="AK3" s="27" t="s">
        <v>175</v>
      </c>
      <c r="AL3" s="27" t="s">
        <v>200</v>
      </c>
      <c r="AM3" s="27" t="s">
        <v>179</v>
      </c>
      <c r="AN3" s="27" t="s">
        <v>192</v>
      </c>
      <c r="AT3" s="74"/>
      <c r="AU3" s="184" t="s">
        <v>50</v>
      </c>
      <c r="AV3" s="185"/>
      <c r="AW3" s="185"/>
      <c r="AX3" s="185"/>
      <c r="AY3" s="186"/>
      <c r="AZ3" s="82"/>
      <c r="BA3" s="40"/>
      <c r="BB3" s="40"/>
      <c r="BC3" s="3" t="s">
        <v>0</v>
      </c>
      <c r="BD3" s="3" t="s">
        <v>13</v>
      </c>
      <c r="BE3" s="3" t="s">
        <v>9</v>
      </c>
      <c r="BF3" s="3" t="s">
        <v>7</v>
      </c>
      <c r="BG3" s="3" t="s">
        <v>10</v>
      </c>
      <c r="BH3" s="3" t="s">
        <v>11</v>
      </c>
      <c r="BI3" s="3" t="s">
        <v>19</v>
      </c>
      <c r="BJ3" s="3" t="s">
        <v>20</v>
      </c>
      <c r="BK3" s="41" t="s">
        <v>16</v>
      </c>
      <c r="BL3" s="3" t="s">
        <v>21</v>
      </c>
      <c r="BM3" s="39" t="s">
        <v>44</v>
      </c>
      <c r="BN3" s="3" t="s">
        <v>43</v>
      </c>
      <c r="BO3" s="4" t="s">
        <v>21</v>
      </c>
      <c r="BP3" s="4" t="s">
        <v>36</v>
      </c>
      <c r="BQ3" s="4" t="s">
        <v>38</v>
      </c>
      <c r="BR3" s="4" t="s">
        <v>37</v>
      </c>
      <c r="BS3" s="4" t="s">
        <v>161</v>
      </c>
      <c r="BT3" s="4" t="s">
        <v>162</v>
      </c>
      <c r="BU3" s="4" t="s">
        <v>163</v>
      </c>
      <c r="BV3" s="4" t="s">
        <v>167</v>
      </c>
      <c r="BW3" s="4" t="s">
        <v>169</v>
      </c>
      <c r="BX3" s="40" t="s">
        <v>41</v>
      </c>
      <c r="BY3" s="40" t="s">
        <v>42</v>
      </c>
      <c r="BZ3" s="40"/>
      <c r="CA3" s="40" t="s">
        <v>0</v>
      </c>
      <c r="CB3" s="40" t="s">
        <v>136</v>
      </c>
      <c r="CC3" s="40" t="s">
        <v>11</v>
      </c>
      <c r="CD3" s="40" t="s">
        <v>16</v>
      </c>
      <c r="CE3" s="40" t="s">
        <v>19</v>
      </c>
      <c r="CF3" s="40" t="s">
        <v>137</v>
      </c>
      <c r="CG3" s="40" t="s">
        <v>139</v>
      </c>
      <c r="CH3" s="40" t="s">
        <v>21</v>
      </c>
      <c r="CI3" s="40"/>
      <c r="CJ3" s="40"/>
      <c r="CK3" s="40"/>
      <c r="CL3" s="40"/>
      <c r="CM3" s="40"/>
      <c r="CN3" s="40"/>
      <c r="CO3" s="40"/>
      <c r="CP3" s="40"/>
      <c r="CQ3" s="40"/>
      <c r="CR3" s="40"/>
      <c r="CU3" s="40" t="s">
        <v>35</v>
      </c>
      <c r="CV3" s="55" t="s">
        <v>27</v>
      </c>
      <c r="CW3" s="55" t="s">
        <v>124</v>
      </c>
      <c r="CX3" s="55" t="s">
        <v>125</v>
      </c>
      <c r="CY3" s="55" t="s">
        <v>31</v>
      </c>
      <c r="CZ3" s="55" t="s">
        <v>28</v>
      </c>
      <c r="DA3" s="55" t="s">
        <v>33</v>
      </c>
      <c r="DB3" s="55" t="s">
        <v>126</v>
      </c>
      <c r="DC3" s="55" t="s">
        <v>127</v>
      </c>
      <c r="DD3" s="55" t="s">
        <v>128</v>
      </c>
      <c r="DE3" s="55" t="s">
        <v>25</v>
      </c>
      <c r="DF3" s="55" t="s">
        <v>34</v>
      </c>
      <c r="DG3" s="55" t="s">
        <v>24</v>
      </c>
      <c r="DH3" s="55" t="s">
        <v>32</v>
      </c>
      <c r="DI3" s="55" t="s">
        <v>8</v>
      </c>
      <c r="DJ3" s="55" t="s">
        <v>129</v>
      </c>
      <c r="DK3" s="55" t="s">
        <v>26</v>
      </c>
      <c r="DL3" s="55" t="s">
        <v>29</v>
      </c>
      <c r="DM3" s="55" t="s">
        <v>130</v>
      </c>
      <c r="DN3" s="55" t="s">
        <v>131</v>
      </c>
      <c r="DO3" s="55" t="s">
        <v>132</v>
      </c>
      <c r="DP3" s="55" t="s">
        <v>133</v>
      </c>
      <c r="DQ3" s="55" t="s">
        <v>134</v>
      </c>
      <c r="DR3" s="55" t="s">
        <v>30</v>
      </c>
      <c r="DS3" s="55" t="s">
        <v>135</v>
      </c>
      <c r="DT3" s="55"/>
      <c r="DU3" s="55"/>
      <c r="DV3" s="55"/>
      <c r="DW3" s="55"/>
      <c r="DX3" s="55"/>
      <c r="DY3" s="55"/>
      <c r="DZ3" s="55"/>
      <c r="EA3" s="55"/>
      <c r="EB3" s="40"/>
      <c r="EC3" s="40" t="s">
        <v>35</v>
      </c>
      <c r="ED3" s="55" t="s">
        <v>27</v>
      </c>
      <c r="EE3" s="55" t="s">
        <v>124</v>
      </c>
      <c r="EF3" s="55" t="s">
        <v>125</v>
      </c>
      <c r="EG3" s="55" t="s">
        <v>31</v>
      </c>
      <c r="EH3" s="55" t="s">
        <v>28</v>
      </c>
      <c r="EI3" s="55" t="s">
        <v>33</v>
      </c>
      <c r="EJ3" s="55" t="s">
        <v>126</v>
      </c>
      <c r="EK3" s="55" t="s">
        <v>127</v>
      </c>
      <c r="EL3" s="55" t="s">
        <v>128</v>
      </c>
      <c r="EM3" s="55" t="s">
        <v>25</v>
      </c>
      <c r="EN3" s="55" t="s">
        <v>34</v>
      </c>
      <c r="EO3" s="55" t="s">
        <v>24</v>
      </c>
      <c r="EP3" s="55" t="s">
        <v>32</v>
      </c>
      <c r="EQ3" s="55" t="s">
        <v>8</v>
      </c>
      <c r="ER3" s="55" t="s">
        <v>129</v>
      </c>
      <c r="ES3" s="55" t="s">
        <v>26</v>
      </c>
      <c r="ET3" s="55" t="s">
        <v>29</v>
      </c>
      <c r="EU3" s="55" t="s">
        <v>130</v>
      </c>
      <c r="EV3" s="55" t="s">
        <v>131</v>
      </c>
      <c r="EW3" s="55" t="s">
        <v>132</v>
      </c>
      <c r="EX3" s="55" t="s">
        <v>133</v>
      </c>
      <c r="EY3" s="55" t="s">
        <v>134</v>
      </c>
      <c r="EZ3" s="55" t="s">
        <v>30</v>
      </c>
      <c r="FA3" s="55" t="s">
        <v>135</v>
      </c>
      <c r="FB3" s="55"/>
      <c r="FC3" s="55"/>
      <c r="FD3" s="55"/>
      <c r="FE3" s="55"/>
      <c r="FF3" s="55"/>
      <c r="FG3" s="55"/>
      <c r="FH3" s="55"/>
      <c r="FI3" s="55"/>
      <c r="FJ3" s="40"/>
      <c r="FK3" s="40" t="s">
        <v>35</v>
      </c>
      <c r="FL3" s="55" t="s">
        <v>27</v>
      </c>
      <c r="FM3" s="55" t="s">
        <v>124</v>
      </c>
      <c r="FN3" s="55" t="s">
        <v>125</v>
      </c>
      <c r="FO3" s="55" t="s">
        <v>31</v>
      </c>
      <c r="FP3" s="55" t="s">
        <v>28</v>
      </c>
      <c r="FQ3" s="55" t="s">
        <v>33</v>
      </c>
      <c r="FR3" s="55" t="s">
        <v>126</v>
      </c>
      <c r="FS3" s="55" t="s">
        <v>127</v>
      </c>
      <c r="FT3" s="55" t="s">
        <v>128</v>
      </c>
      <c r="FU3" s="55" t="s">
        <v>25</v>
      </c>
      <c r="FV3" s="55" t="s">
        <v>34</v>
      </c>
      <c r="FW3" s="55" t="s">
        <v>24</v>
      </c>
      <c r="FX3" s="55" t="s">
        <v>32</v>
      </c>
      <c r="FY3" s="55" t="s">
        <v>8</v>
      </c>
      <c r="FZ3" s="55" t="s">
        <v>129</v>
      </c>
      <c r="GA3" s="55" t="s">
        <v>26</v>
      </c>
      <c r="GB3" s="55" t="s">
        <v>29</v>
      </c>
      <c r="GC3" s="55" t="s">
        <v>130</v>
      </c>
      <c r="GD3" s="55" t="s">
        <v>131</v>
      </c>
      <c r="GE3" s="55" t="s">
        <v>132</v>
      </c>
      <c r="GF3" s="55" t="s">
        <v>133</v>
      </c>
      <c r="GG3" s="55" t="s">
        <v>134</v>
      </c>
      <c r="GH3" s="55" t="s">
        <v>30</v>
      </c>
      <c r="GI3" s="55" t="s">
        <v>135</v>
      </c>
      <c r="GJ3" s="55"/>
      <c r="GK3" s="55"/>
      <c r="GL3" s="12"/>
      <c r="GM3" s="12"/>
      <c r="GN3" s="12"/>
      <c r="GO3" s="12"/>
      <c r="GP3" s="12"/>
      <c r="GQ3" s="12"/>
      <c r="GR3" s="82"/>
      <c r="GS3" s="154" t="s">
        <v>13</v>
      </c>
      <c r="GT3" s="155" t="s">
        <v>47</v>
      </c>
      <c r="GU3" s="82"/>
      <c r="GV3" s="52" t="s">
        <v>156</v>
      </c>
      <c r="GW3" s="82"/>
      <c r="GX3" s="82"/>
      <c r="GY3" s="82"/>
      <c r="GZ3" s="82"/>
      <c r="HC3" s="178" t="s">
        <v>142</v>
      </c>
      <c r="HD3" s="178"/>
      <c r="HE3" s="178"/>
      <c r="HF3" s="178"/>
      <c r="HG3" s="178"/>
      <c r="HH3" s="178"/>
      <c r="HI3" s="178"/>
      <c r="HJ3" s="43" t="s">
        <v>144</v>
      </c>
      <c r="HK3" s="43" t="s">
        <v>146</v>
      </c>
      <c r="HL3" s="43" t="s">
        <v>147</v>
      </c>
      <c r="HM3" s="43" t="s">
        <v>148</v>
      </c>
    </row>
    <row r="4" spans="1:221" s="11" customFormat="1" ht="30" customHeight="1" thickBot="1" x14ac:dyDescent="0.25">
      <c r="B4" s="113">
        <v>1</v>
      </c>
      <c r="C4" s="113" t="s">
        <v>1</v>
      </c>
      <c r="D4" s="114">
        <v>45457</v>
      </c>
      <c r="E4" s="113" t="s">
        <v>78</v>
      </c>
      <c r="F4" s="115">
        <v>0.875</v>
      </c>
      <c r="G4" s="116">
        <f>(D4+F4)+IF($A$7&gt;=0,TIMEVALUE($A$7&amp;":00"),-TIMEVALUE(ABS($A$7)&amp;":00"))</f>
        <v>45457.625</v>
      </c>
      <c r="H4" s="113" t="s">
        <v>89</v>
      </c>
      <c r="I4" s="117"/>
      <c r="J4" s="118"/>
      <c r="K4" s="118"/>
      <c r="L4" s="174">
        <f>IF(I4="",0,IFERROR(IF(SCORING.RULES!$C$8="No",1,((VLOOKUP($B4,ACTUALS!$B$4:$L$100,7,FALSE)=$H4)+(VLOOKUP($B4,ACTUALS!$B$4:$L$100,7,FALSE)=S4)))*(M4+N4+O4+P4+Q4),0))+$R4</f>
        <v>0</v>
      </c>
      <c r="M4" s="168">
        <f>IFERROR(IF($B4="","",IF(U4=INDEX(ACTUALS!$AA$4:$AA$100,MATCH($B4,ACTUALS!$B$4:$B$100,0),1),CorrectScore,0)),0)</f>
        <v>0</v>
      </c>
      <c r="N4" s="157" t="str">
        <f>IFERROR(IF(I4="","",IF(INDEX(ACTUALS!$AB$4:$AB$100,MATCH($B4,ACTUALS!$B$4:$B$100,0),1)=(AB4+AC4+AH4+AI4),CorrectNumberofGoals,0)),0)</f>
        <v/>
      </c>
      <c r="O4" s="157"/>
      <c r="P4" s="157">
        <f>IFERROR(IF(B4="","",IF(INDEX(ACTUALS!$L$4:$L$100,MATCH($B4,ACTUALS!$B$4:$B$100,0),1)=W4,CorrectResult,0)),0)</f>
        <v>3</v>
      </c>
      <c r="Q4" s="157"/>
      <c r="R4" s="157"/>
      <c r="S4" s="157" t="str">
        <f t="shared" ref="S4:S39" si="0">IF(OR($H4="",$B4&lt;37),"",RIGHT($H4,LEN($H4)-FIND("-",$H4,1)-1)&amp;" - "&amp;LEFT($H4,FIND("-",$H4,1)-2))</f>
        <v/>
      </c>
      <c r="T4" s="157"/>
      <c r="U4" s="157" t="str">
        <f t="shared" ref="U4:U39" si="1">IF($I4="","",IF($T4="Y",AC4+AI4&amp;":"&amp;AB4+AH4,AB4+AH4&amp;":"&amp;AC4+AI4))</f>
        <v/>
      </c>
      <c r="V4" s="157" t="str">
        <f t="shared" ref="V4:V39" si="2">IF($K4="","",IF($T4="Y",$AK4&amp;":"&amp;$AJ4,$AJ4&amp;":"&amp;$AK4))</f>
        <v/>
      </c>
      <c r="W4" s="119" t="str">
        <f>IF(tblActuals3541519[[#This Row],[SCORE]]="","",IF(AB4=AC4,"Draw",IF(AB4&gt;AC4,X4,Y4)))</f>
        <v/>
      </c>
      <c r="X4" s="120" t="str">
        <f>IF(tblActuals3541519[[#This Row],[TEAMS]]="","",LEFT(H4,FIND(" -",H4,1)-1))</f>
        <v>Germany</v>
      </c>
      <c r="Y4" s="120" t="str">
        <f>IF(tblActuals3541519[[#This Row],[TEAMS]]="","",MID(H4,FIND("-",H4,1)+2,LEN(H4)-FIND("-",H4,1)+2))</f>
        <v>Scotland</v>
      </c>
      <c r="Z4" s="120" t="str">
        <f>IF(tblActuals3541519[[#This Row],[Team 1 Goals]]&gt;tblActuals3541519[[#This Row],[Team 2 Goals]],tblActuals3541519[[#This Row],[Team 1]],IF(tblActuals3541519[[#This Row],[Team 2 Goals]]&gt;tblActuals3541519[[#This Row],[Team 1 Goals]],tblActuals3541519[[#This Row],[Team 2]],""))</f>
        <v/>
      </c>
      <c r="AA4" s="120" t="str">
        <f>IF(tblActuals3541519[[#This Row],[Winner]]=tblActuals3541519[[#This Row],[Team 1]],tblActuals3541519[[#This Row],[Team 2]],IF(tblActuals3541519[[#This Row],[Winner]]=tblActuals3541519[[#This Row],[Team 2]],tblActuals3541519[[#This Row],[Team 1]],""))</f>
        <v/>
      </c>
      <c r="AB4" s="120" t="str">
        <f>IF(tblActuals3541519[[#This Row],[SCORE]]="","",LEFT(I4,FIND(":",I4,1)-1)*1)</f>
        <v/>
      </c>
      <c r="AC4" s="120" t="str">
        <f>IF(tblActuals3541519[[#This Row],[SCORE]]="","",MID(I4,FIND(":",I4,1)+1,LEN(I4)-FIND(":",I4,1)+1)*1)</f>
        <v/>
      </c>
      <c r="AD4" s="120" t="str">
        <f>IF(OR(tblActuals3541519[[#This Row],[Team 1 Goals]]="",tblActuals3541519[[#This Row],[Team 2 Goals]]=""),"",tblActuals3541519[[#This Row],[Team 1 Goals]]-tblActuals3541519[[#This Row],[Team 2 Goals]])</f>
        <v/>
      </c>
      <c r="AE4" s="120" t="str">
        <f>IF(OR(tblActuals3541519[[#This Row],[Team 1 Goals]]="",tblActuals3541519[[#This Row],[Team 2 Goals]]=""),"",tblActuals3541519[[#This Row],[Team 2 Goals]]-tblActuals3541519[[#This Row],[Team 1 Goals]])</f>
        <v/>
      </c>
      <c r="AF4" s="120" t="str">
        <f>IF(tblActuals3541519[[#This Row],[SCORE]]="","",IF(tblActuals3541519[[#This Row],[WINNER / RESULT]]="Draw",1,IF(tblActuals3541519[[#This Row],[WINNER / RESULT]]=tblActuals3541519[[#This Row],[Team 1]],3,0)))</f>
        <v/>
      </c>
      <c r="AG4" s="120" t="str">
        <f>IF(tblActuals3541519[[#This Row],[SCORE]]="","",IF(tblActuals3541519[[#This Row],[WINNER / RESULT]]="Draw",1,IF(tblActuals3541519[[#This Row],[WINNER / RESULT]]=tblActuals3541519[[#This Row],[Team 2]],3,0)))</f>
        <v/>
      </c>
      <c r="AH4" s="121"/>
      <c r="AI4" s="121"/>
      <c r="AJ4" s="121"/>
      <c r="AK4" s="121"/>
      <c r="AL4" s="120" t="e">
        <f>tblActuals3541519[[#This Row],[Team 1 Goals]]+tblActuals3541519[[#This Row],[Team 1 ET Goals]]&amp;":"&amp;tblActuals3541519[[#This Row],[Team 2 Goals]]+tblActuals3541519[[#This Row],[Team 2 ET Goals]]</f>
        <v>#VALUE!</v>
      </c>
      <c r="AM4" s="120" t="e">
        <f>+tblActuals3541519[[#This Row],[Team 1 Goals]]+tblActuals3541519[[#This Row],[Team 2 Goals]]</f>
        <v>#VALUE!</v>
      </c>
      <c r="AN4" s="161">
        <f t="shared" ref="AN4:AN35" si="3">DATE(YEAR(G4),MONTH(G4),DAY(G4))</f>
        <v>45457</v>
      </c>
      <c r="AP4" s="3" t="s">
        <v>4</v>
      </c>
      <c r="AR4" s="10"/>
      <c r="AT4" s="75"/>
      <c r="AU4" s="75"/>
      <c r="AV4" s="75"/>
      <c r="AW4" s="75"/>
      <c r="AX4" s="75"/>
      <c r="AY4" s="75"/>
      <c r="AZ4" s="75"/>
      <c r="BA4" s="42"/>
      <c r="BB4" s="4"/>
      <c r="BC4" s="4" t="s">
        <v>1</v>
      </c>
      <c r="BD4" s="4" t="s">
        <v>27</v>
      </c>
      <c r="BE4" s="4">
        <f>COUNTIF(tblActuals3541519[Winner],BD4)</f>
        <v>0</v>
      </c>
      <c r="BF4" s="4">
        <f>COUNTIFS(tblActuals3541519[Team 2],BD4,tblActuals3541519[WINNER / RESULT],"Draw")+COUNTIFS(tblActuals3541519[Team 1],BD4,tblActuals3541519[WINNER / RESULT],"Draw")</f>
        <v>0</v>
      </c>
      <c r="BG4" s="4">
        <f>COUNTIF(tblActuals3541519[Loser],BD4)</f>
        <v>0</v>
      </c>
      <c r="BH4" s="4">
        <f>BF4+(3*BE4)</f>
        <v>0</v>
      </c>
      <c r="BI4" s="4">
        <f>SUMIFS(tblActuals3541519[Team 1 Goals],tblActuals3541519[Team 1],BD4)+SUMIFS(tblActuals3541519[Team 2 Goals],tblActuals3541519[Team 2],BD4)</f>
        <v>0</v>
      </c>
      <c r="BJ4" s="4">
        <f>SUMIFS(tblActuals3541519[Team 2 Goals],tblActuals3541519[Team 1],BD4)+SUMIFS(tblActuals3541519[Team 1 Goals],tblActuals3541519[Team 2],BD4)</f>
        <v>0</v>
      </c>
      <c r="BK4" s="4">
        <f>BI4-BJ4</f>
        <v>0</v>
      </c>
      <c r="BL4" s="4">
        <f ca="1">RANK(BY4,$BY$4:$BY$7,1)</f>
        <v>1</v>
      </c>
      <c r="BM4" s="4" t="str">
        <f t="shared" ref="BM4:BM32" si="4">IFERROR(VLOOKUP(BD4,GS:GT,2,FALSE),"")</f>
        <v/>
      </c>
      <c r="BN4" s="4" t="str">
        <f ca="1">IF(BM4="",BL4&amp;BC4,BM4&amp;BC4)</f>
        <v>1A</v>
      </c>
      <c r="BO4" s="4">
        <f>RANK(BH4,$BH$4:$BH$7,0)</f>
        <v>1</v>
      </c>
      <c r="BP4" s="4" cm="1">
        <f t="array" aca="1" ref="BP4" ca="1">SUMPRODUCT((OFFSET($CV$3:$EA$3,MATCH($BD4,$CU$4:$CU$35,0),0))*((IF($BO6=$BO4,$CV$3:$EA$3=$BD6,0))+(IF($BO7=$BO4,$CV$3:$EA$3=$BD7,0))+(IF($BO5=$BO4,$CV$3:$EA$3=$BD5,0))))</f>
        <v>0</v>
      </c>
      <c r="BQ4" s="4" cm="1">
        <f t="array" aca="1" ref="BQ4" ca="1">SUMPRODUCT((OFFSET($ED$3:$FI$3,MATCH($BD4,$EC$4:$EC$35,0),0))*((IF($BO6=$BO4,$ED$3:$FI$3=$BD6,0))+(IF($BO7=$BO4,$ED$3:$FI$3=$BD7,0))+(IF($BO5=$BO4,$ED$3:$FI$3=$BD5,0))))</f>
        <v>0</v>
      </c>
      <c r="BR4" s="4" cm="1">
        <f t="array" aca="1" ref="BR4" ca="1">SUMPRODUCT((OFFSET($FL$3:$GQ$3,MATCH($BD4,$FK$4:$FK$35,0),0))*((IF($BO6=$BO4,$FL$3:$GQ$3=$BD6,0))+(IF($BO7=$BO4,$FL$3:$GQ$3=$BD7,0))+(IF($BO5=$BO4,$FL$3:$GQ$3=$BD5,0))))</f>
        <v>0</v>
      </c>
      <c r="BS4" s="4" cm="1">
        <f t="array" aca="1" ref="BS4" ca="1">SUMPRODUCT((OFFSET($CV$3:$EA$3,MATCH($BD4,$CU$4:$CU$35,0),0))*((IF($BO6&lt;&gt;$BO4,$CV$3:$EA$3=$BD6,0))+(IF($BO7&lt;&gt;$BO4,$CV$3:$EA$3=$BD7,0))+(IF($BO5&lt;&gt;$BO4,$CV$3:$EA$3=$BD5,0))))</f>
        <v>0</v>
      </c>
      <c r="BT4" s="4" cm="1">
        <f t="array" aca="1" ref="BT4" ca="1">SUMPRODUCT((OFFSET($ED$3:$FI$3,MATCH($BD4,$EC$4:$EC$35,0),0))*((IF($BO6&lt;&gt;$BO4,$ED$3:$FI$3=$BD6,0))+(IF($BO7&lt;&gt;$BO4,$ED$3:$FI$3=$BD7,0))+(IF($BO5&lt;&gt;$BO4,$ED$3:$FI$3=$BD5,0))))</f>
        <v>0</v>
      </c>
      <c r="BU4" s="4" cm="1">
        <f t="array" aca="1" ref="BU4" ca="1">SUMPRODUCT((OFFSET($FL$3:$GQ$3,MATCH($BD4,$FK$4:$FK$35,0),0))*((IF($BO6&lt;&gt;$BO4,$FL$3:$GQ$3=$BD6,0))+(IF($BO7&lt;&gt;$BO4,$FL$3:$GQ$3=$BD7,0))+(IF($BO5&lt;&gt;$BO4,$FL$3:$GQ$3=$BD5,0))))</f>
        <v>0</v>
      </c>
      <c r="BV4" s="4">
        <f>BK4</f>
        <v>0</v>
      </c>
      <c r="BW4" s="4">
        <f>BI4</f>
        <v>0</v>
      </c>
      <c r="BX4" s="4">
        <f ca="1">(BP4/10)+(BQ4/100)+(BR4/1000)+(BT4/10000)+(BU4/100000)+(BV4/1000000)+(BW4/10000000)+(ROW(BS7)/100000000)</f>
        <v>7.0000000000000005E-8</v>
      </c>
      <c r="BY4" s="4">
        <f ca="1">+BO4-BX4</f>
        <v>0.99999992999999998</v>
      </c>
      <c r="BZ4" s="4"/>
      <c r="CA4" s="4" t="s">
        <v>1</v>
      </c>
      <c r="CB4" s="4" t="str">
        <f ca="1">AV8</f>
        <v>Scotland</v>
      </c>
      <c r="CC4" s="4">
        <f t="shared" ref="CC4:CC9" ca="1" si="5">SUMIF(BD:BD,CB4,BH:BH)</f>
        <v>0</v>
      </c>
      <c r="CD4" s="4">
        <f t="shared" ref="CD4:CD9" ca="1" si="6">SUMIF(BD:BD,CB4,BK:BK)</f>
        <v>0</v>
      </c>
      <c r="CE4" s="4">
        <f t="shared" ref="CE4:CE9" ca="1" si="7">SUMIF(BD:BD,CB4,BI:BI)</f>
        <v>0</v>
      </c>
      <c r="CF4" s="4">
        <f t="shared" ref="CF4:CF9" ca="1" si="8">SUMIF(BD:BD,CB4,BE:BE)</f>
        <v>0</v>
      </c>
      <c r="CG4" s="4">
        <f t="shared" ref="CG4:CG9" ca="1" si="9">(CC4/1000)+(CD4/10000)+(CE4/100000)+(ROW(CF4)/10000000)</f>
        <v>3.9999999999999998E-7</v>
      </c>
      <c r="CH4" s="4">
        <f t="shared" ref="CH4:CH9" ca="1" si="10">RANK(CG4,$CG$4:$CG$9)</f>
        <v>6</v>
      </c>
      <c r="CI4" s="4"/>
      <c r="CJ4" s="4"/>
      <c r="CK4" s="4"/>
      <c r="CL4" s="4"/>
      <c r="CM4" s="4"/>
      <c r="CN4" s="4"/>
      <c r="CO4" s="4"/>
      <c r="CP4" s="4"/>
      <c r="CQ4" s="4"/>
      <c r="CR4" s="4"/>
      <c r="CU4" s="4" t="s">
        <v>27</v>
      </c>
      <c r="CV4" s="56">
        <f>SUMIFS(tblActuals3541519[Team 2 Points],tblActuals3541519[Team 2],$CU4,tblActuals3541519[Team 1],CV$3)+SUMIFS(tblActuals3541519[Team 1 Points],tblActuals3541519[Team 1],$CU4,tblActuals3541519[Team 2],CV$3)</f>
        <v>0</v>
      </c>
      <c r="CW4" s="56">
        <f>SUMIFS(tblActuals3541519[Team 2 Points],tblActuals3541519[Team 2],$CU4,tblActuals3541519[Team 1],CW$3)+SUMIFS(tblActuals3541519[Team 1 Points],tblActuals3541519[Team 1],$CU4,tblActuals3541519[Team 2],CW$3)</f>
        <v>0</v>
      </c>
      <c r="CX4" s="56">
        <f>SUMIFS(tblActuals3541519[Team 2 Points],tblActuals3541519[Team 2],$CU4,tblActuals3541519[Team 1],CX$3)+SUMIFS(tblActuals3541519[Team 1 Points],tblActuals3541519[Team 1],$CU4,tblActuals3541519[Team 2],CX$3)</f>
        <v>0</v>
      </c>
      <c r="CY4" s="56">
        <f>SUMIFS(tblActuals3541519[Team 2 Points],tblActuals3541519[Team 2],$CU4,tblActuals3541519[Team 1],CY$3)+SUMIFS(tblActuals3541519[Team 1 Points],tblActuals3541519[Team 1],$CU4,tblActuals3541519[Team 2],CY$3)</f>
        <v>0</v>
      </c>
      <c r="CZ4" s="56">
        <f>SUMIFS(tblActuals3541519[Team 2 Points],tblActuals3541519[Team 2],$CU4,tblActuals3541519[Team 1],CZ$3)+SUMIFS(tblActuals3541519[Team 1 Points],tblActuals3541519[Team 1],$CU4,tblActuals3541519[Team 2],CZ$3)</f>
        <v>0</v>
      </c>
      <c r="DA4" s="56">
        <f>SUMIFS(tblActuals3541519[Team 2 Points],tblActuals3541519[Team 2],$CU4,tblActuals3541519[Team 1],DA$3)+SUMIFS(tblActuals3541519[Team 1 Points],tblActuals3541519[Team 1],$CU4,tblActuals3541519[Team 2],DA$3)</f>
        <v>0</v>
      </c>
      <c r="DB4" s="56">
        <f>SUMIFS(tblActuals3541519[Team 2 Points],tblActuals3541519[Team 2],$CU4,tblActuals3541519[Team 1],DB$3)+SUMIFS(tblActuals3541519[Team 1 Points],tblActuals3541519[Team 1],$CU4,tblActuals3541519[Team 2],DB$3)</f>
        <v>0</v>
      </c>
      <c r="DC4" s="56">
        <f>SUMIFS(tblActuals3541519[Team 2 Points],tblActuals3541519[Team 2],$CU4,tblActuals3541519[Team 1],DC$3)+SUMIFS(tblActuals3541519[Team 1 Points],tblActuals3541519[Team 1],$CU4,tblActuals3541519[Team 2],DC$3)</f>
        <v>0</v>
      </c>
      <c r="DD4" s="56">
        <f>SUMIFS(tblActuals3541519[Team 2 Points],tblActuals3541519[Team 2],$CU4,tblActuals3541519[Team 1],DD$3)+SUMIFS(tblActuals3541519[Team 1 Points],tblActuals3541519[Team 1],$CU4,tblActuals3541519[Team 2],DD$3)</f>
        <v>0</v>
      </c>
      <c r="DE4" s="56">
        <f>SUMIFS(tblActuals3541519[Team 2 Points],tblActuals3541519[Team 2],$CU4,tblActuals3541519[Team 1],DE$3)+SUMIFS(tblActuals3541519[Team 1 Points],tblActuals3541519[Team 1],$CU4,tblActuals3541519[Team 2],DE$3)</f>
        <v>0</v>
      </c>
      <c r="DF4" s="56">
        <f>SUMIFS(tblActuals3541519[Team 2 Points],tblActuals3541519[Team 2],$CU4,tblActuals3541519[Team 1],DF$3)+SUMIFS(tblActuals3541519[Team 1 Points],tblActuals3541519[Team 1],$CU4,tblActuals3541519[Team 2],DF$3)</f>
        <v>0</v>
      </c>
      <c r="DG4" s="56">
        <f>SUMIFS(tblActuals3541519[Team 2 Points],tblActuals3541519[Team 2],$CU4,tblActuals3541519[Team 1],DG$3)+SUMIFS(tblActuals3541519[Team 1 Points],tblActuals3541519[Team 1],$CU4,tblActuals3541519[Team 2],DG$3)</f>
        <v>0</v>
      </c>
      <c r="DH4" s="56">
        <f>SUMIFS(tblActuals3541519[Team 2 Points],tblActuals3541519[Team 2],$CU4,tblActuals3541519[Team 1],DH$3)+SUMIFS(tblActuals3541519[Team 1 Points],tblActuals3541519[Team 1],$CU4,tblActuals3541519[Team 2],DH$3)</f>
        <v>0</v>
      </c>
      <c r="DI4" s="56">
        <f>SUMIFS(tblActuals3541519[Team 2 Points],tblActuals3541519[Team 2],$CU4,tblActuals3541519[Team 1],DI$3)+SUMIFS(tblActuals3541519[Team 1 Points],tblActuals3541519[Team 1],$CU4,tblActuals3541519[Team 2],DI$3)</f>
        <v>0</v>
      </c>
      <c r="DJ4" s="56">
        <f>SUMIFS(tblActuals3541519[Team 2 Points],tblActuals3541519[Team 2],$CU4,tblActuals3541519[Team 1],DJ$3)+SUMIFS(tblActuals3541519[Team 1 Points],tblActuals3541519[Team 1],$CU4,tblActuals3541519[Team 2],DJ$3)</f>
        <v>0</v>
      </c>
      <c r="DK4" s="56">
        <f>SUMIFS(tblActuals3541519[Team 2 Points],tblActuals3541519[Team 2],$CU4,tblActuals3541519[Team 1],DK$3)+SUMIFS(tblActuals3541519[Team 1 Points],tblActuals3541519[Team 1],$CU4,tblActuals3541519[Team 2],DK$3)</f>
        <v>0</v>
      </c>
      <c r="DL4" s="56">
        <f>SUMIFS(tblActuals3541519[Team 2 Points],tblActuals3541519[Team 2],$CU4,tblActuals3541519[Team 1],DL$3)+SUMIFS(tblActuals3541519[Team 1 Points],tblActuals3541519[Team 1],$CU4,tblActuals3541519[Team 2],DL$3)</f>
        <v>0</v>
      </c>
      <c r="DM4" s="56">
        <f>SUMIFS(tblActuals3541519[Team 2 Points],tblActuals3541519[Team 2],$CU4,tblActuals3541519[Team 1],DM$3)+SUMIFS(tblActuals3541519[Team 1 Points],tblActuals3541519[Team 1],$CU4,tblActuals3541519[Team 2],DM$3)</f>
        <v>0</v>
      </c>
      <c r="DN4" s="56">
        <f>SUMIFS(tblActuals3541519[Team 2 Points],tblActuals3541519[Team 2],$CU4,tblActuals3541519[Team 1],DN$3)+SUMIFS(tblActuals3541519[Team 1 Points],tblActuals3541519[Team 1],$CU4,tblActuals3541519[Team 2],DN$3)</f>
        <v>0</v>
      </c>
      <c r="DO4" s="56">
        <f>SUMIFS(tblActuals3541519[Team 2 Points],tblActuals3541519[Team 2],$CU4,tblActuals3541519[Team 1],DO$3)+SUMIFS(tblActuals3541519[Team 1 Points],tblActuals3541519[Team 1],$CU4,tblActuals3541519[Team 2],DO$3)</f>
        <v>0</v>
      </c>
      <c r="DP4" s="56">
        <f>SUMIFS(tblActuals3541519[Team 2 Points],tblActuals3541519[Team 2],$CU4,tblActuals3541519[Team 1],DP$3)+SUMIFS(tblActuals3541519[Team 1 Points],tblActuals3541519[Team 1],$CU4,tblActuals3541519[Team 2],DP$3)</f>
        <v>0</v>
      </c>
      <c r="DQ4" s="56">
        <f>SUMIFS(tblActuals3541519[Team 2 Points],tblActuals3541519[Team 2],$CU4,tblActuals3541519[Team 1],DQ$3)+SUMIFS(tblActuals3541519[Team 1 Points],tblActuals3541519[Team 1],$CU4,tblActuals3541519[Team 2],DQ$3)</f>
        <v>0</v>
      </c>
      <c r="DR4" s="56">
        <f>SUMIFS(tblActuals3541519[Team 2 Points],tblActuals3541519[Team 2],$CU4,tblActuals3541519[Team 1],DR$3)+SUMIFS(tblActuals3541519[Team 1 Points],tblActuals3541519[Team 1],$CU4,tblActuals3541519[Team 2],DR$3)</f>
        <v>0</v>
      </c>
      <c r="DS4" s="56">
        <f>SUMIFS(tblActuals3541519[Team 2 Points],tblActuals3541519[Team 2],$CU4,tblActuals3541519[Team 1],DS$3)+SUMIFS(tblActuals3541519[Team 1 Points],tblActuals3541519[Team 1],$CU4,tblActuals3541519[Team 2],DS$3)</f>
        <v>0</v>
      </c>
      <c r="DT4" s="57"/>
      <c r="DU4" s="57"/>
      <c r="DV4" s="57"/>
      <c r="DW4" s="57"/>
      <c r="DX4" s="57"/>
      <c r="DY4" s="57"/>
      <c r="DZ4" s="57"/>
      <c r="EA4" s="57"/>
      <c r="EB4" s="4"/>
      <c r="EC4" s="4" t="s">
        <v>27</v>
      </c>
      <c r="ED4" s="56">
        <f>SUMIFS(tblActuals3541519[Team 2 GD],tblActuals3541519[Team 2],$CU4,tblActuals3541519[Team 1],ED$3)+SUMIFS(tblActuals3541519[Team 1 GD],tblActuals3541519[Team 1],$CU4,tblActuals3541519[Team 2],ED$3)</f>
        <v>0</v>
      </c>
      <c r="EE4" s="56">
        <f>SUMIFS(tblActuals3541519[Team 2 GD],tblActuals3541519[Team 2],$CU4,tblActuals3541519[Team 1],EE$3)+SUMIFS(tblActuals3541519[Team 1 GD],tblActuals3541519[Team 1],$CU4,tblActuals3541519[Team 2],EE$3)</f>
        <v>0</v>
      </c>
      <c r="EF4" s="56">
        <f>SUMIFS(tblActuals3541519[Team 2 GD],tblActuals3541519[Team 2],$CU4,tblActuals3541519[Team 1],EF$3)+SUMIFS(tblActuals3541519[Team 1 GD],tblActuals3541519[Team 1],$CU4,tblActuals3541519[Team 2],EF$3)</f>
        <v>0</v>
      </c>
      <c r="EG4" s="56">
        <f>SUMIFS(tblActuals3541519[Team 2 GD],tblActuals3541519[Team 2],$CU4,tblActuals3541519[Team 1],EG$3)+SUMIFS(tblActuals3541519[Team 1 GD],tblActuals3541519[Team 1],$CU4,tblActuals3541519[Team 2],EG$3)</f>
        <v>0</v>
      </c>
      <c r="EH4" s="56">
        <f>SUMIFS(tblActuals3541519[Team 2 GD],tblActuals3541519[Team 2],$CU4,tblActuals3541519[Team 1],EH$3)+SUMIFS(tblActuals3541519[Team 1 GD],tblActuals3541519[Team 1],$CU4,tblActuals3541519[Team 2],EH$3)</f>
        <v>0</v>
      </c>
      <c r="EI4" s="56">
        <f>SUMIFS(tblActuals3541519[Team 2 GD],tblActuals3541519[Team 2],$CU4,tblActuals3541519[Team 1],EI$3)+SUMIFS(tblActuals3541519[Team 1 GD],tblActuals3541519[Team 1],$CU4,tblActuals3541519[Team 2],EI$3)</f>
        <v>0</v>
      </c>
      <c r="EJ4" s="56">
        <f>SUMIFS(tblActuals3541519[Team 2 GD],tblActuals3541519[Team 2],$CU4,tblActuals3541519[Team 1],EJ$3)+SUMIFS(tblActuals3541519[Team 1 GD],tblActuals3541519[Team 1],$CU4,tblActuals3541519[Team 2],EJ$3)</f>
        <v>0</v>
      </c>
      <c r="EK4" s="56">
        <f>SUMIFS(tblActuals3541519[Team 2 GD],tblActuals3541519[Team 2],$CU4,tblActuals3541519[Team 1],EK$3)+SUMIFS(tblActuals3541519[Team 1 GD],tblActuals3541519[Team 1],$CU4,tblActuals3541519[Team 2],EK$3)</f>
        <v>0</v>
      </c>
      <c r="EL4" s="56">
        <f>SUMIFS(tblActuals3541519[Team 2 GD],tblActuals3541519[Team 2],$CU4,tblActuals3541519[Team 1],EL$3)+SUMIFS(tblActuals3541519[Team 1 GD],tblActuals3541519[Team 1],$CU4,tblActuals3541519[Team 2],EL$3)</f>
        <v>0</v>
      </c>
      <c r="EM4" s="56">
        <f>SUMIFS(tblActuals3541519[Team 2 GD],tblActuals3541519[Team 2],$CU4,tblActuals3541519[Team 1],EM$3)+SUMIFS(tblActuals3541519[Team 1 GD],tblActuals3541519[Team 1],$CU4,tblActuals3541519[Team 2],EM$3)</f>
        <v>0</v>
      </c>
      <c r="EN4" s="56">
        <f>SUMIFS(tblActuals3541519[Team 2 GD],tblActuals3541519[Team 2],$CU4,tblActuals3541519[Team 1],EN$3)+SUMIFS(tblActuals3541519[Team 1 GD],tblActuals3541519[Team 1],$CU4,tblActuals3541519[Team 2],EN$3)</f>
        <v>0</v>
      </c>
      <c r="EO4" s="56">
        <f>SUMIFS(tblActuals3541519[Team 2 GD],tblActuals3541519[Team 2],$CU4,tblActuals3541519[Team 1],EO$3)+SUMIFS(tblActuals3541519[Team 1 GD],tblActuals3541519[Team 1],$CU4,tblActuals3541519[Team 2],EO$3)</f>
        <v>0</v>
      </c>
      <c r="EP4" s="56">
        <f>SUMIFS(tblActuals3541519[Team 2 GD],tblActuals3541519[Team 2],$CU4,tblActuals3541519[Team 1],EP$3)+SUMIFS(tblActuals3541519[Team 1 GD],tblActuals3541519[Team 1],$CU4,tblActuals3541519[Team 2],EP$3)</f>
        <v>0</v>
      </c>
      <c r="EQ4" s="56">
        <f>SUMIFS(tblActuals3541519[Team 2 GD],tblActuals3541519[Team 2],$CU4,tblActuals3541519[Team 1],EQ$3)+SUMIFS(tblActuals3541519[Team 1 GD],tblActuals3541519[Team 1],$CU4,tblActuals3541519[Team 2],EQ$3)</f>
        <v>0</v>
      </c>
      <c r="ER4" s="56">
        <f>SUMIFS(tblActuals3541519[Team 2 GD],tblActuals3541519[Team 2],$CU4,tblActuals3541519[Team 1],ER$3)+SUMIFS(tblActuals3541519[Team 1 GD],tblActuals3541519[Team 1],$CU4,tblActuals3541519[Team 2],ER$3)</f>
        <v>0</v>
      </c>
      <c r="ES4" s="56">
        <f>SUMIFS(tblActuals3541519[Team 2 GD],tblActuals3541519[Team 2],$CU4,tblActuals3541519[Team 1],ES$3)+SUMIFS(tblActuals3541519[Team 1 GD],tblActuals3541519[Team 1],$CU4,tblActuals3541519[Team 2],ES$3)</f>
        <v>0</v>
      </c>
      <c r="ET4" s="56">
        <f>SUMIFS(tblActuals3541519[Team 2 GD],tblActuals3541519[Team 2],$CU4,tblActuals3541519[Team 1],ET$3)+SUMIFS(tblActuals3541519[Team 1 GD],tblActuals3541519[Team 1],$CU4,tblActuals3541519[Team 2],ET$3)</f>
        <v>0</v>
      </c>
      <c r="EU4" s="56">
        <f>SUMIFS(tblActuals3541519[Team 2 GD],tblActuals3541519[Team 2],$CU4,tblActuals3541519[Team 1],EU$3)+SUMIFS(tblActuals3541519[Team 1 GD],tblActuals3541519[Team 1],$CU4,tblActuals3541519[Team 2],EU$3)</f>
        <v>0</v>
      </c>
      <c r="EV4" s="56">
        <f>SUMIFS(tblActuals3541519[Team 2 GD],tblActuals3541519[Team 2],$CU4,tblActuals3541519[Team 1],EV$3)+SUMIFS(tblActuals3541519[Team 1 GD],tblActuals3541519[Team 1],$CU4,tblActuals3541519[Team 2],EV$3)</f>
        <v>0</v>
      </c>
      <c r="EW4" s="56">
        <f>SUMIFS(tblActuals3541519[Team 2 GD],tblActuals3541519[Team 2],$CU4,tblActuals3541519[Team 1],EW$3)+SUMIFS(tblActuals3541519[Team 1 GD],tblActuals3541519[Team 1],$CU4,tblActuals3541519[Team 2],EW$3)</f>
        <v>0</v>
      </c>
      <c r="EX4" s="56">
        <f>SUMIFS(tblActuals3541519[Team 2 GD],tblActuals3541519[Team 2],$CU4,tblActuals3541519[Team 1],EX$3)+SUMIFS(tblActuals3541519[Team 1 GD],tblActuals3541519[Team 1],$CU4,tblActuals3541519[Team 2],EX$3)</f>
        <v>0</v>
      </c>
      <c r="EY4" s="56">
        <f>SUMIFS(tblActuals3541519[Team 2 GD],tblActuals3541519[Team 2],$CU4,tblActuals3541519[Team 1],EY$3)+SUMIFS(tblActuals3541519[Team 1 GD],tblActuals3541519[Team 1],$CU4,tblActuals3541519[Team 2],EY$3)</f>
        <v>0</v>
      </c>
      <c r="EZ4" s="56">
        <f>SUMIFS(tblActuals3541519[Team 2 GD],tblActuals3541519[Team 2],$CU4,tblActuals3541519[Team 1],EZ$3)+SUMIFS(tblActuals3541519[Team 1 GD],tblActuals3541519[Team 1],$CU4,tblActuals3541519[Team 2],EZ$3)</f>
        <v>0</v>
      </c>
      <c r="FA4" s="56">
        <f>SUMIFS(tblActuals3541519[Team 2 GD],tblActuals3541519[Team 2],$CU4,tblActuals3541519[Team 1],FA$3)+SUMIFS(tblActuals3541519[Team 1 GD],tblActuals3541519[Team 1],$CU4,tblActuals3541519[Team 2],FA$3)</f>
        <v>0</v>
      </c>
      <c r="FB4" s="57"/>
      <c r="FC4" s="57"/>
      <c r="FD4" s="57"/>
      <c r="FE4" s="57"/>
      <c r="FF4" s="57"/>
      <c r="FG4" s="57"/>
      <c r="FH4" s="57"/>
      <c r="FI4" s="57"/>
      <c r="FJ4" s="4"/>
      <c r="FK4" s="4" t="s">
        <v>27</v>
      </c>
      <c r="FL4" s="56">
        <f>SUMIFS(tblActuals3541519[Team 2 Goals],tblActuals3541519[Team 2],$CU4,tblActuals3541519[Team 1],FL$3)+SUMIFS(tblActuals3541519[Team 1 Goals],tblActuals3541519[Team 1],$CU4,tblActuals3541519[Team 2],FL$3)</f>
        <v>0</v>
      </c>
      <c r="FM4" s="56">
        <f>SUMIFS(tblActuals3541519[Team 2 Goals],tblActuals3541519[Team 2],$CU4,tblActuals3541519[Team 1],FM$3)+SUMIFS(tblActuals3541519[Team 1 Goals],tblActuals3541519[Team 1],$CU4,tblActuals3541519[Team 2],FM$3)</f>
        <v>0</v>
      </c>
      <c r="FN4" s="56">
        <f>SUMIFS(tblActuals3541519[Team 2 Goals],tblActuals3541519[Team 2],$CU4,tblActuals3541519[Team 1],FN$3)+SUMIFS(tblActuals3541519[Team 1 Goals],tblActuals3541519[Team 1],$CU4,tblActuals3541519[Team 2],FN$3)</f>
        <v>0</v>
      </c>
      <c r="FO4" s="56">
        <f>SUMIFS(tblActuals3541519[Team 2 Goals],tblActuals3541519[Team 2],$CU4,tblActuals3541519[Team 1],FO$3)+SUMIFS(tblActuals3541519[Team 1 Goals],tblActuals3541519[Team 1],$CU4,tblActuals3541519[Team 2],FO$3)</f>
        <v>0</v>
      </c>
      <c r="FP4" s="56">
        <f>SUMIFS(tblActuals3541519[Team 2 Goals],tblActuals3541519[Team 2],$CU4,tblActuals3541519[Team 1],FP$3)+SUMIFS(tblActuals3541519[Team 1 Goals],tblActuals3541519[Team 1],$CU4,tblActuals3541519[Team 2],FP$3)</f>
        <v>0</v>
      </c>
      <c r="FQ4" s="56">
        <f>SUMIFS(tblActuals3541519[Team 2 Goals],tblActuals3541519[Team 2],$CU4,tblActuals3541519[Team 1],FQ$3)+SUMIFS(tblActuals3541519[Team 1 Goals],tblActuals3541519[Team 1],$CU4,tblActuals3541519[Team 2],FQ$3)</f>
        <v>0</v>
      </c>
      <c r="FR4" s="56">
        <f>SUMIFS(tblActuals3541519[Team 2 Goals],tblActuals3541519[Team 2],$CU4,tblActuals3541519[Team 1],FR$3)+SUMIFS(tblActuals3541519[Team 1 Goals],tblActuals3541519[Team 1],$CU4,tblActuals3541519[Team 2],FR$3)</f>
        <v>0</v>
      </c>
      <c r="FS4" s="56">
        <f>SUMIFS(tblActuals3541519[Team 2 Goals],tblActuals3541519[Team 2],$CU4,tblActuals3541519[Team 1],FS$3)+SUMIFS(tblActuals3541519[Team 1 Goals],tblActuals3541519[Team 1],$CU4,tblActuals3541519[Team 2],FS$3)</f>
        <v>0</v>
      </c>
      <c r="FT4" s="56">
        <f>SUMIFS(tblActuals3541519[Team 2 Goals],tblActuals3541519[Team 2],$CU4,tblActuals3541519[Team 1],FT$3)+SUMIFS(tblActuals3541519[Team 1 Goals],tblActuals3541519[Team 1],$CU4,tblActuals3541519[Team 2],FT$3)</f>
        <v>0</v>
      </c>
      <c r="FU4" s="56">
        <f>SUMIFS(tblActuals3541519[Team 2 Goals],tblActuals3541519[Team 2],$CU4,tblActuals3541519[Team 1],FU$3)+SUMIFS(tblActuals3541519[Team 1 Goals],tblActuals3541519[Team 1],$CU4,tblActuals3541519[Team 2],FU$3)</f>
        <v>0</v>
      </c>
      <c r="FV4" s="56">
        <f>SUMIFS(tblActuals3541519[Team 2 Goals],tblActuals3541519[Team 2],$CU4,tblActuals3541519[Team 1],FV$3)+SUMIFS(tblActuals3541519[Team 1 Goals],tblActuals3541519[Team 1],$CU4,tblActuals3541519[Team 2],FV$3)</f>
        <v>0</v>
      </c>
      <c r="FW4" s="56">
        <f>SUMIFS(tblActuals3541519[Team 2 Goals],tblActuals3541519[Team 2],$CU4,tblActuals3541519[Team 1],FW$3)+SUMIFS(tblActuals3541519[Team 1 Goals],tblActuals3541519[Team 1],$CU4,tblActuals3541519[Team 2],FW$3)</f>
        <v>0</v>
      </c>
      <c r="FX4" s="56">
        <f>SUMIFS(tblActuals3541519[Team 2 Goals],tblActuals3541519[Team 2],$CU4,tblActuals3541519[Team 1],FX$3)+SUMIFS(tblActuals3541519[Team 1 Goals],tblActuals3541519[Team 1],$CU4,tblActuals3541519[Team 2],FX$3)</f>
        <v>0</v>
      </c>
      <c r="FY4" s="56">
        <f>SUMIFS(tblActuals3541519[Team 2 Goals],tblActuals3541519[Team 2],$CU4,tblActuals3541519[Team 1],FY$3)+SUMIFS(tblActuals3541519[Team 1 Goals],tblActuals3541519[Team 1],$CU4,tblActuals3541519[Team 2],FY$3)</f>
        <v>0</v>
      </c>
      <c r="FZ4" s="56">
        <f>SUMIFS(tblActuals3541519[Team 2 Goals],tblActuals3541519[Team 2],$CU4,tblActuals3541519[Team 1],FZ$3)+SUMIFS(tblActuals3541519[Team 1 Goals],tblActuals3541519[Team 1],$CU4,tblActuals3541519[Team 2],FZ$3)</f>
        <v>0</v>
      </c>
      <c r="GA4" s="56">
        <f>SUMIFS(tblActuals3541519[Team 2 Goals],tblActuals3541519[Team 2],$CU4,tblActuals3541519[Team 1],GA$3)+SUMIFS(tblActuals3541519[Team 1 Goals],tblActuals3541519[Team 1],$CU4,tblActuals3541519[Team 2],GA$3)</f>
        <v>0</v>
      </c>
      <c r="GB4" s="56">
        <f>SUMIFS(tblActuals3541519[Team 2 Goals],tblActuals3541519[Team 2],$CU4,tblActuals3541519[Team 1],GB$3)+SUMIFS(tblActuals3541519[Team 1 Goals],tblActuals3541519[Team 1],$CU4,tblActuals3541519[Team 2],GB$3)</f>
        <v>0</v>
      </c>
      <c r="GC4" s="56">
        <f>SUMIFS(tblActuals3541519[Team 2 Goals],tblActuals3541519[Team 2],$CU4,tblActuals3541519[Team 1],GC$3)+SUMIFS(tblActuals3541519[Team 1 Goals],tblActuals3541519[Team 1],$CU4,tblActuals3541519[Team 2],GC$3)</f>
        <v>0</v>
      </c>
      <c r="GD4" s="56">
        <f>SUMIFS(tblActuals3541519[Team 2 Goals],tblActuals3541519[Team 2],$CU4,tblActuals3541519[Team 1],GD$3)+SUMIFS(tblActuals3541519[Team 1 Goals],tblActuals3541519[Team 1],$CU4,tblActuals3541519[Team 2],GD$3)</f>
        <v>0</v>
      </c>
      <c r="GE4" s="56">
        <f>SUMIFS(tblActuals3541519[Team 2 Goals],tblActuals3541519[Team 2],$CU4,tblActuals3541519[Team 1],GE$3)+SUMIFS(tblActuals3541519[Team 1 Goals],tblActuals3541519[Team 1],$CU4,tblActuals3541519[Team 2],GE$3)</f>
        <v>0</v>
      </c>
      <c r="GF4" s="56">
        <f>SUMIFS(tblActuals3541519[Team 2 Goals],tblActuals3541519[Team 2],$CU4,tblActuals3541519[Team 1],GF$3)+SUMIFS(tblActuals3541519[Team 1 Goals],tblActuals3541519[Team 1],$CU4,tblActuals3541519[Team 2],GF$3)</f>
        <v>0</v>
      </c>
      <c r="GG4" s="56">
        <f>SUMIFS(tblActuals3541519[Team 2 Goals],tblActuals3541519[Team 2],$CU4,tblActuals3541519[Team 1],GG$3)+SUMIFS(tblActuals3541519[Team 1 Goals],tblActuals3541519[Team 1],$CU4,tblActuals3541519[Team 2],GG$3)</f>
        <v>0</v>
      </c>
      <c r="GH4" s="56">
        <f>SUMIFS(tblActuals3541519[Team 2 Goals],tblActuals3541519[Team 2],$CU4,tblActuals3541519[Team 1],GH$3)+SUMIFS(tblActuals3541519[Team 1 Goals],tblActuals3541519[Team 1],$CU4,tblActuals3541519[Team 2],GH$3)</f>
        <v>0</v>
      </c>
      <c r="GI4" s="56">
        <f>SUMIFS(tblActuals3541519[Team 2 Goals],tblActuals3541519[Team 2],$CU4,tblActuals3541519[Team 1],GI$3)+SUMIFS(tblActuals3541519[Team 1 Goals],tblActuals3541519[Team 1],$CU4,tblActuals3541519[Team 2],GI$3)</f>
        <v>0</v>
      </c>
      <c r="GJ4" s="57"/>
      <c r="GK4" s="57"/>
      <c r="GL4" s="37"/>
      <c r="GM4" s="37"/>
      <c r="GN4" s="37"/>
      <c r="GO4" s="37"/>
      <c r="GP4" s="37"/>
      <c r="GQ4" s="37"/>
      <c r="GR4" s="75"/>
      <c r="GS4" s="156"/>
      <c r="GT4" s="156"/>
      <c r="GU4" s="75"/>
      <c r="GV4" s="22"/>
      <c r="GW4" s="75"/>
      <c r="GX4" s="75"/>
      <c r="GY4" s="75"/>
      <c r="GZ4" s="75"/>
      <c r="HB4" s="4" t="s">
        <v>0</v>
      </c>
      <c r="HC4" s="178" t="s">
        <v>143</v>
      </c>
      <c r="HD4" s="178"/>
      <c r="HE4" s="178"/>
      <c r="HF4" s="178"/>
      <c r="HG4" s="178"/>
      <c r="HH4" s="178"/>
      <c r="HI4" s="178"/>
      <c r="HJ4" s="43" t="s">
        <v>145</v>
      </c>
      <c r="HK4" s="43" t="s">
        <v>145</v>
      </c>
      <c r="HL4" s="43" t="s">
        <v>145</v>
      </c>
      <c r="HM4" s="43" t="s">
        <v>145</v>
      </c>
    </row>
    <row r="5" spans="1:221" s="11" customFormat="1" ht="30" customHeight="1" thickBot="1" x14ac:dyDescent="0.25">
      <c r="A5" s="28" t="s">
        <v>72</v>
      </c>
      <c r="B5" s="122">
        <v>2</v>
      </c>
      <c r="C5" s="122" t="s">
        <v>1</v>
      </c>
      <c r="D5" s="123">
        <v>45458</v>
      </c>
      <c r="E5" s="122" t="s">
        <v>79</v>
      </c>
      <c r="F5" s="124">
        <v>0.625</v>
      </c>
      <c r="G5" s="125">
        <f t="shared" ref="G5:G51" si="11">(D5+F5)+IF($A$7&gt;=0,TIMEVALUE($A$7&amp;":00"),-TIMEVALUE(ABS($A$7)&amp;":00"))</f>
        <v>45458.375</v>
      </c>
      <c r="H5" s="122" t="s">
        <v>90</v>
      </c>
      <c r="I5" s="126"/>
      <c r="J5" s="118"/>
      <c r="K5" s="118"/>
      <c r="L5" s="174">
        <f>IF(I5="",0,IFERROR(IF(SCORING.RULES!$C$8="No",1,((VLOOKUP($B5,ACTUALS!$B$4:$L$100,7,FALSE)=$H5)+(VLOOKUP($B5,ACTUALS!$B$4:$L$100,7,FALSE)=S5)))*(M5+N5+O5+P5+Q5),0))+$R5</f>
        <v>0</v>
      </c>
      <c r="M5" s="168">
        <f>IFERROR(IF($B5="","",IF(U5=INDEX(ACTUALS!$AA$4:$AA$100,MATCH($B5,ACTUALS!$B$4:$B$100,0),1),CorrectScore,0)),0)</f>
        <v>0</v>
      </c>
      <c r="N5" s="157" t="str">
        <f>IFERROR(IF(I5="","",IF(INDEX(ACTUALS!$AB$4:$AB$100,MATCH($B5,ACTUALS!$B$4:$B$100,0),1)=(AB5+AC5+AH5+AI5),CorrectNumberofGoals,0)),0)</f>
        <v/>
      </c>
      <c r="O5" s="157"/>
      <c r="P5" s="157">
        <f>IFERROR(IF(B5="","",IF(INDEX(ACTUALS!$L$4:$L$100,MATCH($B5,ACTUALS!$B$4:$B$100,0),1)=W5,CorrectResult,0)),0)</f>
        <v>3</v>
      </c>
      <c r="Q5" s="157"/>
      <c r="R5" s="157"/>
      <c r="S5" s="157" t="str">
        <f t="shared" si="0"/>
        <v/>
      </c>
      <c r="T5" s="157"/>
      <c r="U5" s="157" t="str">
        <f t="shared" si="1"/>
        <v/>
      </c>
      <c r="V5" s="157" t="str">
        <f t="shared" si="2"/>
        <v/>
      </c>
      <c r="W5" s="119" t="str">
        <f>IF(tblActuals3541519[[#This Row],[SCORE]]="","",IF(AB5=AC5,"Draw",IF(AB5&gt;AC5,X5,Y5)))</f>
        <v/>
      </c>
      <c r="X5" s="120" t="str">
        <f>IF(tblActuals3541519[[#This Row],[TEAMS]]="","",LEFT(H5,FIND(" -",H5,1)-1))</f>
        <v>Hungary</v>
      </c>
      <c r="Y5" s="120" t="str">
        <f>IF(tblActuals3541519[[#This Row],[TEAMS]]="","",MID(H5,FIND("-",H5,1)+2,LEN(H5)-FIND("-",H5,1)+2))</f>
        <v>Switzerland</v>
      </c>
      <c r="Z5" s="120" t="str">
        <f>IF(tblActuals3541519[[#This Row],[Team 1 Goals]]&gt;tblActuals3541519[[#This Row],[Team 2 Goals]],tblActuals3541519[[#This Row],[Team 1]],IF(tblActuals3541519[[#This Row],[Team 2 Goals]]&gt;tblActuals3541519[[#This Row],[Team 1 Goals]],tblActuals3541519[[#This Row],[Team 2]],""))</f>
        <v/>
      </c>
      <c r="AA5" s="120" t="str">
        <f>IF(tblActuals3541519[[#This Row],[Winner]]=tblActuals3541519[[#This Row],[Team 1]],tblActuals3541519[[#This Row],[Team 2]],IF(tblActuals3541519[[#This Row],[Winner]]=tblActuals3541519[[#This Row],[Team 2]],tblActuals3541519[[#This Row],[Team 1]],""))</f>
        <v/>
      </c>
      <c r="AB5" s="120" t="str">
        <f>IF(tblActuals3541519[[#This Row],[SCORE]]="","",LEFT(I5,FIND(":",I5,1)-1)*1)</f>
        <v/>
      </c>
      <c r="AC5" s="120" t="str">
        <f>IF(tblActuals3541519[[#This Row],[SCORE]]="","",MID(I5,FIND(":",I5,1)+1,LEN(I5)-FIND(":",I5,1)+1)*1)</f>
        <v/>
      </c>
      <c r="AD5" s="120" t="str">
        <f>IF(OR(tblActuals3541519[[#This Row],[Team 1 Goals]]="",tblActuals3541519[[#This Row],[Team 2 Goals]]=""),"",tblActuals3541519[[#This Row],[Team 1 Goals]]-tblActuals3541519[[#This Row],[Team 2 Goals]])</f>
        <v/>
      </c>
      <c r="AE5" s="120" t="str">
        <f>IF(OR(tblActuals3541519[[#This Row],[Team 1 Goals]]="",tblActuals3541519[[#This Row],[Team 2 Goals]]=""),"",tblActuals3541519[[#This Row],[Team 2 Goals]]-tblActuals3541519[[#This Row],[Team 1 Goals]])</f>
        <v/>
      </c>
      <c r="AF5" s="120" t="str">
        <f>IF(tblActuals3541519[[#This Row],[SCORE]]="","",IF(tblActuals3541519[[#This Row],[WINNER / RESULT]]="Draw",1,IF(tblActuals3541519[[#This Row],[WINNER / RESULT]]=tblActuals3541519[[#This Row],[Team 1]],3,0)))</f>
        <v/>
      </c>
      <c r="AG5" s="120" t="str">
        <f>IF(tblActuals3541519[[#This Row],[SCORE]]="","",IF(tblActuals3541519[[#This Row],[WINNER / RESULT]]="Draw",1,IF(tblActuals3541519[[#This Row],[WINNER / RESULT]]=tblActuals3541519[[#This Row],[Team 2]],3,0)))</f>
        <v/>
      </c>
      <c r="AH5" s="121"/>
      <c r="AI5" s="121"/>
      <c r="AJ5" s="121"/>
      <c r="AK5" s="121"/>
      <c r="AL5" s="120" t="e">
        <f>tblActuals3541519[[#This Row],[Team 1 Goals]]+tblActuals3541519[[#This Row],[Team 1 ET Goals]]&amp;":"&amp;tblActuals3541519[[#This Row],[Team 2 Goals]]+tblActuals3541519[[#This Row],[Team 2 ET Goals]]</f>
        <v>#VALUE!</v>
      </c>
      <c r="AM5" s="120" t="e">
        <f>+tblActuals3541519[[#This Row],[Team 1 Goals]]+tblActuals3541519[[#This Row],[Team 2 Goals]]</f>
        <v>#VALUE!</v>
      </c>
      <c r="AN5" s="161">
        <f t="shared" si="3"/>
        <v>45458</v>
      </c>
      <c r="AP5" s="38" t="s">
        <v>80</v>
      </c>
      <c r="AT5" s="76"/>
      <c r="AU5" s="179" t="s">
        <v>51</v>
      </c>
      <c r="AV5" s="180"/>
      <c r="AW5" s="133" t="s">
        <v>46</v>
      </c>
      <c r="AX5" s="134" t="s">
        <v>57</v>
      </c>
      <c r="AY5" s="135" t="s">
        <v>11</v>
      </c>
      <c r="AZ5" s="75"/>
      <c r="BA5" s="42"/>
      <c r="BB5" s="4"/>
      <c r="BC5" s="4" t="s">
        <v>1</v>
      </c>
      <c r="BD5" s="4" t="s">
        <v>125</v>
      </c>
      <c r="BE5" s="4">
        <f>COUNTIF(tblActuals3541519[Winner],BD5)</f>
        <v>0</v>
      </c>
      <c r="BF5" s="4">
        <f>COUNTIFS(tblActuals3541519[Team 2],BD5,tblActuals3541519[WINNER / RESULT],"Draw")+COUNTIFS(tblActuals3541519[Team 1],BD5,tblActuals3541519[WINNER / RESULT],"Draw")</f>
        <v>0</v>
      </c>
      <c r="BG5" s="4">
        <f>COUNTIF(tblActuals3541519[Loser],BD5)</f>
        <v>0</v>
      </c>
      <c r="BH5" s="4">
        <f>BF5+(3*BE5)</f>
        <v>0</v>
      </c>
      <c r="BI5" s="4">
        <f>SUMIFS(tblActuals3541519[Team 1 Goals],tblActuals3541519[Team 1],BD5)+SUMIFS(tblActuals3541519[Team 2 Goals],tblActuals3541519[Team 2],BD5)</f>
        <v>0</v>
      </c>
      <c r="BJ5" s="4">
        <f>SUMIFS(tblActuals3541519[Team 2 Goals],tblActuals3541519[Team 1],BD5)+SUMIFS(tblActuals3541519[Team 1 Goals],tblActuals3541519[Team 2],BD5)</f>
        <v>0</v>
      </c>
      <c r="BK5" s="4">
        <f>BI5-BJ5</f>
        <v>0</v>
      </c>
      <c r="BL5" s="4">
        <f ca="1">RANK(BY5,$BY$4:$BY$7,1)</f>
        <v>2</v>
      </c>
      <c r="BM5" s="4" t="str">
        <f t="shared" si="4"/>
        <v/>
      </c>
      <c r="BN5" s="4" t="str">
        <f ca="1">IF(BM5="",BL5&amp;BC5,BM5&amp;BC5)</f>
        <v>2A</v>
      </c>
      <c r="BO5" s="4">
        <f>RANK(BH5,$BH$4:$BH$7,0)</f>
        <v>1</v>
      </c>
      <c r="BP5" s="4" cm="1">
        <f t="array" aca="1" ref="BP5" ca="1">SUMPRODUCT((OFFSET($CV$3:$EA$3,MATCH($BD5,$CU$4:$CU$35,0),0))*((IF($BO6=$BO5,$CV$3:$EA$3=$BD6,0))+(IF($BO7=$BO5,$CV$3:$EA$3=$BD7,0))+(IF($BO4=$BO5,$CV$3:$EA$3=$BD4,0))))</f>
        <v>0</v>
      </c>
      <c r="BQ5" s="4" cm="1">
        <f t="array" aca="1" ref="BQ5" ca="1">SUMPRODUCT((OFFSET($ED$3:$FI$3,MATCH($BD5,$EC$4:$EC$35,0),0))*((IF($BO6=$BO5,$ED$3:$FI$3=$BD6,0))+(IF($BO7=$BO5,$ED$3:$FI$3=$BD7,0))+(IF($BO4=$BO5,$ED$3:$FI$3=$BD4,0))))</f>
        <v>0</v>
      </c>
      <c r="BR5" s="4" cm="1">
        <f t="array" aca="1" ref="BR5" ca="1">SUMPRODUCT((OFFSET($FL$3:$GQ$3,MATCH($BD5,$FK$4:$FK$35,0),0))*((IF($BO6=$BO5,$FL$3:$GQ$3=$BD6,0))+(IF($BO7=$BO5,$FL$3:$GQ$3=$BD7,0))+(IF($BO4=$BO5,$FL$3:$GQ$3=$BD4,0))))</f>
        <v>0</v>
      </c>
      <c r="BS5" s="4" cm="1">
        <f t="array" aca="1" ref="BS5" ca="1">SUMPRODUCT((OFFSET($CV$3:$EA$3,MATCH($BD5,$CU$4:$CU$35,0),0))*((IF($BO6&lt;&gt;$BO5,$CV$3:$EA$3=$BD6,0))+(IF($BO7&lt;&gt;$BO5,$CV$3:$EA$3=$BD7,0))+(IF($BO4&lt;&gt;$BO5,$CV$3:$EA$3=$BD4,0))))</f>
        <v>0</v>
      </c>
      <c r="BT5" s="4" cm="1">
        <f t="array" aca="1" ref="BT5" ca="1">SUMPRODUCT((OFFSET($ED$3:$FI$3,MATCH($BD5,$EC$4:$EC$35,0),0))*((IF($BO6&lt;&gt;$BO5,$ED$3:$FI$3=$BD6,0))+(IF($BO7&lt;&gt;$BO5,$ED$3:$FI$3=$BD7,0))+(IF($BO4&lt;&gt;$BO5,$ED$3:$FI$3=$BD4,0))))</f>
        <v>0</v>
      </c>
      <c r="BU5" s="4" cm="1">
        <f t="array" aca="1" ref="BU5" ca="1">SUMPRODUCT((OFFSET($FL$3:$GQ$3,MATCH($BD5,$FK$4:$FK$35,0),0))*((IF($BO6&lt;&gt;$BO5,$FL$3:$GQ$3=$BD6,0))+(IF($BO7&lt;&gt;$BO5,$FL$3:$GQ$3=$BD7,0))+(IF($BO4&lt;&gt;$BO5,$FL$3:$GQ$3=$BD4,0))))</f>
        <v>0</v>
      </c>
      <c r="BV5" s="4">
        <f>BK5</f>
        <v>0</v>
      </c>
      <c r="BW5" s="4">
        <f>BI5</f>
        <v>0</v>
      </c>
      <c r="BX5" s="4">
        <f ca="1">(BP5/10)+(BQ5/100)+(BR5/1000)+(BT5/10000)+(BU5/100000)+(BV5/1000000)+(BW5/10000000)+(ROW(BS6)/100000000)</f>
        <v>5.9999999999999995E-8</v>
      </c>
      <c r="BY5" s="4">
        <f ca="1">+BO5-BX5</f>
        <v>0.99999994000000003</v>
      </c>
      <c r="BZ5" s="4"/>
      <c r="CA5" s="4" t="s">
        <v>5</v>
      </c>
      <c r="CB5" s="4" t="str">
        <f ca="1">AV14</f>
        <v>Italy</v>
      </c>
      <c r="CC5" s="4">
        <f t="shared" ca="1" si="5"/>
        <v>0</v>
      </c>
      <c r="CD5" s="4">
        <f t="shared" ca="1" si="6"/>
        <v>0</v>
      </c>
      <c r="CE5" s="4">
        <f t="shared" ca="1" si="7"/>
        <v>0</v>
      </c>
      <c r="CF5" s="4">
        <f t="shared" ca="1" si="8"/>
        <v>0</v>
      </c>
      <c r="CG5" s="4">
        <f t="shared" ca="1" si="9"/>
        <v>4.9999999999999998E-7</v>
      </c>
      <c r="CH5" s="4">
        <f t="shared" ca="1" si="10"/>
        <v>5</v>
      </c>
      <c r="CI5" s="4"/>
      <c r="CJ5" s="4"/>
      <c r="CK5" s="4"/>
      <c r="CL5" s="4"/>
      <c r="CM5" s="4"/>
      <c r="CN5" s="4"/>
      <c r="CO5" s="4"/>
      <c r="CP5" s="4"/>
      <c r="CQ5" s="4"/>
      <c r="CR5" s="4"/>
      <c r="CU5" s="4" t="s">
        <v>124</v>
      </c>
      <c r="CV5" s="56">
        <f>SUMIFS(tblActuals3541519[Team 2 Points],tblActuals3541519[Team 2],$CU5,tblActuals3541519[Team 1],CV$3)+SUMIFS(tblActuals3541519[Team 1 Points],tblActuals3541519[Team 1],$CU5,tblActuals3541519[Team 2],CV$3)</f>
        <v>0</v>
      </c>
      <c r="CW5" s="56">
        <f>SUMIFS(tblActuals3541519[Team 2 Points],tblActuals3541519[Team 2],$CU5,tblActuals3541519[Team 1],CW$3)+SUMIFS(tblActuals3541519[Team 1 Points],tblActuals3541519[Team 1],$CU5,tblActuals3541519[Team 2],CW$3)</f>
        <v>0</v>
      </c>
      <c r="CX5" s="56">
        <f>SUMIFS(tblActuals3541519[Team 2 Points],tblActuals3541519[Team 2],$CU5,tblActuals3541519[Team 1],CX$3)+SUMIFS(tblActuals3541519[Team 1 Points],tblActuals3541519[Team 1],$CU5,tblActuals3541519[Team 2],CX$3)</f>
        <v>0</v>
      </c>
      <c r="CY5" s="56">
        <f>SUMIFS(tblActuals3541519[Team 2 Points],tblActuals3541519[Team 2],$CU5,tblActuals3541519[Team 1],CY$3)+SUMIFS(tblActuals3541519[Team 1 Points],tblActuals3541519[Team 1],$CU5,tblActuals3541519[Team 2],CY$3)</f>
        <v>0</v>
      </c>
      <c r="CZ5" s="56">
        <f>SUMIFS(tblActuals3541519[Team 2 Points],tblActuals3541519[Team 2],$CU5,tblActuals3541519[Team 1],CZ$3)+SUMIFS(tblActuals3541519[Team 1 Points],tblActuals3541519[Team 1],$CU5,tblActuals3541519[Team 2],CZ$3)</f>
        <v>0</v>
      </c>
      <c r="DA5" s="56">
        <f>SUMIFS(tblActuals3541519[Team 2 Points],tblActuals3541519[Team 2],$CU5,tblActuals3541519[Team 1],DA$3)+SUMIFS(tblActuals3541519[Team 1 Points],tblActuals3541519[Team 1],$CU5,tblActuals3541519[Team 2],DA$3)</f>
        <v>0</v>
      </c>
      <c r="DB5" s="56">
        <f>SUMIFS(tblActuals3541519[Team 2 Points],tblActuals3541519[Team 2],$CU5,tblActuals3541519[Team 1],DB$3)+SUMIFS(tblActuals3541519[Team 1 Points],tblActuals3541519[Team 1],$CU5,tblActuals3541519[Team 2],DB$3)</f>
        <v>0</v>
      </c>
      <c r="DC5" s="56">
        <f>SUMIFS(tblActuals3541519[Team 2 Points],tblActuals3541519[Team 2],$CU5,tblActuals3541519[Team 1],DC$3)+SUMIFS(tblActuals3541519[Team 1 Points],tblActuals3541519[Team 1],$CU5,tblActuals3541519[Team 2],DC$3)</f>
        <v>0</v>
      </c>
      <c r="DD5" s="56">
        <f>SUMIFS(tblActuals3541519[Team 2 Points],tblActuals3541519[Team 2],$CU5,tblActuals3541519[Team 1],DD$3)+SUMIFS(tblActuals3541519[Team 1 Points],tblActuals3541519[Team 1],$CU5,tblActuals3541519[Team 2],DD$3)</f>
        <v>0</v>
      </c>
      <c r="DE5" s="56">
        <f>SUMIFS(tblActuals3541519[Team 2 Points],tblActuals3541519[Team 2],$CU5,tblActuals3541519[Team 1],DE$3)+SUMIFS(tblActuals3541519[Team 1 Points],tblActuals3541519[Team 1],$CU5,tblActuals3541519[Team 2],DE$3)</f>
        <v>0</v>
      </c>
      <c r="DF5" s="56">
        <f>SUMIFS(tblActuals3541519[Team 2 Points],tblActuals3541519[Team 2],$CU5,tblActuals3541519[Team 1],DF$3)+SUMIFS(tblActuals3541519[Team 1 Points],tblActuals3541519[Team 1],$CU5,tblActuals3541519[Team 2],DF$3)</f>
        <v>0</v>
      </c>
      <c r="DG5" s="56">
        <f>SUMIFS(tblActuals3541519[Team 2 Points],tblActuals3541519[Team 2],$CU5,tblActuals3541519[Team 1],DG$3)+SUMIFS(tblActuals3541519[Team 1 Points],tblActuals3541519[Team 1],$CU5,tblActuals3541519[Team 2],DG$3)</f>
        <v>0</v>
      </c>
      <c r="DH5" s="56">
        <f>SUMIFS(tblActuals3541519[Team 2 Points],tblActuals3541519[Team 2],$CU5,tblActuals3541519[Team 1],DH$3)+SUMIFS(tblActuals3541519[Team 1 Points],tblActuals3541519[Team 1],$CU5,tblActuals3541519[Team 2],DH$3)</f>
        <v>0</v>
      </c>
      <c r="DI5" s="56">
        <f>SUMIFS(tblActuals3541519[Team 2 Points],tblActuals3541519[Team 2],$CU5,tblActuals3541519[Team 1],DI$3)+SUMIFS(tblActuals3541519[Team 1 Points],tblActuals3541519[Team 1],$CU5,tblActuals3541519[Team 2],DI$3)</f>
        <v>0</v>
      </c>
      <c r="DJ5" s="56">
        <f>SUMIFS(tblActuals3541519[Team 2 Points],tblActuals3541519[Team 2],$CU5,tblActuals3541519[Team 1],DJ$3)+SUMIFS(tblActuals3541519[Team 1 Points],tblActuals3541519[Team 1],$CU5,tblActuals3541519[Team 2],DJ$3)</f>
        <v>0</v>
      </c>
      <c r="DK5" s="56">
        <f>SUMIFS(tblActuals3541519[Team 2 Points],tblActuals3541519[Team 2],$CU5,tblActuals3541519[Team 1],DK$3)+SUMIFS(tblActuals3541519[Team 1 Points],tblActuals3541519[Team 1],$CU5,tblActuals3541519[Team 2],DK$3)</f>
        <v>0</v>
      </c>
      <c r="DL5" s="56">
        <f>SUMIFS(tblActuals3541519[Team 2 Points],tblActuals3541519[Team 2],$CU5,tblActuals3541519[Team 1],DL$3)+SUMIFS(tblActuals3541519[Team 1 Points],tblActuals3541519[Team 1],$CU5,tblActuals3541519[Team 2],DL$3)</f>
        <v>0</v>
      </c>
      <c r="DM5" s="56">
        <f>SUMIFS(tblActuals3541519[Team 2 Points],tblActuals3541519[Team 2],$CU5,tblActuals3541519[Team 1],DM$3)+SUMIFS(tblActuals3541519[Team 1 Points],tblActuals3541519[Team 1],$CU5,tblActuals3541519[Team 2],DM$3)</f>
        <v>0</v>
      </c>
      <c r="DN5" s="56">
        <f>SUMIFS(tblActuals3541519[Team 2 Points],tblActuals3541519[Team 2],$CU5,tblActuals3541519[Team 1],DN$3)+SUMIFS(tblActuals3541519[Team 1 Points],tblActuals3541519[Team 1],$CU5,tblActuals3541519[Team 2],DN$3)</f>
        <v>0</v>
      </c>
      <c r="DO5" s="56">
        <f>SUMIFS(tblActuals3541519[Team 2 Points],tblActuals3541519[Team 2],$CU5,tblActuals3541519[Team 1],DO$3)+SUMIFS(tblActuals3541519[Team 1 Points],tblActuals3541519[Team 1],$CU5,tblActuals3541519[Team 2],DO$3)</f>
        <v>0</v>
      </c>
      <c r="DP5" s="56">
        <f>SUMIFS(tblActuals3541519[Team 2 Points],tblActuals3541519[Team 2],$CU5,tblActuals3541519[Team 1],DP$3)+SUMIFS(tblActuals3541519[Team 1 Points],tblActuals3541519[Team 1],$CU5,tblActuals3541519[Team 2],DP$3)</f>
        <v>0</v>
      </c>
      <c r="DQ5" s="56">
        <f>SUMIFS(tblActuals3541519[Team 2 Points],tblActuals3541519[Team 2],$CU5,tblActuals3541519[Team 1],DQ$3)+SUMIFS(tblActuals3541519[Team 1 Points],tblActuals3541519[Team 1],$CU5,tblActuals3541519[Team 2],DQ$3)</f>
        <v>0</v>
      </c>
      <c r="DR5" s="56">
        <f>SUMIFS(tblActuals3541519[Team 2 Points],tblActuals3541519[Team 2],$CU5,tblActuals3541519[Team 1],DR$3)+SUMIFS(tblActuals3541519[Team 1 Points],tblActuals3541519[Team 1],$CU5,tblActuals3541519[Team 2],DR$3)</f>
        <v>0</v>
      </c>
      <c r="DS5" s="56">
        <f>SUMIFS(tblActuals3541519[Team 2 Points],tblActuals3541519[Team 2],$CU5,tblActuals3541519[Team 1],DS$3)+SUMIFS(tblActuals3541519[Team 1 Points],tblActuals3541519[Team 1],$CU5,tblActuals3541519[Team 2],DS$3)</f>
        <v>0</v>
      </c>
      <c r="DT5" s="57"/>
      <c r="DU5" s="57"/>
      <c r="DV5" s="57"/>
      <c r="DW5" s="57"/>
      <c r="DX5" s="57"/>
      <c r="DY5" s="57"/>
      <c r="DZ5" s="57"/>
      <c r="EA5" s="57"/>
      <c r="EB5" s="4"/>
      <c r="EC5" s="4" t="s">
        <v>124</v>
      </c>
      <c r="ED5" s="56">
        <f>SUMIFS(tblActuals3541519[Team 2 GD],tblActuals3541519[Team 2],$CU5,tblActuals3541519[Team 1],ED$3)+SUMIFS(tblActuals3541519[Team 1 GD],tblActuals3541519[Team 1],$CU5,tblActuals3541519[Team 2],ED$3)</f>
        <v>0</v>
      </c>
      <c r="EE5" s="56">
        <f>SUMIFS(tblActuals3541519[Team 2 GD],tblActuals3541519[Team 2],$CU5,tblActuals3541519[Team 1],EE$3)+SUMIFS(tblActuals3541519[Team 1 GD],tblActuals3541519[Team 1],$CU5,tblActuals3541519[Team 2],EE$3)</f>
        <v>0</v>
      </c>
      <c r="EF5" s="56">
        <f>SUMIFS(tblActuals3541519[Team 2 GD],tblActuals3541519[Team 2],$CU5,tblActuals3541519[Team 1],EF$3)+SUMIFS(tblActuals3541519[Team 1 GD],tblActuals3541519[Team 1],$CU5,tblActuals3541519[Team 2],EF$3)</f>
        <v>0</v>
      </c>
      <c r="EG5" s="56">
        <f>SUMIFS(tblActuals3541519[Team 2 GD],tblActuals3541519[Team 2],$CU5,tblActuals3541519[Team 1],EG$3)+SUMIFS(tblActuals3541519[Team 1 GD],tblActuals3541519[Team 1],$CU5,tblActuals3541519[Team 2],EG$3)</f>
        <v>0</v>
      </c>
      <c r="EH5" s="56">
        <f>SUMIFS(tblActuals3541519[Team 2 GD],tblActuals3541519[Team 2],$CU5,tblActuals3541519[Team 1],EH$3)+SUMIFS(tblActuals3541519[Team 1 GD],tblActuals3541519[Team 1],$CU5,tblActuals3541519[Team 2],EH$3)</f>
        <v>0</v>
      </c>
      <c r="EI5" s="56">
        <f>SUMIFS(tblActuals3541519[Team 2 GD],tblActuals3541519[Team 2],$CU5,tblActuals3541519[Team 1],EI$3)+SUMIFS(tblActuals3541519[Team 1 GD],tblActuals3541519[Team 1],$CU5,tblActuals3541519[Team 2],EI$3)</f>
        <v>0</v>
      </c>
      <c r="EJ5" s="56">
        <f>SUMIFS(tblActuals3541519[Team 2 GD],tblActuals3541519[Team 2],$CU5,tblActuals3541519[Team 1],EJ$3)+SUMIFS(tblActuals3541519[Team 1 GD],tblActuals3541519[Team 1],$CU5,tblActuals3541519[Team 2],EJ$3)</f>
        <v>0</v>
      </c>
      <c r="EK5" s="56">
        <f>SUMIFS(tblActuals3541519[Team 2 GD],tblActuals3541519[Team 2],$CU5,tblActuals3541519[Team 1],EK$3)+SUMIFS(tblActuals3541519[Team 1 GD],tblActuals3541519[Team 1],$CU5,tblActuals3541519[Team 2],EK$3)</f>
        <v>0</v>
      </c>
      <c r="EL5" s="56">
        <f>SUMIFS(tblActuals3541519[Team 2 GD],tblActuals3541519[Team 2],$CU5,tblActuals3541519[Team 1],EL$3)+SUMIFS(tblActuals3541519[Team 1 GD],tblActuals3541519[Team 1],$CU5,tblActuals3541519[Team 2],EL$3)</f>
        <v>0</v>
      </c>
      <c r="EM5" s="56">
        <f>SUMIFS(tblActuals3541519[Team 2 GD],tblActuals3541519[Team 2],$CU5,tblActuals3541519[Team 1],EM$3)+SUMIFS(tblActuals3541519[Team 1 GD],tblActuals3541519[Team 1],$CU5,tblActuals3541519[Team 2],EM$3)</f>
        <v>0</v>
      </c>
      <c r="EN5" s="56">
        <f>SUMIFS(tblActuals3541519[Team 2 GD],tblActuals3541519[Team 2],$CU5,tblActuals3541519[Team 1],EN$3)+SUMIFS(tblActuals3541519[Team 1 GD],tblActuals3541519[Team 1],$CU5,tblActuals3541519[Team 2],EN$3)</f>
        <v>0</v>
      </c>
      <c r="EO5" s="56">
        <f>SUMIFS(tblActuals3541519[Team 2 GD],tblActuals3541519[Team 2],$CU5,tblActuals3541519[Team 1],EO$3)+SUMIFS(tblActuals3541519[Team 1 GD],tblActuals3541519[Team 1],$CU5,tblActuals3541519[Team 2],EO$3)</f>
        <v>0</v>
      </c>
      <c r="EP5" s="56">
        <f>SUMIFS(tblActuals3541519[Team 2 GD],tblActuals3541519[Team 2],$CU5,tblActuals3541519[Team 1],EP$3)+SUMIFS(tblActuals3541519[Team 1 GD],tblActuals3541519[Team 1],$CU5,tblActuals3541519[Team 2],EP$3)</f>
        <v>0</v>
      </c>
      <c r="EQ5" s="56">
        <f>SUMIFS(tblActuals3541519[Team 2 GD],tblActuals3541519[Team 2],$CU5,tblActuals3541519[Team 1],EQ$3)+SUMIFS(tblActuals3541519[Team 1 GD],tblActuals3541519[Team 1],$CU5,tblActuals3541519[Team 2],EQ$3)</f>
        <v>0</v>
      </c>
      <c r="ER5" s="56">
        <f>SUMIFS(tblActuals3541519[Team 2 GD],tblActuals3541519[Team 2],$CU5,tblActuals3541519[Team 1],ER$3)+SUMIFS(tblActuals3541519[Team 1 GD],tblActuals3541519[Team 1],$CU5,tblActuals3541519[Team 2],ER$3)</f>
        <v>0</v>
      </c>
      <c r="ES5" s="56">
        <f>SUMIFS(tblActuals3541519[Team 2 GD],tblActuals3541519[Team 2],$CU5,tblActuals3541519[Team 1],ES$3)+SUMIFS(tblActuals3541519[Team 1 GD],tblActuals3541519[Team 1],$CU5,tblActuals3541519[Team 2],ES$3)</f>
        <v>0</v>
      </c>
      <c r="ET5" s="56">
        <f>SUMIFS(tblActuals3541519[Team 2 GD],tblActuals3541519[Team 2],$CU5,tblActuals3541519[Team 1],ET$3)+SUMIFS(tblActuals3541519[Team 1 GD],tblActuals3541519[Team 1],$CU5,tblActuals3541519[Team 2],ET$3)</f>
        <v>0</v>
      </c>
      <c r="EU5" s="56">
        <f>SUMIFS(tblActuals3541519[Team 2 GD],tblActuals3541519[Team 2],$CU5,tblActuals3541519[Team 1],EU$3)+SUMIFS(tblActuals3541519[Team 1 GD],tblActuals3541519[Team 1],$CU5,tblActuals3541519[Team 2],EU$3)</f>
        <v>0</v>
      </c>
      <c r="EV5" s="56">
        <f>SUMIFS(tblActuals3541519[Team 2 GD],tblActuals3541519[Team 2],$CU5,tblActuals3541519[Team 1],EV$3)+SUMIFS(tblActuals3541519[Team 1 GD],tblActuals3541519[Team 1],$CU5,tblActuals3541519[Team 2],EV$3)</f>
        <v>0</v>
      </c>
      <c r="EW5" s="56">
        <f>SUMIFS(tblActuals3541519[Team 2 GD],tblActuals3541519[Team 2],$CU5,tblActuals3541519[Team 1],EW$3)+SUMIFS(tblActuals3541519[Team 1 GD],tblActuals3541519[Team 1],$CU5,tblActuals3541519[Team 2],EW$3)</f>
        <v>0</v>
      </c>
      <c r="EX5" s="56">
        <f>SUMIFS(tblActuals3541519[Team 2 GD],tblActuals3541519[Team 2],$CU5,tblActuals3541519[Team 1],EX$3)+SUMIFS(tblActuals3541519[Team 1 GD],tblActuals3541519[Team 1],$CU5,tblActuals3541519[Team 2],EX$3)</f>
        <v>0</v>
      </c>
      <c r="EY5" s="56">
        <f>SUMIFS(tblActuals3541519[Team 2 GD],tblActuals3541519[Team 2],$CU5,tblActuals3541519[Team 1],EY$3)+SUMIFS(tblActuals3541519[Team 1 GD],tblActuals3541519[Team 1],$CU5,tblActuals3541519[Team 2],EY$3)</f>
        <v>0</v>
      </c>
      <c r="EZ5" s="56">
        <f>SUMIFS(tblActuals3541519[Team 2 GD],tblActuals3541519[Team 2],$CU5,tblActuals3541519[Team 1],EZ$3)+SUMIFS(tblActuals3541519[Team 1 GD],tblActuals3541519[Team 1],$CU5,tblActuals3541519[Team 2],EZ$3)</f>
        <v>0</v>
      </c>
      <c r="FA5" s="56">
        <f>SUMIFS(tblActuals3541519[Team 2 GD],tblActuals3541519[Team 2],$CU5,tblActuals3541519[Team 1],FA$3)+SUMIFS(tblActuals3541519[Team 1 GD],tblActuals3541519[Team 1],$CU5,tblActuals3541519[Team 2],FA$3)</f>
        <v>0</v>
      </c>
      <c r="FB5" s="57"/>
      <c r="FC5" s="57"/>
      <c r="FD5" s="57"/>
      <c r="FE5" s="57"/>
      <c r="FF5" s="57"/>
      <c r="FG5" s="57"/>
      <c r="FH5" s="57"/>
      <c r="FI5" s="57"/>
      <c r="FJ5" s="4"/>
      <c r="FK5" s="4" t="s">
        <v>124</v>
      </c>
      <c r="FL5" s="56">
        <f>SUMIFS(tblActuals3541519[Team 2 Goals],tblActuals3541519[Team 2],$CU5,tblActuals3541519[Team 1],FL$3)+SUMIFS(tblActuals3541519[Team 1 Goals],tblActuals3541519[Team 1],$CU5,tblActuals3541519[Team 2],FL$3)</f>
        <v>0</v>
      </c>
      <c r="FM5" s="56">
        <f>SUMIFS(tblActuals3541519[Team 2 Goals],tblActuals3541519[Team 2],$CU5,tblActuals3541519[Team 1],FM$3)+SUMIFS(tblActuals3541519[Team 1 Goals],tblActuals3541519[Team 1],$CU5,tblActuals3541519[Team 2],FM$3)</f>
        <v>0</v>
      </c>
      <c r="FN5" s="56">
        <f>SUMIFS(tblActuals3541519[Team 2 Goals],tblActuals3541519[Team 2],$CU5,tblActuals3541519[Team 1],FN$3)+SUMIFS(tblActuals3541519[Team 1 Goals],tblActuals3541519[Team 1],$CU5,tblActuals3541519[Team 2],FN$3)</f>
        <v>0</v>
      </c>
      <c r="FO5" s="56">
        <f>SUMIFS(tblActuals3541519[Team 2 Goals],tblActuals3541519[Team 2],$CU5,tblActuals3541519[Team 1],FO$3)+SUMIFS(tblActuals3541519[Team 1 Goals],tblActuals3541519[Team 1],$CU5,tblActuals3541519[Team 2],FO$3)</f>
        <v>0</v>
      </c>
      <c r="FP5" s="56">
        <f>SUMIFS(tblActuals3541519[Team 2 Goals],tblActuals3541519[Team 2],$CU5,tblActuals3541519[Team 1],FP$3)+SUMIFS(tblActuals3541519[Team 1 Goals],tblActuals3541519[Team 1],$CU5,tblActuals3541519[Team 2],FP$3)</f>
        <v>0</v>
      </c>
      <c r="FQ5" s="56">
        <f>SUMIFS(tblActuals3541519[Team 2 Goals],tblActuals3541519[Team 2],$CU5,tblActuals3541519[Team 1],FQ$3)+SUMIFS(tblActuals3541519[Team 1 Goals],tblActuals3541519[Team 1],$CU5,tblActuals3541519[Team 2],FQ$3)</f>
        <v>0</v>
      </c>
      <c r="FR5" s="56">
        <f>SUMIFS(tblActuals3541519[Team 2 Goals],tblActuals3541519[Team 2],$CU5,tblActuals3541519[Team 1],FR$3)+SUMIFS(tblActuals3541519[Team 1 Goals],tblActuals3541519[Team 1],$CU5,tblActuals3541519[Team 2],FR$3)</f>
        <v>0</v>
      </c>
      <c r="FS5" s="56">
        <f>SUMIFS(tblActuals3541519[Team 2 Goals],tblActuals3541519[Team 2],$CU5,tblActuals3541519[Team 1],FS$3)+SUMIFS(tblActuals3541519[Team 1 Goals],tblActuals3541519[Team 1],$CU5,tblActuals3541519[Team 2],FS$3)</f>
        <v>0</v>
      </c>
      <c r="FT5" s="56">
        <f>SUMIFS(tblActuals3541519[Team 2 Goals],tblActuals3541519[Team 2],$CU5,tblActuals3541519[Team 1],FT$3)+SUMIFS(tblActuals3541519[Team 1 Goals],tblActuals3541519[Team 1],$CU5,tblActuals3541519[Team 2],FT$3)</f>
        <v>0</v>
      </c>
      <c r="FU5" s="56">
        <f>SUMIFS(tblActuals3541519[Team 2 Goals],tblActuals3541519[Team 2],$CU5,tblActuals3541519[Team 1],FU$3)+SUMIFS(tblActuals3541519[Team 1 Goals],tblActuals3541519[Team 1],$CU5,tblActuals3541519[Team 2],FU$3)</f>
        <v>0</v>
      </c>
      <c r="FV5" s="56">
        <f>SUMIFS(tblActuals3541519[Team 2 Goals],tblActuals3541519[Team 2],$CU5,tblActuals3541519[Team 1],FV$3)+SUMIFS(tblActuals3541519[Team 1 Goals],tblActuals3541519[Team 1],$CU5,tblActuals3541519[Team 2],FV$3)</f>
        <v>0</v>
      </c>
      <c r="FW5" s="56">
        <f>SUMIFS(tblActuals3541519[Team 2 Goals],tblActuals3541519[Team 2],$CU5,tblActuals3541519[Team 1],FW$3)+SUMIFS(tblActuals3541519[Team 1 Goals],tblActuals3541519[Team 1],$CU5,tblActuals3541519[Team 2],FW$3)</f>
        <v>0</v>
      </c>
      <c r="FX5" s="56">
        <f>SUMIFS(tblActuals3541519[Team 2 Goals],tblActuals3541519[Team 2],$CU5,tblActuals3541519[Team 1],FX$3)+SUMIFS(tblActuals3541519[Team 1 Goals],tblActuals3541519[Team 1],$CU5,tblActuals3541519[Team 2],FX$3)</f>
        <v>0</v>
      </c>
      <c r="FY5" s="56">
        <f>SUMIFS(tblActuals3541519[Team 2 Goals],tblActuals3541519[Team 2],$CU5,tblActuals3541519[Team 1],FY$3)+SUMIFS(tblActuals3541519[Team 1 Goals],tblActuals3541519[Team 1],$CU5,tblActuals3541519[Team 2],FY$3)</f>
        <v>0</v>
      </c>
      <c r="FZ5" s="56">
        <f>SUMIFS(tblActuals3541519[Team 2 Goals],tblActuals3541519[Team 2],$CU5,tblActuals3541519[Team 1],FZ$3)+SUMIFS(tblActuals3541519[Team 1 Goals],tblActuals3541519[Team 1],$CU5,tblActuals3541519[Team 2],FZ$3)</f>
        <v>0</v>
      </c>
      <c r="GA5" s="56">
        <f>SUMIFS(tblActuals3541519[Team 2 Goals],tblActuals3541519[Team 2],$CU5,tblActuals3541519[Team 1],GA$3)+SUMIFS(tblActuals3541519[Team 1 Goals],tblActuals3541519[Team 1],$CU5,tblActuals3541519[Team 2],GA$3)</f>
        <v>0</v>
      </c>
      <c r="GB5" s="56">
        <f>SUMIFS(tblActuals3541519[Team 2 Goals],tblActuals3541519[Team 2],$CU5,tblActuals3541519[Team 1],GB$3)+SUMIFS(tblActuals3541519[Team 1 Goals],tblActuals3541519[Team 1],$CU5,tblActuals3541519[Team 2],GB$3)</f>
        <v>0</v>
      </c>
      <c r="GC5" s="56">
        <f>SUMIFS(tblActuals3541519[Team 2 Goals],tblActuals3541519[Team 2],$CU5,tblActuals3541519[Team 1],GC$3)+SUMIFS(tblActuals3541519[Team 1 Goals],tblActuals3541519[Team 1],$CU5,tblActuals3541519[Team 2],GC$3)</f>
        <v>0</v>
      </c>
      <c r="GD5" s="56">
        <f>SUMIFS(tblActuals3541519[Team 2 Goals],tblActuals3541519[Team 2],$CU5,tblActuals3541519[Team 1],GD$3)+SUMIFS(tblActuals3541519[Team 1 Goals],tblActuals3541519[Team 1],$CU5,tblActuals3541519[Team 2],GD$3)</f>
        <v>0</v>
      </c>
      <c r="GE5" s="56">
        <f>SUMIFS(tblActuals3541519[Team 2 Goals],tblActuals3541519[Team 2],$CU5,tblActuals3541519[Team 1],GE$3)+SUMIFS(tblActuals3541519[Team 1 Goals],tblActuals3541519[Team 1],$CU5,tblActuals3541519[Team 2],GE$3)</f>
        <v>0</v>
      </c>
      <c r="GF5" s="56">
        <f>SUMIFS(tblActuals3541519[Team 2 Goals],tblActuals3541519[Team 2],$CU5,tblActuals3541519[Team 1],GF$3)+SUMIFS(tblActuals3541519[Team 1 Goals],tblActuals3541519[Team 1],$CU5,tblActuals3541519[Team 2],GF$3)</f>
        <v>0</v>
      </c>
      <c r="GG5" s="56">
        <f>SUMIFS(tblActuals3541519[Team 2 Goals],tblActuals3541519[Team 2],$CU5,tblActuals3541519[Team 1],GG$3)+SUMIFS(tblActuals3541519[Team 1 Goals],tblActuals3541519[Team 1],$CU5,tblActuals3541519[Team 2],GG$3)</f>
        <v>0</v>
      </c>
      <c r="GH5" s="56">
        <f>SUMIFS(tblActuals3541519[Team 2 Goals],tblActuals3541519[Team 2],$CU5,tblActuals3541519[Team 1],GH$3)+SUMIFS(tblActuals3541519[Team 1 Goals],tblActuals3541519[Team 1],$CU5,tblActuals3541519[Team 2],GH$3)</f>
        <v>0</v>
      </c>
      <c r="GI5" s="56">
        <f>SUMIFS(tblActuals3541519[Team 2 Goals],tblActuals3541519[Team 2],$CU5,tblActuals3541519[Team 1],GI$3)+SUMIFS(tblActuals3541519[Team 1 Goals],tblActuals3541519[Team 1],$CU5,tblActuals3541519[Team 2],GI$3)</f>
        <v>0</v>
      </c>
      <c r="GJ5" s="57"/>
      <c r="GK5" s="57"/>
      <c r="GL5" s="37"/>
      <c r="GM5" s="37"/>
      <c r="GN5" s="37"/>
      <c r="GO5" s="37"/>
      <c r="GP5" s="37"/>
      <c r="GQ5" s="37"/>
      <c r="GR5" s="75"/>
      <c r="GS5" s="156"/>
      <c r="GT5" s="156"/>
      <c r="GU5" s="75"/>
      <c r="GV5" s="22"/>
      <c r="GW5" s="75"/>
      <c r="GX5" s="75"/>
      <c r="GY5" s="75"/>
      <c r="GZ5" s="75"/>
      <c r="HB5" s="4" t="str">
        <f>_xlfn.CONCAT(HC5:HH5)</f>
        <v>ABCD</v>
      </c>
      <c r="HC5" s="44" t="s">
        <v>1</v>
      </c>
      <c r="HD5" s="44" t="s">
        <v>5</v>
      </c>
      <c r="HE5" s="44" t="s">
        <v>6</v>
      </c>
      <c r="HF5" s="44" t="s">
        <v>7</v>
      </c>
      <c r="HG5" s="45"/>
      <c r="HH5" s="45"/>
      <c r="HI5" s="178"/>
      <c r="HJ5" s="45" t="s">
        <v>149</v>
      </c>
      <c r="HK5" s="45" t="s">
        <v>150</v>
      </c>
      <c r="HL5" s="45" t="s">
        <v>151</v>
      </c>
      <c r="HM5" s="45" t="s">
        <v>152</v>
      </c>
    </row>
    <row r="6" spans="1:221" s="11" customFormat="1" ht="30" customHeight="1" x14ac:dyDescent="0.2">
      <c r="A6" s="29">
        <v>-4</v>
      </c>
      <c r="B6" s="122">
        <v>3</v>
      </c>
      <c r="C6" s="122" t="s">
        <v>5</v>
      </c>
      <c r="D6" s="123">
        <v>45458</v>
      </c>
      <c r="E6" s="122" t="s">
        <v>80</v>
      </c>
      <c r="F6" s="124">
        <v>0.75</v>
      </c>
      <c r="G6" s="125">
        <f t="shared" si="11"/>
        <v>45458.5</v>
      </c>
      <c r="H6" s="122" t="s">
        <v>91</v>
      </c>
      <c r="I6" s="126"/>
      <c r="J6" s="118"/>
      <c r="K6" s="118"/>
      <c r="L6" s="174">
        <f>IF(I6="",0,IFERROR(IF(SCORING.RULES!$C$8="No",1,((VLOOKUP($B6,ACTUALS!$B$4:$L$100,7,FALSE)=$H6)+(VLOOKUP($B6,ACTUALS!$B$4:$L$100,7,FALSE)=S6)))*(M6+N6+O6+P6+Q6),0))+$R6</f>
        <v>0</v>
      </c>
      <c r="M6" s="168">
        <f>IFERROR(IF($B6="","",IF(U6=INDEX(ACTUALS!$AA$4:$AA$100,MATCH($B6,ACTUALS!$B$4:$B$100,0),1),CorrectScore,0)),0)</f>
        <v>0</v>
      </c>
      <c r="N6" s="157" t="str">
        <f>IFERROR(IF(I6="","",IF(INDEX(ACTUALS!$AB$4:$AB$100,MATCH($B6,ACTUALS!$B$4:$B$100,0),1)=(AB6+AC6+AH6+AI6),CorrectNumberofGoals,0)),0)</f>
        <v/>
      </c>
      <c r="O6" s="157"/>
      <c r="P6" s="157">
        <f>IFERROR(IF(B6="","",IF(INDEX(ACTUALS!$L$4:$L$100,MATCH($B6,ACTUALS!$B$4:$B$100,0),1)=W6,CorrectResult,0)),0)</f>
        <v>3</v>
      </c>
      <c r="Q6" s="157"/>
      <c r="R6" s="157"/>
      <c r="S6" s="157" t="str">
        <f t="shared" si="0"/>
        <v/>
      </c>
      <c r="T6" s="157"/>
      <c r="U6" s="157" t="str">
        <f t="shared" si="1"/>
        <v/>
      </c>
      <c r="V6" s="157" t="str">
        <f t="shared" si="2"/>
        <v/>
      </c>
      <c r="W6" s="119" t="str">
        <f>IF(tblActuals3541519[[#This Row],[SCORE]]="","",IF(AB6=AC6,"Draw",IF(AB6&gt;AC6,X6,Y6)))</f>
        <v/>
      </c>
      <c r="X6" s="120" t="str">
        <f>IF(tblActuals3541519[[#This Row],[TEAMS]]="","",LEFT(H6,FIND(" -",H6,1)-1))</f>
        <v>Spain</v>
      </c>
      <c r="Y6" s="120" t="str">
        <f>IF(tblActuals3541519[[#This Row],[TEAMS]]="","",MID(H6,FIND("-",H6,1)+2,LEN(H6)-FIND("-",H6,1)+2))</f>
        <v>Croatia</v>
      </c>
      <c r="Z6" s="120" t="str">
        <f>IF(tblActuals3541519[[#This Row],[Team 1 Goals]]&gt;tblActuals3541519[[#This Row],[Team 2 Goals]],tblActuals3541519[[#This Row],[Team 1]],IF(tblActuals3541519[[#This Row],[Team 2 Goals]]&gt;tblActuals3541519[[#This Row],[Team 1 Goals]],tblActuals3541519[[#This Row],[Team 2]],""))</f>
        <v/>
      </c>
      <c r="AA6" s="120" t="str">
        <f>IF(tblActuals3541519[[#This Row],[Winner]]=tblActuals3541519[[#This Row],[Team 1]],tblActuals3541519[[#This Row],[Team 2]],IF(tblActuals3541519[[#This Row],[Winner]]=tblActuals3541519[[#This Row],[Team 2]],tblActuals3541519[[#This Row],[Team 1]],""))</f>
        <v/>
      </c>
      <c r="AB6" s="120" t="str">
        <f>IF(tblActuals3541519[[#This Row],[SCORE]]="","",LEFT(I6,FIND(":",I6,1)-1)*1)</f>
        <v/>
      </c>
      <c r="AC6" s="120" t="str">
        <f>IF(tblActuals3541519[[#This Row],[SCORE]]="","",MID(I6,FIND(":",I6,1)+1,LEN(I6)-FIND(":",I6,1)+1)*1)</f>
        <v/>
      </c>
      <c r="AD6" s="120" t="str">
        <f>IF(OR(tblActuals3541519[[#This Row],[Team 1 Goals]]="",tblActuals3541519[[#This Row],[Team 2 Goals]]=""),"",tblActuals3541519[[#This Row],[Team 1 Goals]]-tblActuals3541519[[#This Row],[Team 2 Goals]])</f>
        <v/>
      </c>
      <c r="AE6" s="120" t="str">
        <f>IF(OR(tblActuals3541519[[#This Row],[Team 1 Goals]]="",tblActuals3541519[[#This Row],[Team 2 Goals]]=""),"",tblActuals3541519[[#This Row],[Team 2 Goals]]-tblActuals3541519[[#This Row],[Team 1 Goals]])</f>
        <v/>
      </c>
      <c r="AF6" s="120" t="str">
        <f>IF(tblActuals3541519[[#This Row],[SCORE]]="","",IF(tblActuals3541519[[#This Row],[WINNER / RESULT]]="Draw",1,IF(tblActuals3541519[[#This Row],[WINNER / RESULT]]=tblActuals3541519[[#This Row],[Team 1]],3,0)))</f>
        <v/>
      </c>
      <c r="AG6" s="120" t="str">
        <f>IF(tblActuals3541519[[#This Row],[SCORE]]="","",IF(tblActuals3541519[[#This Row],[WINNER / RESULT]]="Draw",1,IF(tblActuals3541519[[#This Row],[WINNER / RESULT]]=tblActuals3541519[[#This Row],[Team 2]],3,0)))</f>
        <v/>
      </c>
      <c r="AH6" s="121"/>
      <c r="AI6" s="121"/>
      <c r="AJ6" s="121"/>
      <c r="AK6" s="121"/>
      <c r="AL6" s="120" t="e">
        <f>tblActuals3541519[[#This Row],[Team 1 Goals]]+tblActuals3541519[[#This Row],[Team 1 ET Goals]]&amp;":"&amp;tblActuals3541519[[#This Row],[Team 2 Goals]]+tblActuals3541519[[#This Row],[Team 2 ET Goals]]</f>
        <v>#VALUE!</v>
      </c>
      <c r="AM6" s="120" t="e">
        <f>+tblActuals3541519[[#This Row],[Team 1 Goals]]+tblActuals3541519[[#This Row],[Team 2 Goals]]</f>
        <v>#VALUE!</v>
      </c>
      <c r="AN6" s="161">
        <f t="shared" si="3"/>
        <v>45458</v>
      </c>
      <c r="AP6" s="38" t="s">
        <v>79</v>
      </c>
      <c r="AT6" s="77" t="s">
        <v>1</v>
      </c>
      <c r="AU6" s="136">
        <v>1</v>
      </c>
      <c r="AV6" s="137" t="str">
        <f ca="1">IFERROR(INDEX(BD:BD,MATCH("1"&amp;AT6,BN:BN,0),1),"")</f>
        <v>Germany</v>
      </c>
      <c r="AW6" s="137" t="str">
        <f ca="1">IF(AV6="","",VLOOKUP(AV6,BD:BI,2,FALSE)&amp;"-"&amp;VLOOKUP(AV6,BD:BI,3,FALSE)&amp;"-"&amp;VLOOKUP(AV6,BD:BI,4,FALSE))</f>
        <v>0-0-0</v>
      </c>
      <c r="AX6" s="137">
        <f ca="1">IF(AV6="","",VLOOKUP(AV6,BD:BK,8,FALSE))</f>
        <v>0</v>
      </c>
      <c r="AY6" s="138">
        <f ca="1">IF(AV6="","",VLOOKUP(AV6,BD:BN,5,FALSE))</f>
        <v>0</v>
      </c>
      <c r="AZ6" s="75"/>
      <c r="BA6" s="42"/>
      <c r="BB6" s="4"/>
      <c r="BC6" s="4" t="s">
        <v>1</v>
      </c>
      <c r="BD6" s="4" t="s">
        <v>124</v>
      </c>
      <c r="BE6" s="4">
        <f>COUNTIF(tblActuals3541519[Winner],BD6)</f>
        <v>0</v>
      </c>
      <c r="BF6" s="4">
        <f>COUNTIFS(tblActuals3541519[Team 2],BD6,tblActuals3541519[WINNER / RESULT],"Draw")+COUNTIFS(tblActuals3541519[Team 1],BD6,tblActuals3541519[WINNER / RESULT],"Draw")</f>
        <v>0</v>
      </c>
      <c r="BG6" s="4">
        <f>COUNTIF(tblActuals3541519[Loser],BD6)</f>
        <v>0</v>
      </c>
      <c r="BH6" s="4">
        <f>BF6+(3*BE6)</f>
        <v>0</v>
      </c>
      <c r="BI6" s="4">
        <f>SUMIFS(tblActuals3541519[Team 1 Goals],tblActuals3541519[Team 1],BD6)+SUMIFS(tblActuals3541519[Team 2 Goals],tblActuals3541519[Team 2],BD6)</f>
        <v>0</v>
      </c>
      <c r="BJ6" s="4">
        <f>SUMIFS(tblActuals3541519[Team 2 Goals],tblActuals3541519[Team 1],BD6)+SUMIFS(tblActuals3541519[Team 1 Goals],tblActuals3541519[Team 2],BD6)</f>
        <v>0</v>
      </c>
      <c r="BK6" s="4">
        <f>BI6-BJ6</f>
        <v>0</v>
      </c>
      <c r="BL6" s="4">
        <f ca="1">RANK(BY6,$BY$4:$BY$7,1)</f>
        <v>3</v>
      </c>
      <c r="BM6" s="4" t="str">
        <f t="shared" si="4"/>
        <v/>
      </c>
      <c r="BN6" s="4" t="str">
        <f ca="1">IF(BM6="",BL6&amp;BC6,BM6&amp;BC6)</f>
        <v>3A</v>
      </c>
      <c r="BO6" s="4">
        <f>RANK(BH6,$BH$4:$BH$7,0)</f>
        <v>1</v>
      </c>
      <c r="BP6" s="4" cm="1">
        <f t="array" aca="1" ref="BP6" ca="1">SUMPRODUCT((OFFSET($CV$3:$EA$3,MATCH($BD6,$CU$4:$CU$35,0),0))*((IF($BO4=$BO6,$CV$3:$EA$3=$BD4,0))+(IF($BO7=$BO6,$CV$3:$EA$3=$BD7,0))+(IF($BO5=$BO6,$CV$3:$EA$3=$BD5,0))))</f>
        <v>0</v>
      </c>
      <c r="BQ6" s="4" cm="1">
        <f t="array" aca="1" ref="BQ6" ca="1">SUMPRODUCT((OFFSET($ED$3:$FI$3,MATCH($BD6,$EC$4:$EC$35,0),0))*((IF($BO4=$BO6,$ED$3:$FI$3=$BD4,0))+(IF($BO7=$BO6,$ED$3:$FI$3=$BD7,0))+(IF($BO5=$BO6,$ED$3:$FI$3=$BD5,0))))</f>
        <v>0</v>
      </c>
      <c r="BR6" s="4" cm="1">
        <f t="array" aca="1" ref="BR6" ca="1">SUMPRODUCT((OFFSET($FL$3:$GQ$3,MATCH($BD6,$FK$4:$FK$35,0),0))*((IF($BO4=$BO6,$FL$3:$GQ$3=$BD4,0))+(IF($BO7=$BO6,$FL$3:$GQ$3=$BD7,0))+(IF($BO5=$BO6,$FL$3:$GQ$3=$BD5,0))))</f>
        <v>0</v>
      </c>
      <c r="BS6" s="4" cm="1">
        <f t="array" aca="1" ref="BS6" ca="1">SUMPRODUCT((OFFSET($CV$3:$EA$3,MATCH($BD6,$CU$4:$CU$35,0),0))*((IF($BO4&lt;&gt;$BO6,$CV$3:$EA$3=$BD4,0))+(IF($BO7&lt;&gt;$BO6,$CV$3:$EA$3=$BD7,0))+(IF($BO5&lt;&gt;$BO6,$CV$3:$EA$3=$BD5,0))))</f>
        <v>0</v>
      </c>
      <c r="BT6" s="4" cm="1">
        <f t="array" aca="1" ref="BT6" ca="1">SUMPRODUCT((OFFSET($ED$3:$FI$3,MATCH($BD6,$EC$4:$EC$35,0),0))*((IF($BO4&lt;&gt;$BO6,$ED$3:$FI$3=$BD4,0))+(IF($BO7&lt;&gt;$BO6,$ED$3:$FI$3=$BD7,0))+(IF($BO5&lt;&gt;$BO6,$ED$3:$FI$3=$BD5,0))))</f>
        <v>0</v>
      </c>
      <c r="BU6" s="4" cm="1">
        <f t="array" aca="1" ref="BU6" ca="1">SUMPRODUCT((OFFSET($FL$3:$GQ$3,MATCH($BD6,$FK$4:$FK$35,0),0))*((IF($BO4&lt;&gt;$BO6,$FL$3:$GQ$3=$BD4,0))+(IF($BO7&lt;&gt;$BO6,$FL$3:$GQ$3=$BD7,0))+(IF($BO5&lt;&gt;$BO6,$FL$3:$GQ$3=$BD5,0))))</f>
        <v>0</v>
      </c>
      <c r="BV6" s="4">
        <f>BK6</f>
        <v>0</v>
      </c>
      <c r="BW6" s="4">
        <f>BI6</f>
        <v>0</v>
      </c>
      <c r="BX6" s="4">
        <f ca="1">(BP6/10)+(BQ6/100)+(BR6/1000)+(BT6/10000)+(BU6/100000)+(BV6/1000000)+(BW6/10000000)+(ROW(BS5)/100000000)</f>
        <v>4.9999999999999998E-8</v>
      </c>
      <c r="BY6" s="4">
        <f ca="1">+BO6-BX6</f>
        <v>0.99999994999999997</v>
      </c>
      <c r="BZ6" s="4"/>
      <c r="CA6" s="4" t="s">
        <v>6</v>
      </c>
      <c r="CB6" s="4" t="str">
        <f ca="1">AV20</f>
        <v>Serbia</v>
      </c>
      <c r="CC6" s="4">
        <f t="shared" ca="1" si="5"/>
        <v>0</v>
      </c>
      <c r="CD6" s="4">
        <f t="shared" ca="1" si="6"/>
        <v>0</v>
      </c>
      <c r="CE6" s="4">
        <f t="shared" ca="1" si="7"/>
        <v>0</v>
      </c>
      <c r="CF6" s="4">
        <f t="shared" ca="1" si="8"/>
        <v>0</v>
      </c>
      <c r="CG6" s="4">
        <f t="shared" ca="1" si="9"/>
        <v>5.9999999999999997E-7</v>
      </c>
      <c r="CH6" s="4">
        <f t="shared" ca="1" si="10"/>
        <v>4</v>
      </c>
      <c r="CI6" s="4"/>
      <c r="CJ6" s="4"/>
      <c r="CK6" s="4"/>
      <c r="CL6" s="4"/>
      <c r="CM6" s="4"/>
      <c r="CN6" s="4"/>
      <c r="CO6" s="4"/>
      <c r="CP6" s="4"/>
      <c r="CQ6" s="4"/>
      <c r="CR6" s="4"/>
      <c r="CU6" s="4" t="s">
        <v>125</v>
      </c>
      <c r="CV6" s="56">
        <f>SUMIFS(tblActuals3541519[Team 2 Points],tblActuals3541519[Team 2],$CU6,tblActuals3541519[Team 1],CV$3)+SUMIFS(tblActuals3541519[Team 1 Points],tblActuals3541519[Team 1],$CU6,tblActuals3541519[Team 2],CV$3)</f>
        <v>0</v>
      </c>
      <c r="CW6" s="56">
        <f>SUMIFS(tblActuals3541519[Team 2 Points],tblActuals3541519[Team 2],$CU6,tblActuals3541519[Team 1],CW$3)+SUMIFS(tblActuals3541519[Team 1 Points],tblActuals3541519[Team 1],$CU6,tblActuals3541519[Team 2],CW$3)</f>
        <v>0</v>
      </c>
      <c r="CX6" s="56">
        <f>SUMIFS(tblActuals3541519[Team 2 Points],tblActuals3541519[Team 2],$CU6,tblActuals3541519[Team 1],CX$3)+SUMIFS(tblActuals3541519[Team 1 Points],tblActuals3541519[Team 1],$CU6,tblActuals3541519[Team 2],CX$3)</f>
        <v>0</v>
      </c>
      <c r="CY6" s="56">
        <f>SUMIFS(tblActuals3541519[Team 2 Points],tblActuals3541519[Team 2],$CU6,tblActuals3541519[Team 1],CY$3)+SUMIFS(tblActuals3541519[Team 1 Points],tblActuals3541519[Team 1],$CU6,tblActuals3541519[Team 2],CY$3)</f>
        <v>0</v>
      </c>
      <c r="CZ6" s="56">
        <f>SUMIFS(tblActuals3541519[Team 2 Points],tblActuals3541519[Team 2],$CU6,tblActuals3541519[Team 1],CZ$3)+SUMIFS(tblActuals3541519[Team 1 Points],tblActuals3541519[Team 1],$CU6,tblActuals3541519[Team 2],CZ$3)</f>
        <v>0</v>
      </c>
      <c r="DA6" s="56">
        <f>SUMIFS(tblActuals3541519[Team 2 Points],tblActuals3541519[Team 2],$CU6,tblActuals3541519[Team 1],DA$3)+SUMIFS(tblActuals3541519[Team 1 Points],tblActuals3541519[Team 1],$CU6,tblActuals3541519[Team 2],DA$3)</f>
        <v>0</v>
      </c>
      <c r="DB6" s="56">
        <f>SUMIFS(tblActuals3541519[Team 2 Points],tblActuals3541519[Team 2],$CU6,tblActuals3541519[Team 1],DB$3)+SUMIFS(tblActuals3541519[Team 1 Points],tblActuals3541519[Team 1],$CU6,tblActuals3541519[Team 2],DB$3)</f>
        <v>0</v>
      </c>
      <c r="DC6" s="56">
        <f>SUMIFS(tblActuals3541519[Team 2 Points],tblActuals3541519[Team 2],$CU6,tblActuals3541519[Team 1],DC$3)+SUMIFS(tblActuals3541519[Team 1 Points],tblActuals3541519[Team 1],$CU6,tblActuals3541519[Team 2],DC$3)</f>
        <v>0</v>
      </c>
      <c r="DD6" s="56">
        <f>SUMIFS(tblActuals3541519[Team 2 Points],tblActuals3541519[Team 2],$CU6,tblActuals3541519[Team 1],DD$3)+SUMIFS(tblActuals3541519[Team 1 Points],tblActuals3541519[Team 1],$CU6,tblActuals3541519[Team 2],DD$3)</f>
        <v>0</v>
      </c>
      <c r="DE6" s="56">
        <f>SUMIFS(tblActuals3541519[Team 2 Points],tblActuals3541519[Team 2],$CU6,tblActuals3541519[Team 1],DE$3)+SUMIFS(tblActuals3541519[Team 1 Points],tblActuals3541519[Team 1],$CU6,tblActuals3541519[Team 2],DE$3)</f>
        <v>0</v>
      </c>
      <c r="DF6" s="56">
        <f>SUMIFS(tblActuals3541519[Team 2 Points],tblActuals3541519[Team 2],$CU6,tblActuals3541519[Team 1],DF$3)+SUMIFS(tblActuals3541519[Team 1 Points],tblActuals3541519[Team 1],$CU6,tblActuals3541519[Team 2],DF$3)</f>
        <v>0</v>
      </c>
      <c r="DG6" s="56">
        <f>SUMIFS(tblActuals3541519[Team 2 Points],tblActuals3541519[Team 2],$CU6,tblActuals3541519[Team 1],DG$3)+SUMIFS(tblActuals3541519[Team 1 Points],tblActuals3541519[Team 1],$CU6,tblActuals3541519[Team 2],DG$3)</f>
        <v>0</v>
      </c>
      <c r="DH6" s="56">
        <f>SUMIFS(tblActuals3541519[Team 2 Points],tblActuals3541519[Team 2],$CU6,tblActuals3541519[Team 1],DH$3)+SUMIFS(tblActuals3541519[Team 1 Points],tblActuals3541519[Team 1],$CU6,tblActuals3541519[Team 2],DH$3)</f>
        <v>0</v>
      </c>
      <c r="DI6" s="56">
        <f>SUMIFS(tblActuals3541519[Team 2 Points],tblActuals3541519[Team 2],$CU6,tblActuals3541519[Team 1],DI$3)+SUMIFS(tblActuals3541519[Team 1 Points],tblActuals3541519[Team 1],$CU6,tblActuals3541519[Team 2],DI$3)</f>
        <v>0</v>
      </c>
      <c r="DJ6" s="56">
        <f>SUMIFS(tblActuals3541519[Team 2 Points],tblActuals3541519[Team 2],$CU6,tblActuals3541519[Team 1],DJ$3)+SUMIFS(tblActuals3541519[Team 1 Points],tblActuals3541519[Team 1],$CU6,tblActuals3541519[Team 2],DJ$3)</f>
        <v>0</v>
      </c>
      <c r="DK6" s="56">
        <f>SUMIFS(tblActuals3541519[Team 2 Points],tblActuals3541519[Team 2],$CU6,tblActuals3541519[Team 1],DK$3)+SUMIFS(tblActuals3541519[Team 1 Points],tblActuals3541519[Team 1],$CU6,tblActuals3541519[Team 2],DK$3)</f>
        <v>0</v>
      </c>
      <c r="DL6" s="56">
        <f>SUMIFS(tblActuals3541519[Team 2 Points],tblActuals3541519[Team 2],$CU6,tblActuals3541519[Team 1],DL$3)+SUMIFS(tblActuals3541519[Team 1 Points],tblActuals3541519[Team 1],$CU6,tblActuals3541519[Team 2],DL$3)</f>
        <v>0</v>
      </c>
      <c r="DM6" s="56">
        <f>SUMIFS(tblActuals3541519[Team 2 Points],tblActuals3541519[Team 2],$CU6,tblActuals3541519[Team 1],DM$3)+SUMIFS(tblActuals3541519[Team 1 Points],tblActuals3541519[Team 1],$CU6,tblActuals3541519[Team 2],DM$3)</f>
        <v>0</v>
      </c>
      <c r="DN6" s="56">
        <f>SUMIFS(tblActuals3541519[Team 2 Points],tblActuals3541519[Team 2],$CU6,tblActuals3541519[Team 1],DN$3)+SUMIFS(tblActuals3541519[Team 1 Points],tblActuals3541519[Team 1],$CU6,tblActuals3541519[Team 2],DN$3)</f>
        <v>0</v>
      </c>
      <c r="DO6" s="56">
        <f>SUMIFS(tblActuals3541519[Team 2 Points],tblActuals3541519[Team 2],$CU6,tblActuals3541519[Team 1],DO$3)+SUMIFS(tblActuals3541519[Team 1 Points],tblActuals3541519[Team 1],$CU6,tblActuals3541519[Team 2],DO$3)</f>
        <v>0</v>
      </c>
      <c r="DP6" s="56">
        <f>SUMIFS(tblActuals3541519[Team 2 Points],tblActuals3541519[Team 2],$CU6,tblActuals3541519[Team 1],DP$3)+SUMIFS(tblActuals3541519[Team 1 Points],tblActuals3541519[Team 1],$CU6,tblActuals3541519[Team 2],DP$3)</f>
        <v>0</v>
      </c>
      <c r="DQ6" s="56">
        <f>SUMIFS(tblActuals3541519[Team 2 Points],tblActuals3541519[Team 2],$CU6,tblActuals3541519[Team 1],DQ$3)+SUMIFS(tblActuals3541519[Team 1 Points],tblActuals3541519[Team 1],$CU6,tblActuals3541519[Team 2],DQ$3)</f>
        <v>0</v>
      </c>
      <c r="DR6" s="56">
        <f>SUMIFS(tblActuals3541519[Team 2 Points],tblActuals3541519[Team 2],$CU6,tblActuals3541519[Team 1],DR$3)+SUMIFS(tblActuals3541519[Team 1 Points],tblActuals3541519[Team 1],$CU6,tblActuals3541519[Team 2],DR$3)</f>
        <v>0</v>
      </c>
      <c r="DS6" s="56">
        <f>SUMIFS(tblActuals3541519[Team 2 Points],tblActuals3541519[Team 2],$CU6,tblActuals3541519[Team 1],DS$3)+SUMIFS(tblActuals3541519[Team 1 Points],tblActuals3541519[Team 1],$CU6,tblActuals3541519[Team 2],DS$3)</f>
        <v>0</v>
      </c>
      <c r="DT6" s="57"/>
      <c r="DU6" s="57"/>
      <c r="DV6" s="57"/>
      <c r="DW6" s="57"/>
      <c r="DX6" s="57"/>
      <c r="DY6" s="57"/>
      <c r="DZ6" s="57"/>
      <c r="EA6" s="57"/>
      <c r="EB6" s="4"/>
      <c r="EC6" s="4" t="s">
        <v>125</v>
      </c>
      <c r="ED6" s="56">
        <f>SUMIFS(tblActuals3541519[Team 2 GD],tblActuals3541519[Team 2],$CU6,tblActuals3541519[Team 1],ED$3)+SUMIFS(tblActuals3541519[Team 1 GD],tblActuals3541519[Team 1],$CU6,tblActuals3541519[Team 2],ED$3)</f>
        <v>0</v>
      </c>
      <c r="EE6" s="56">
        <f>SUMIFS(tblActuals3541519[Team 2 GD],tblActuals3541519[Team 2],$CU6,tblActuals3541519[Team 1],EE$3)+SUMIFS(tblActuals3541519[Team 1 GD],tblActuals3541519[Team 1],$CU6,tblActuals3541519[Team 2],EE$3)</f>
        <v>0</v>
      </c>
      <c r="EF6" s="56">
        <f>SUMIFS(tblActuals3541519[Team 2 GD],tblActuals3541519[Team 2],$CU6,tblActuals3541519[Team 1],EF$3)+SUMIFS(tblActuals3541519[Team 1 GD],tblActuals3541519[Team 1],$CU6,tblActuals3541519[Team 2],EF$3)</f>
        <v>0</v>
      </c>
      <c r="EG6" s="56">
        <f>SUMIFS(tblActuals3541519[Team 2 GD],tblActuals3541519[Team 2],$CU6,tblActuals3541519[Team 1],EG$3)+SUMIFS(tblActuals3541519[Team 1 GD],tblActuals3541519[Team 1],$CU6,tblActuals3541519[Team 2],EG$3)</f>
        <v>0</v>
      </c>
      <c r="EH6" s="56">
        <f>SUMIFS(tblActuals3541519[Team 2 GD],tblActuals3541519[Team 2],$CU6,tblActuals3541519[Team 1],EH$3)+SUMIFS(tblActuals3541519[Team 1 GD],tblActuals3541519[Team 1],$CU6,tblActuals3541519[Team 2],EH$3)</f>
        <v>0</v>
      </c>
      <c r="EI6" s="56">
        <f>SUMIFS(tblActuals3541519[Team 2 GD],tblActuals3541519[Team 2],$CU6,tblActuals3541519[Team 1],EI$3)+SUMIFS(tblActuals3541519[Team 1 GD],tblActuals3541519[Team 1],$CU6,tblActuals3541519[Team 2],EI$3)</f>
        <v>0</v>
      </c>
      <c r="EJ6" s="56">
        <f>SUMIFS(tblActuals3541519[Team 2 GD],tblActuals3541519[Team 2],$CU6,tblActuals3541519[Team 1],EJ$3)+SUMIFS(tblActuals3541519[Team 1 GD],tblActuals3541519[Team 1],$CU6,tblActuals3541519[Team 2],EJ$3)</f>
        <v>0</v>
      </c>
      <c r="EK6" s="56">
        <f>SUMIFS(tblActuals3541519[Team 2 GD],tblActuals3541519[Team 2],$CU6,tblActuals3541519[Team 1],EK$3)+SUMIFS(tblActuals3541519[Team 1 GD],tblActuals3541519[Team 1],$CU6,tblActuals3541519[Team 2],EK$3)</f>
        <v>0</v>
      </c>
      <c r="EL6" s="56">
        <f>SUMIFS(tblActuals3541519[Team 2 GD],tblActuals3541519[Team 2],$CU6,tblActuals3541519[Team 1],EL$3)+SUMIFS(tblActuals3541519[Team 1 GD],tblActuals3541519[Team 1],$CU6,tblActuals3541519[Team 2],EL$3)</f>
        <v>0</v>
      </c>
      <c r="EM6" s="56">
        <f>SUMIFS(tblActuals3541519[Team 2 GD],tblActuals3541519[Team 2],$CU6,tblActuals3541519[Team 1],EM$3)+SUMIFS(tblActuals3541519[Team 1 GD],tblActuals3541519[Team 1],$CU6,tblActuals3541519[Team 2],EM$3)</f>
        <v>0</v>
      </c>
      <c r="EN6" s="56">
        <f>SUMIFS(tblActuals3541519[Team 2 GD],tblActuals3541519[Team 2],$CU6,tblActuals3541519[Team 1],EN$3)+SUMIFS(tblActuals3541519[Team 1 GD],tblActuals3541519[Team 1],$CU6,tblActuals3541519[Team 2],EN$3)</f>
        <v>0</v>
      </c>
      <c r="EO6" s="56">
        <f>SUMIFS(tblActuals3541519[Team 2 GD],tblActuals3541519[Team 2],$CU6,tblActuals3541519[Team 1],EO$3)+SUMIFS(tblActuals3541519[Team 1 GD],tblActuals3541519[Team 1],$CU6,tblActuals3541519[Team 2],EO$3)</f>
        <v>0</v>
      </c>
      <c r="EP6" s="56">
        <f>SUMIFS(tblActuals3541519[Team 2 GD],tblActuals3541519[Team 2],$CU6,tblActuals3541519[Team 1],EP$3)+SUMIFS(tblActuals3541519[Team 1 GD],tblActuals3541519[Team 1],$CU6,tblActuals3541519[Team 2],EP$3)</f>
        <v>0</v>
      </c>
      <c r="EQ6" s="56">
        <f>SUMIFS(tblActuals3541519[Team 2 GD],tblActuals3541519[Team 2],$CU6,tblActuals3541519[Team 1],EQ$3)+SUMIFS(tblActuals3541519[Team 1 GD],tblActuals3541519[Team 1],$CU6,tblActuals3541519[Team 2],EQ$3)</f>
        <v>0</v>
      </c>
      <c r="ER6" s="56">
        <f>SUMIFS(tblActuals3541519[Team 2 GD],tblActuals3541519[Team 2],$CU6,tblActuals3541519[Team 1],ER$3)+SUMIFS(tblActuals3541519[Team 1 GD],tblActuals3541519[Team 1],$CU6,tblActuals3541519[Team 2],ER$3)</f>
        <v>0</v>
      </c>
      <c r="ES6" s="56">
        <f>SUMIFS(tblActuals3541519[Team 2 GD],tblActuals3541519[Team 2],$CU6,tblActuals3541519[Team 1],ES$3)+SUMIFS(tblActuals3541519[Team 1 GD],tblActuals3541519[Team 1],$CU6,tblActuals3541519[Team 2],ES$3)</f>
        <v>0</v>
      </c>
      <c r="ET6" s="56">
        <f>SUMIFS(tblActuals3541519[Team 2 GD],tblActuals3541519[Team 2],$CU6,tblActuals3541519[Team 1],ET$3)+SUMIFS(tblActuals3541519[Team 1 GD],tblActuals3541519[Team 1],$CU6,tblActuals3541519[Team 2],ET$3)</f>
        <v>0</v>
      </c>
      <c r="EU6" s="56">
        <f>SUMIFS(tblActuals3541519[Team 2 GD],tblActuals3541519[Team 2],$CU6,tblActuals3541519[Team 1],EU$3)+SUMIFS(tblActuals3541519[Team 1 GD],tblActuals3541519[Team 1],$CU6,tblActuals3541519[Team 2],EU$3)</f>
        <v>0</v>
      </c>
      <c r="EV6" s="56">
        <f>SUMIFS(tblActuals3541519[Team 2 GD],tblActuals3541519[Team 2],$CU6,tblActuals3541519[Team 1],EV$3)+SUMIFS(tblActuals3541519[Team 1 GD],tblActuals3541519[Team 1],$CU6,tblActuals3541519[Team 2],EV$3)</f>
        <v>0</v>
      </c>
      <c r="EW6" s="56">
        <f>SUMIFS(tblActuals3541519[Team 2 GD],tblActuals3541519[Team 2],$CU6,tblActuals3541519[Team 1],EW$3)+SUMIFS(tblActuals3541519[Team 1 GD],tblActuals3541519[Team 1],$CU6,tblActuals3541519[Team 2],EW$3)</f>
        <v>0</v>
      </c>
      <c r="EX6" s="56">
        <f>SUMIFS(tblActuals3541519[Team 2 GD],tblActuals3541519[Team 2],$CU6,tblActuals3541519[Team 1],EX$3)+SUMIFS(tblActuals3541519[Team 1 GD],tblActuals3541519[Team 1],$CU6,tblActuals3541519[Team 2],EX$3)</f>
        <v>0</v>
      </c>
      <c r="EY6" s="56">
        <f>SUMIFS(tblActuals3541519[Team 2 GD],tblActuals3541519[Team 2],$CU6,tblActuals3541519[Team 1],EY$3)+SUMIFS(tblActuals3541519[Team 1 GD],tblActuals3541519[Team 1],$CU6,tblActuals3541519[Team 2],EY$3)</f>
        <v>0</v>
      </c>
      <c r="EZ6" s="56">
        <f>SUMIFS(tblActuals3541519[Team 2 GD],tblActuals3541519[Team 2],$CU6,tblActuals3541519[Team 1],EZ$3)+SUMIFS(tblActuals3541519[Team 1 GD],tblActuals3541519[Team 1],$CU6,tblActuals3541519[Team 2],EZ$3)</f>
        <v>0</v>
      </c>
      <c r="FA6" s="56">
        <f>SUMIFS(tblActuals3541519[Team 2 GD],tblActuals3541519[Team 2],$CU6,tblActuals3541519[Team 1],FA$3)+SUMIFS(tblActuals3541519[Team 1 GD],tblActuals3541519[Team 1],$CU6,tblActuals3541519[Team 2],FA$3)</f>
        <v>0</v>
      </c>
      <c r="FB6" s="57"/>
      <c r="FC6" s="57"/>
      <c r="FD6" s="57"/>
      <c r="FE6" s="57"/>
      <c r="FF6" s="57"/>
      <c r="FG6" s="57"/>
      <c r="FH6" s="57"/>
      <c r="FI6" s="57"/>
      <c r="FJ6" s="4"/>
      <c r="FK6" s="4" t="s">
        <v>125</v>
      </c>
      <c r="FL6" s="56">
        <f>SUMIFS(tblActuals3541519[Team 2 Goals],tblActuals3541519[Team 2],$CU6,tblActuals3541519[Team 1],FL$3)+SUMIFS(tblActuals3541519[Team 1 Goals],tblActuals3541519[Team 1],$CU6,tblActuals3541519[Team 2],FL$3)</f>
        <v>0</v>
      </c>
      <c r="FM6" s="56">
        <f>SUMIFS(tblActuals3541519[Team 2 Goals],tblActuals3541519[Team 2],$CU6,tblActuals3541519[Team 1],FM$3)+SUMIFS(tblActuals3541519[Team 1 Goals],tblActuals3541519[Team 1],$CU6,tblActuals3541519[Team 2],FM$3)</f>
        <v>0</v>
      </c>
      <c r="FN6" s="56">
        <f>SUMIFS(tblActuals3541519[Team 2 Goals],tblActuals3541519[Team 2],$CU6,tblActuals3541519[Team 1],FN$3)+SUMIFS(tblActuals3541519[Team 1 Goals],tblActuals3541519[Team 1],$CU6,tblActuals3541519[Team 2],FN$3)</f>
        <v>0</v>
      </c>
      <c r="FO6" s="56">
        <f>SUMIFS(tblActuals3541519[Team 2 Goals],tblActuals3541519[Team 2],$CU6,tblActuals3541519[Team 1],FO$3)+SUMIFS(tblActuals3541519[Team 1 Goals],tblActuals3541519[Team 1],$CU6,tblActuals3541519[Team 2],FO$3)</f>
        <v>0</v>
      </c>
      <c r="FP6" s="56">
        <f>SUMIFS(tblActuals3541519[Team 2 Goals],tblActuals3541519[Team 2],$CU6,tblActuals3541519[Team 1],FP$3)+SUMIFS(tblActuals3541519[Team 1 Goals],tblActuals3541519[Team 1],$CU6,tblActuals3541519[Team 2],FP$3)</f>
        <v>0</v>
      </c>
      <c r="FQ6" s="56">
        <f>SUMIFS(tblActuals3541519[Team 2 Goals],tblActuals3541519[Team 2],$CU6,tblActuals3541519[Team 1],FQ$3)+SUMIFS(tblActuals3541519[Team 1 Goals],tblActuals3541519[Team 1],$CU6,tblActuals3541519[Team 2],FQ$3)</f>
        <v>0</v>
      </c>
      <c r="FR6" s="56">
        <f>SUMIFS(tblActuals3541519[Team 2 Goals],tblActuals3541519[Team 2],$CU6,tblActuals3541519[Team 1],FR$3)+SUMIFS(tblActuals3541519[Team 1 Goals],tblActuals3541519[Team 1],$CU6,tblActuals3541519[Team 2],FR$3)</f>
        <v>0</v>
      </c>
      <c r="FS6" s="56">
        <f>SUMIFS(tblActuals3541519[Team 2 Goals],tblActuals3541519[Team 2],$CU6,tblActuals3541519[Team 1],FS$3)+SUMIFS(tblActuals3541519[Team 1 Goals],tblActuals3541519[Team 1],$CU6,tblActuals3541519[Team 2],FS$3)</f>
        <v>0</v>
      </c>
      <c r="FT6" s="56">
        <f>SUMIFS(tblActuals3541519[Team 2 Goals],tblActuals3541519[Team 2],$CU6,tblActuals3541519[Team 1],FT$3)+SUMIFS(tblActuals3541519[Team 1 Goals],tblActuals3541519[Team 1],$CU6,tblActuals3541519[Team 2],FT$3)</f>
        <v>0</v>
      </c>
      <c r="FU6" s="56">
        <f>SUMIFS(tblActuals3541519[Team 2 Goals],tblActuals3541519[Team 2],$CU6,tblActuals3541519[Team 1],FU$3)+SUMIFS(tblActuals3541519[Team 1 Goals],tblActuals3541519[Team 1],$CU6,tblActuals3541519[Team 2],FU$3)</f>
        <v>0</v>
      </c>
      <c r="FV6" s="56">
        <f>SUMIFS(tblActuals3541519[Team 2 Goals],tblActuals3541519[Team 2],$CU6,tblActuals3541519[Team 1],FV$3)+SUMIFS(tblActuals3541519[Team 1 Goals],tblActuals3541519[Team 1],$CU6,tblActuals3541519[Team 2],FV$3)</f>
        <v>0</v>
      </c>
      <c r="FW6" s="56">
        <f>SUMIFS(tblActuals3541519[Team 2 Goals],tblActuals3541519[Team 2],$CU6,tblActuals3541519[Team 1],FW$3)+SUMIFS(tblActuals3541519[Team 1 Goals],tblActuals3541519[Team 1],$CU6,tblActuals3541519[Team 2],FW$3)</f>
        <v>0</v>
      </c>
      <c r="FX6" s="56">
        <f>SUMIFS(tblActuals3541519[Team 2 Goals],tblActuals3541519[Team 2],$CU6,tblActuals3541519[Team 1],FX$3)+SUMIFS(tblActuals3541519[Team 1 Goals],tblActuals3541519[Team 1],$CU6,tblActuals3541519[Team 2],FX$3)</f>
        <v>0</v>
      </c>
      <c r="FY6" s="56">
        <f>SUMIFS(tblActuals3541519[Team 2 Goals],tblActuals3541519[Team 2],$CU6,tblActuals3541519[Team 1],FY$3)+SUMIFS(tblActuals3541519[Team 1 Goals],tblActuals3541519[Team 1],$CU6,tblActuals3541519[Team 2],FY$3)</f>
        <v>0</v>
      </c>
      <c r="FZ6" s="56">
        <f>SUMIFS(tblActuals3541519[Team 2 Goals],tblActuals3541519[Team 2],$CU6,tblActuals3541519[Team 1],FZ$3)+SUMIFS(tblActuals3541519[Team 1 Goals],tblActuals3541519[Team 1],$CU6,tblActuals3541519[Team 2],FZ$3)</f>
        <v>0</v>
      </c>
      <c r="GA6" s="56">
        <f>SUMIFS(tblActuals3541519[Team 2 Goals],tblActuals3541519[Team 2],$CU6,tblActuals3541519[Team 1],GA$3)+SUMIFS(tblActuals3541519[Team 1 Goals],tblActuals3541519[Team 1],$CU6,tblActuals3541519[Team 2],GA$3)</f>
        <v>0</v>
      </c>
      <c r="GB6" s="56">
        <f>SUMIFS(tblActuals3541519[Team 2 Goals],tblActuals3541519[Team 2],$CU6,tblActuals3541519[Team 1],GB$3)+SUMIFS(tblActuals3541519[Team 1 Goals],tblActuals3541519[Team 1],$CU6,tblActuals3541519[Team 2],GB$3)</f>
        <v>0</v>
      </c>
      <c r="GC6" s="56">
        <f>SUMIFS(tblActuals3541519[Team 2 Goals],tblActuals3541519[Team 2],$CU6,tblActuals3541519[Team 1],GC$3)+SUMIFS(tblActuals3541519[Team 1 Goals],tblActuals3541519[Team 1],$CU6,tblActuals3541519[Team 2],GC$3)</f>
        <v>0</v>
      </c>
      <c r="GD6" s="56">
        <f>SUMIFS(tblActuals3541519[Team 2 Goals],tblActuals3541519[Team 2],$CU6,tblActuals3541519[Team 1],GD$3)+SUMIFS(tblActuals3541519[Team 1 Goals],tblActuals3541519[Team 1],$CU6,tblActuals3541519[Team 2],GD$3)</f>
        <v>0</v>
      </c>
      <c r="GE6" s="56">
        <f>SUMIFS(tblActuals3541519[Team 2 Goals],tblActuals3541519[Team 2],$CU6,tblActuals3541519[Team 1],GE$3)+SUMIFS(tblActuals3541519[Team 1 Goals],tblActuals3541519[Team 1],$CU6,tblActuals3541519[Team 2],GE$3)</f>
        <v>0</v>
      </c>
      <c r="GF6" s="56">
        <f>SUMIFS(tblActuals3541519[Team 2 Goals],tblActuals3541519[Team 2],$CU6,tblActuals3541519[Team 1],GF$3)+SUMIFS(tblActuals3541519[Team 1 Goals],tblActuals3541519[Team 1],$CU6,tblActuals3541519[Team 2],GF$3)</f>
        <v>0</v>
      </c>
      <c r="GG6" s="56">
        <f>SUMIFS(tblActuals3541519[Team 2 Goals],tblActuals3541519[Team 2],$CU6,tblActuals3541519[Team 1],GG$3)+SUMIFS(tblActuals3541519[Team 1 Goals],tblActuals3541519[Team 1],$CU6,tblActuals3541519[Team 2],GG$3)</f>
        <v>0</v>
      </c>
      <c r="GH6" s="56">
        <f>SUMIFS(tblActuals3541519[Team 2 Goals],tblActuals3541519[Team 2],$CU6,tblActuals3541519[Team 1],GH$3)+SUMIFS(tblActuals3541519[Team 1 Goals],tblActuals3541519[Team 1],$CU6,tblActuals3541519[Team 2],GH$3)</f>
        <v>0</v>
      </c>
      <c r="GI6" s="56">
        <f>SUMIFS(tblActuals3541519[Team 2 Goals],tblActuals3541519[Team 2],$CU6,tblActuals3541519[Team 1],GI$3)+SUMIFS(tblActuals3541519[Team 1 Goals],tblActuals3541519[Team 1],$CU6,tblActuals3541519[Team 2],GI$3)</f>
        <v>0</v>
      </c>
      <c r="GJ6" s="57"/>
      <c r="GK6" s="57"/>
      <c r="GL6" s="37"/>
      <c r="GM6" s="37"/>
      <c r="GN6" s="37"/>
      <c r="GO6" s="37"/>
      <c r="GP6" s="37"/>
      <c r="GQ6" s="37"/>
      <c r="GR6" s="75"/>
      <c r="GS6" s="156"/>
      <c r="GT6" s="156"/>
      <c r="GU6" s="75"/>
      <c r="GV6" s="22"/>
      <c r="GW6" s="75"/>
      <c r="GX6" s="75"/>
      <c r="GY6" s="75"/>
      <c r="GZ6" s="75"/>
      <c r="HB6" s="4" t="str">
        <f t="shared" ref="HB6:HB19" si="12">_xlfn.CONCAT(HC6:HH6)</f>
        <v>ABCE</v>
      </c>
      <c r="HC6" s="44" t="s">
        <v>1</v>
      </c>
      <c r="HD6" s="44" t="s">
        <v>5</v>
      </c>
      <c r="HE6" s="44" t="s">
        <v>6</v>
      </c>
      <c r="HF6" s="45"/>
      <c r="HG6" s="44" t="s">
        <v>12</v>
      </c>
      <c r="HH6" s="45"/>
      <c r="HI6" s="178"/>
      <c r="HJ6" s="45" t="s">
        <v>149</v>
      </c>
      <c r="HK6" s="45" t="s">
        <v>153</v>
      </c>
      <c r="HL6" s="45" t="s">
        <v>151</v>
      </c>
      <c r="HM6" s="45" t="s">
        <v>152</v>
      </c>
    </row>
    <row r="7" spans="1:221" s="11" customFormat="1" ht="30" customHeight="1" x14ac:dyDescent="0.3">
      <c r="A7" s="6">
        <f>A6-2</f>
        <v>-6</v>
      </c>
      <c r="B7" s="122">
        <v>4</v>
      </c>
      <c r="C7" s="122" t="s">
        <v>5</v>
      </c>
      <c r="D7" s="123">
        <v>45458</v>
      </c>
      <c r="E7" s="122" t="s">
        <v>81</v>
      </c>
      <c r="F7" s="124">
        <v>0.875</v>
      </c>
      <c r="G7" s="125">
        <f t="shared" si="11"/>
        <v>45458.625</v>
      </c>
      <c r="H7" s="122" t="s">
        <v>92</v>
      </c>
      <c r="I7" s="126"/>
      <c r="J7" s="118"/>
      <c r="K7" s="118"/>
      <c r="L7" s="174">
        <f>IF(I7="",0,IFERROR(IF(SCORING.RULES!$C$8="No",1,((VLOOKUP($B7,ACTUALS!$B$4:$L$100,7,FALSE)=$H7)+(VLOOKUP($B7,ACTUALS!$B$4:$L$100,7,FALSE)=S7)))*(M7+N7+O7+P7+Q7),0))+$R7</f>
        <v>0</v>
      </c>
      <c r="M7" s="168">
        <f>IFERROR(IF($B7="","",IF(U7=INDEX(ACTUALS!$AA$4:$AA$100,MATCH($B7,ACTUALS!$B$4:$B$100,0),1),CorrectScore,0)),0)</f>
        <v>0</v>
      </c>
      <c r="N7" s="157" t="str">
        <f>IFERROR(IF(I7="","",IF(INDEX(ACTUALS!$AB$4:$AB$100,MATCH($B7,ACTUALS!$B$4:$B$100,0),1)=(AB7+AC7+AH7+AI7),CorrectNumberofGoals,0)),0)</f>
        <v/>
      </c>
      <c r="O7" s="157"/>
      <c r="P7" s="157">
        <f>IFERROR(IF(B7="","",IF(INDEX(ACTUALS!$L$4:$L$100,MATCH($B7,ACTUALS!$B$4:$B$100,0),1)=W7,CorrectResult,0)),0)</f>
        <v>3</v>
      </c>
      <c r="Q7" s="157"/>
      <c r="R7" s="157"/>
      <c r="S7" s="157" t="str">
        <f t="shared" si="0"/>
        <v/>
      </c>
      <c r="T7" s="157"/>
      <c r="U7" s="157" t="str">
        <f t="shared" si="1"/>
        <v/>
      </c>
      <c r="V7" s="157" t="str">
        <f t="shared" si="2"/>
        <v/>
      </c>
      <c r="W7" s="119" t="str">
        <f>IF(tblActuals3541519[[#This Row],[SCORE]]="","",IF(AB7=AC7,"Draw",IF(AB7&gt;AC7,X7,Y7)))</f>
        <v/>
      </c>
      <c r="X7" s="120" t="str">
        <f>IF(tblActuals3541519[[#This Row],[TEAMS]]="","",LEFT(H7,FIND(" -",H7,1)-1))</f>
        <v>Italy</v>
      </c>
      <c r="Y7" s="120" t="str">
        <f>IF(tblActuals3541519[[#This Row],[TEAMS]]="","",MID(H7,FIND("-",H7,1)+2,LEN(H7)-FIND("-",H7,1)+2))</f>
        <v>Albania</v>
      </c>
      <c r="Z7" s="120" t="str">
        <f>IF(tblActuals3541519[[#This Row],[Team 1 Goals]]&gt;tblActuals3541519[[#This Row],[Team 2 Goals]],tblActuals3541519[[#This Row],[Team 1]],IF(tblActuals3541519[[#This Row],[Team 2 Goals]]&gt;tblActuals3541519[[#This Row],[Team 1 Goals]],tblActuals3541519[[#This Row],[Team 2]],""))</f>
        <v/>
      </c>
      <c r="AA7" s="120" t="str">
        <f>IF(tblActuals3541519[[#This Row],[Winner]]=tblActuals3541519[[#This Row],[Team 1]],tblActuals3541519[[#This Row],[Team 2]],IF(tblActuals3541519[[#This Row],[Winner]]=tblActuals3541519[[#This Row],[Team 2]],tblActuals3541519[[#This Row],[Team 1]],""))</f>
        <v/>
      </c>
      <c r="AB7" s="120" t="str">
        <f>IF(tblActuals3541519[[#This Row],[SCORE]]="","",LEFT(I7,FIND(":",I7,1)-1)*1)</f>
        <v/>
      </c>
      <c r="AC7" s="120" t="str">
        <f>IF(tblActuals3541519[[#This Row],[SCORE]]="","",MID(I7,FIND(":",I7,1)+1,LEN(I7)-FIND(":",I7,1)+1)*1)</f>
        <v/>
      </c>
      <c r="AD7" s="120" t="str">
        <f>IF(OR(tblActuals3541519[[#This Row],[Team 1 Goals]]="",tblActuals3541519[[#This Row],[Team 2 Goals]]=""),"",tblActuals3541519[[#This Row],[Team 1 Goals]]-tblActuals3541519[[#This Row],[Team 2 Goals]])</f>
        <v/>
      </c>
      <c r="AE7" s="120" t="str">
        <f>IF(OR(tblActuals3541519[[#This Row],[Team 1 Goals]]="",tblActuals3541519[[#This Row],[Team 2 Goals]]=""),"",tblActuals3541519[[#This Row],[Team 2 Goals]]-tblActuals3541519[[#This Row],[Team 1 Goals]])</f>
        <v/>
      </c>
      <c r="AF7" s="120" t="str">
        <f>IF(tblActuals3541519[[#This Row],[SCORE]]="","",IF(tblActuals3541519[[#This Row],[WINNER / RESULT]]="Draw",1,IF(tblActuals3541519[[#This Row],[WINNER / RESULT]]=tblActuals3541519[[#This Row],[Team 1]],3,0)))</f>
        <v/>
      </c>
      <c r="AG7" s="120" t="str">
        <f>IF(tblActuals3541519[[#This Row],[SCORE]]="","",IF(tblActuals3541519[[#This Row],[WINNER / RESULT]]="Draw",1,IF(tblActuals3541519[[#This Row],[WINNER / RESULT]]=tblActuals3541519[[#This Row],[Team 2]],3,0)))</f>
        <v/>
      </c>
      <c r="AH7" s="121"/>
      <c r="AI7" s="121"/>
      <c r="AJ7" s="121"/>
      <c r="AK7" s="121"/>
      <c r="AL7" s="120" t="e">
        <f>tblActuals3541519[[#This Row],[Team 1 Goals]]+tblActuals3541519[[#This Row],[Team 1 ET Goals]]&amp;":"&amp;tblActuals3541519[[#This Row],[Team 2 Goals]]+tblActuals3541519[[#This Row],[Team 2 ET Goals]]</f>
        <v>#VALUE!</v>
      </c>
      <c r="AM7" s="120" t="e">
        <f>+tblActuals3541519[[#This Row],[Team 1 Goals]]+tblActuals3541519[[#This Row],[Team 2 Goals]]</f>
        <v>#VALUE!</v>
      </c>
      <c r="AN7" s="161">
        <f t="shared" si="3"/>
        <v>45458</v>
      </c>
      <c r="AP7" s="38" t="s">
        <v>81</v>
      </c>
      <c r="AT7" s="77" t="s">
        <v>1</v>
      </c>
      <c r="AU7" s="139">
        <v>2</v>
      </c>
      <c r="AV7" s="140" t="str">
        <f ca="1">IFERROR(INDEX(BD:BD,MATCH("2"&amp;AT7,BN:BN,0),1),"")</f>
        <v>Hungary</v>
      </c>
      <c r="AW7" s="140" t="str">
        <f ca="1">IF(AV7="","",VLOOKUP(AV7,BD:BI,2,FALSE)&amp;"-"&amp;VLOOKUP(AV7,BD:BI,3,FALSE)&amp;"-"&amp;VLOOKUP(AV7,BD:BI,4,FALSE))</f>
        <v>0-0-0</v>
      </c>
      <c r="AX7" s="140">
        <f ca="1">IF(AV7="","",VLOOKUP(AV7,BD:BK,8,FALSE))</f>
        <v>0</v>
      </c>
      <c r="AY7" s="141">
        <f ca="1">IF(AV7="","",VLOOKUP(AV7,BD:BN,5,FALSE))</f>
        <v>0</v>
      </c>
      <c r="AZ7" s="75"/>
      <c r="BA7" s="42"/>
      <c r="BB7" s="4"/>
      <c r="BC7" s="4" t="s">
        <v>1</v>
      </c>
      <c r="BD7" s="4" t="s">
        <v>31</v>
      </c>
      <c r="BE7" s="4">
        <f>COUNTIF(tblActuals3541519[Winner],BD7)</f>
        <v>0</v>
      </c>
      <c r="BF7" s="4">
        <f>COUNTIFS(tblActuals3541519[Team 2],BD7,tblActuals3541519[WINNER / RESULT],"Draw")+COUNTIFS(tblActuals3541519[Team 1],BD7,tblActuals3541519[WINNER / RESULT],"Draw")</f>
        <v>0</v>
      </c>
      <c r="BG7" s="4">
        <f>COUNTIF(tblActuals3541519[Loser],BD7)</f>
        <v>0</v>
      </c>
      <c r="BH7" s="4">
        <f>BF7+(3*BE7)</f>
        <v>0</v>
      </c>
      <c r="BI7" s="4">
        <f>SUMIFS(tblActuals3541519[Team 1 Goals],tblActuals3541519[Team 1],BD7)+SUMIFS(tblActuals3541519[Team 2 Goals],tblActuals3541519[Team 2],BD7)</f>
        <v>0</v>
      </c>
      <c r="BJ7" s="4">
        <f>SUMIFS(tblActuals3541519[Team 2 Goals],tblActuals3541519[Team 1],BD7)+SUMIFS(tblActuals3541519[Team 1 Goals],tblActuals3541519[Team 2],BD7)</f>
        <v>0</v>
      </c>
      <c r="BK7" s="4">
        <f>BI7-BJ7</f>
        <v>0</v>
      </c>
      <c r="BL7" s="4">
        <f ca="1">RANK(BY7,$BY$4:$BY$7,1)</f>
        <v>4</v>
      </c>
      <c r="BM7" s="4" t="str">
        <f t="shared" si="4"/>
        <v/>
      </c>
      <c r="BN7" s="4" t="str">
        <f ca="1">IF(BM7="",BL7&amp;BC7,BM7&amp;BC7)</f>
        <v>4A</v>
      </c>
      <c r="BO7" s="4">
        <f>RANK(BH7,$BH$4:$BH$7,0)</f>
        <v>1</v>
      </c>
      <c r="BP7" s="4" cm="1">
        <f t="array" aca="1" ref="BP7" ca="1">SUMPRODUCT((OFFSET($CV$3:$EA$3,MATCH($BD7,$CU$4:$CU$35,0),0))*((IF($BO5=$BO7,$CV$3:$EA$3=$BD5,0))+(IF($BO4=$BO7,$CV$3:$EA$3=$BD4,0))+(IF($BO6=$BO7,$CV$3:$EA$3=$BD6,0))))</f>
        <v>0</v>
      </c>
      <c r="BQ7" s="4" cm="1">
        <f t="array" aca="1" ref="BQ7" ca="1">SUMPRODUCT((OFFSET($ED$3:$FI$3,MATCH($BD7,$EC$4:$EC$35,0),0))*((IF($BO5=$BO7,$ED$3:$FI$3=$BD5,0))+(IF($BO4=$BO7,$ED$3:$FI$3=$BD4,0))+(IF($BO6=$BO7,$ED$3:$FI$3=$BD6,0))))</f>
        <v>0</v>
      </c>
      <c r="BR7" s="4" cm="1">
        <f t="array" aca="1" ref="BR7" ca="1">SUMPRODUCT((OFFSET($FL$3:$GQ$3,MATCH($BD7,$FK$4:$FK$35,0),0))*((IF($BO5=$BO7,$FL$3:$GQ$3=$BD5,0))+(IF($BO4=$BO7,$FL$3:$GQ$3=$BD4,0))+(IF($BO6=$BO7,$FL$3:$GQ$3=$BD6,0))))</f>
        <v>0</v>
      </c>
      <c r="BS7" s="4" cm="1">
        <f t="array" aca="1" ref="BS7" ca="1">SUMPRODUCT((OFFSET($CV$3:$EA$3,MATCH($BD7,$CU$4:$CU$35,0),0))*((IF($BO5&lt;&gt;$BO7,$CV$3:$EA$3=$BD5,0))+(IF($BO4&lt;&gt;$BO7,$CV$3:$EA$3=$BD4,0))+(IF($BO6&lt;&gt;$BO7,$CV$3:$EA$3=$BD6,0))))</f>
        <v>0</v>
      </c>
      <c r="BT7" s="4" cm="1">
        <f t="array" aca="1" ref="BT7" ca="1">SUMPRODUCT((OFFSET($ED$3:$FI$3,MATCH($BD7,$EC$4:$EC$35,0),0))*((IF($BO5&lt;&gt;$BO7,$ED$3:$FI$3=$BD5,0))+(IF($BO4&lt;&gt;$BO7,$ED$3:$FI$3=$BD4,0))+(IF($BO6&lt;&gt;$BO7,$ED$3:$FI$3=$BD6,0))))</f>
        <v>0</v>
      </c>
      <c r="BU7" s="4" cm="1">
        <f t="array" aca="1" ref="BU7" ca="1">SUMPRODUCT((OFFSET($FL$3:$GQ$3,MATCH($BD7,$FK$4:$FK$35,0),0))*((IF($BO5&lt;&gt;$BO7,$FL$3:$GQ$3=$BD5,0))+(IF($BO4&lt;&gt;$BO7,$FL$3:$GQ$3=$BD4,0))+(IF($BO6&lt;&gt;$BO7,$FL$3:$GQ$3=$BD6,0))))</f>
        <v>0</v>
      </c>
      <c r="BV7" s="4">
        <f>BK7</f>
        <v>0</v>
      </c>
      <c r="BW7" s="4">
        <f>BI7</f>
        <v>0</v>
      </c>
      <c r="BX7" s="4">
        <f ca="1">(BP7/10)+(BQ7/100)+(BR7/1000)+(BT7/10000)+(BU7/100000)+(BV7/1000000)+(BW7/10000000)+(ROW(BS4)/100000000)</f>
        <v>4.0000000000000001E-8</v>
      </c>
      <c r="BY7" s="4">
        <f ca="1">+BO7-BX7</f>
        <v>0.99999996000000002</v>
      </c>
      <c r="BZ7" s="4"/>
      <c r="CA7" s="4" t="s">
        <v>7</v>
      </c>
      <c r="CB7" s="4" t="str">
        <f ca="1">AV26</f>
        <v>Netherlands</v>
      </c>
      <c r="CC7" s="4">
        <f t="shared" ca="1" si="5"/>
        <v>0</v>
      </c>
      <c r="CD7" s="4">
        <f t="shared" ca="1" si="6"/>
        <v>0</v>
      </c>
      <c r="CE7" s="4">
        <f t="shared" ca="1" si="7"/>
        <v>0</v>
      </c>
      <c r="CF7" s="4">
        <f t="shared" ca="1" si="8"/>
        <v>0</v>
      </c>
      <c r="CG7" s="4">
        <f t="shared" ca="1" si="9"/>
        <v>6.9999999999999997E-7</v>
      </c>
      <c r="CH7" s="4">
        <f t="shared" ca="1" si="10"/>
        <v>3</v>
      </c>
      <c r="CI7" s="4"/>
      <c r="CJ7" s="4"/>
      <c r="CK7" s="4"/>
      <c r="CL7" s="4"/>
      <c r="CM7" s="4"/>
      <c r="CN7" s="4"/>
      <c r="CO7" s="4"/>
      <c r="CP7" s="4"/>
      <c r="CQ7" s="4"/>
      <c r="CR7" s="4"/>
      <c r="CU7" s="4" t="s">
        <v>31</v>
      </c>
      <c r="CV7" s="56">
        <f>SUMIFS(tblActuals3541519[Team 2 Points],tblActuals3541519[Team 2],$CU7,tblActuals3541519[Team 1],CV$3)+SUMIFS(tblActuals3541519[Team 1 Points],tblActuals3541519[Team 1],$CU7,tblActuals3541519[Team 2],CV$3)</f>
        <v>0</v>
      </c>
      <c r="CW7" s="56">
        <f>SUMIFS(tblActuals3541519[Team 2 Points],tblActuals3541519[Team 2],$CU7,tblActuals3541519[Team 1],CW$3)+SUMIFS(tblActuals3541519[Team 1 Points],tblActuals3541519[Team 1],$CU7,tblActuals3541519[Team 2],CW$3)</f>
        <v>0</v>
      </c>
      <c r="CX7" s="56">
        <f>SUMIFS(tblActuals3541519[Team 2 Points],tblActuals3541519[Team 2],$CU7,tblActuals3541519[Team 1],CX$3)+SUMIFS(tblActuals3541519[Team 1 Points],tblActuals3541519[Team 1],$CU7,tblActuals3541519[Team 2],CX$3)</f>
        <v>0</v>
      </c>
      <c r="CY7" s="56">
        <f>SUMIFS(tblActuals3541519[Team 2 Points],tblActuals3541519[Team 2],$CU7,tblActuals3541519[Team 1],CY$3)+SUMIFS(tblActuals3541519[Team 1 Points],tblActuals3541519[Team 1],$CU7,tblActuals3541519[Team 2],CY$3)</f>
        <v>0</v>
      </c>
      <c r="CZ7" s="56">
        <f>SUMIFS(tblActuals3541519[Team 2 Points],tblActuals3541519[Team 2],$CU7,tblActuals3541519[Team 1],CZ$3)+SUMIFS(tblActuals3541519[Team 1 Points],tblActuals3541519[Team 1],$CU7,tblActuals3541519[Team 2],CZ$3)</f>
        <v>0</v>
      </c>
      <c r="DA7" s="56">
        <f>SUMIFS(tblActuals3541519[Team 2 Points],tblActuals3541519[Team 2],$CU7,tblActuals3541519[Team 1],DA$3)+SUMIFS(tblActuals3541519[Team 1 Points],tblActuals3541519[Team 1],$CU7,tblActuals3541519[Team 2],DA$3)</f>
        <v>0</v>
      </c>
      <c r="DB7" s="56">
        <f>SUMIFS(tblActuals3541519[Team 2 Points],tblActuals3541519[Team 2],$CU7,tblActuals3541519[Team 1],DB$3)+SUMIFS(tblActuals3541519[Team 1 Points],tblActuals3541519[Team 1],$CU7,tblActuals3541519[Team 2],DB$3)</f>
        <v>0</v>
      </c>
      <c r="DC7" s="56">
        <f>SUMIFS(tblActuals3541519[Team 2 Points],tblActuals3541519[Team 2],$CU7,tblActuals3541519[Team 1],DC$3)+SUMIFS(tblActuals3541519[Team 1 Points],tblActuals3541519[Team 1],$CU7,tblActuals3541519[Team 2],DC$3)</f>
        <v>0</v>
      </c>
      <c r="DD7" s="56">
        <f>SUMIFS(tblActuals3541519[Team 2 Points],tblActuals3541519[Team 2],$CU7,tblActuals3541519[Team 1],DD$3)+SUMIFS(tblActuals3541519[Team 1 Points],tblActuals3541519[Team 1],$CU7,tblActuals3541519[Team 2],DD$3)</f>
        <v>0</v>
      </c>
      <c r="DE7" s="56">
        <f>SUMIFS(tblActuals3541519[Team 2 Points],tblActuals3541519[Team 2],$CU7,tblActuals3541519[Team 1],DE$3)+SUMIFS(tblActuals3541519[Team 1 Points],tblActuals3541519[Team 1],$CU7,tblActuals3541519[Team 2],DE$3)</f>
        <v>0</v>
      </c>
      <c r="DF7" s="56">
        <f>SUMIFS(tblActuals3541519[Team 2 Points],tblActuals3541519[Team 2],$CU7,tblActuals3541519[Team 1],DF$3)+SUMIFS(tblActuals3541519[Team 1 Points],tblActuals3541519[Team 1],$CU7,tblActuals3541519[Team 2],DF$3)</f>
        <v>0</v>
      </c>
      <c r="DG7" s="56">
        <f>SUMIFS(tblActuals3541519[Team 2 Points],tblActuals3541519[Team 2],$CU7,tblActuals3541519[Team 1],DG$3)+SUMIFS(tblActuals3541519[Team 1 Points],tblActuals3541519[Team 1],$CU7,tblActuals3541519[Team 2],DG$3)</f>
        <v>0</v>
      </c>
      <c r="DH7" s="56">
        <f>SUMIFS(tblActuals3541519[Team 2 Points],tblActuals3541519[Team 2],$CU7,tblActuals3541519[Team 1],DH$3)+SUMIFS(tblActuals3541519[Team 1 Points],tblActuals3541519[Team 1],$CU7,tblActuals3541519[Team 2],DH$3)</f>
        <v>0</v>
      </c>
      <c r="DI7" s="56">
        <f>SUMIFS(tblActuals3541519[Team 2 Points],tblActuals3541519[Team 2],$CU7,tblActuals3541519[Team 1],DI$3)+SUMIFS(tblActuals3541519[Team 1 Points],tblActuals3541519[Team 1],$CU7,tblActuals3541519[Team 2],DI$3)</f>
        <v>0</v>
      </c>
      <c r="DJ7" s="56">
        <f>SUMIFS(tblActuals3541519[Team 2 Points],tblActuals3541519[Team 2],$CU7,tblActuals3541519[Team 1],DJ$3)+SUMIFS(tblActuals3541519[Team 1 Points],tblActuals3541519[Team 1],$CU7,tblActuals3541519[Team 2],DJ$3)</f>
        <v>0</v>
      </c>
      <c r="DK7" s="56">
        <f>SUMIFS(tblActuals3541519[Team 2 Points],tblActuals3541519[Team 2],$CU7,tblActuals3541519[Team 1],DK$3)+SUMIFS(tblActuals3541519[Team 1 Points],tblActuals3541519[Team 1],$CU7,tblActuals3541519[Team 2],DK$3)</f>
        <v>0</v>
      </c>
      <c r="DL7" s="56">
        <f>SUMIFS(tblActuals3541519[Team 2 Points],tblActuals3541519[Team 2],$CU7,tblActuals3541519[Team 1],DL$3)+SUMIFS(tblActuals3541519[Team 1 Points],tblActuals3541519[Team 1],$CU7,tblActuals3541519[Team 2],DL$3)</f>
        <v>0</v>
      </c>
      <c r="DM7" s="56">
        <f>SUMIFS(tblActuals3541519[Team 2 Points],tblActuals3541519[Team 2],$CU7,tblActuals3541519[Team 1],DM$3)+SUMIFS(tblActuals3541519[Team 1 Points],tblActuals3541519[Team 1],$CU7,tblActuals3541519[Team 2],DM$3)</f>
        <v>0</v>
      </c>
      <c r="DN7" s="56">
        <f>SUMIFS(tblActuals3541519[Team 2 Points],tblActuals3541519[Team 2],$CU7,tblActuals3541519[Team 1],DN$3)+SUMIFS(tblActuals3541519[Team 1 Points],tblActuals3541519[Team 1],$CU7,tblActuals3541519[Team 2],DN$3)</f>
        <v>0</v>
      </c>
      <c r="DO7" s="56">
        <f>SUMIFS(tblActuals3541519[Team 2 Points],tblActuals3541519[Team 2],$CU7,tblActuals3541519[Team 1],DO$3)+SUMIFS(tblActuals3541519[Team 1 Points],tblActuals3541519[Team 1],$CU7,tblActuals3541519[Team 2],DO$3)</f>
        <v>0</v>
      </c>
      <c r="DP7" s="56">
        <f>SUMIFS(tblActuals3541519[Team 2 Points],tblActuals3541519[Team 2],$CU7,tblActuals3541519[Team 1],DP$3)+SUMIFS(tblActuals3541519[Team 1 Points],tblActuals3541519[Team 1],$CU7,tblActuals3541519[Team 2],DP$3)</f>
        <v>0</v>
      </c>
      <c r="DQ7" s="56">
        <f>SUMIFS(tblActuals3541519[Team 2 Points],tblActuals3541519[Team 2],$CU7,tblActuals3541519[Team 1],DQ$3)+SUMIFS(tblActuals3541519[Team 1 Points],tblActuals3541519[Team 1],$CU7,tblActuals3541519[Team 2],DQ$3)</f>
        <v>0</v>
      </c>
      <c r="DR7" s="56">
        <f>SUMIFS(tblActuals3541519[Team 2 Points],tblActuals3541519[Team 2],$CU7,tblActuals3541519[Team 1],DR$3)+SUMIFS(tblActuals3541519[Team 1 Points],tblActuals3541519[Team 1],$CU7,tblActuals3541519[Team 2],DR$3)</f>
        <v>0</v>
      </c>
      <c r="DS7" s="56">
        <f>SUMIFS(tblActuals3541519[Team 2 Points],tblActuals3541519[Team 2],$CU7,tblActuals3541519[Team 1],DS$3)+SUMIFS(tblActuals3541519[Team 1 Points],tblActuals3541519[Team 1],$CU7,tblActuals3541519[Team 2],DS$3)</f>
        <v>0</v>
      </c>
      <c r="DT7" s="57"/>
      <c r="DU7" s="57"/>
      <c r="DV7" s="57"/>
      <c r="DW7" s="57"/>
      <c r="DX7" s="57"/>
      <c r="DY7" s="57"/>
      <c r="DZ7" s="57"/>
      <c r="EA7" s="57"/>
      <c r="EB7" s="4"/>
      <c r="EC7" s="4" t="s">
        <v>31</v>
      </c>
      <c r="ED7" s="56">
        <f>SUMIFS(tblActuals3541519[Team 2 GD],tblActuals3541519[Team 2],$CU7,tblActuals3541519[Team 1],ED$3)+SUMIFS(tblActuals3541519[Team 1 GD],tblActuals3541519[Team 1],$CU7,tblActuals3541519[Team 2],ED$3)</f>
        <v>0</v>
      </c>
      <c r="EE7" s="56">
        <f>SUMIFS(tblActuals3541519[Team 2 GD],tblActuals3541519[Team 2],$CU7,tblActuals3541519[Team 1],EE$3)+SUMIFS(tblActuals3541519[Team 1 GD],tblActuals3541519[Team 1],$CU7,tblActuals3541519[Team 2],EE$3)</f>
        <v>0</v>
      </c>
      <c r="EF7" s="56">
        <f>SUMIFS(tblActuals3541519[Team 2 GD],tblActuals3541519[Team 2],$CU7,tblActuals3541519[Team 1],EF$3)+SUMIFS(tblActuals3541519[Team 1 GD],tblActuals3541519[Team 1],$CU7,tblActuals3541519[Team 2],EF$3)</f>
        <v>0</v>
      </c>
      <c r="EG7" s="56">
        <f>SUMIFS(tblActuals3541519[Team 2 GD],tblActuals3541519[Team 2],$CU7,tblActuals3541519[Team 1],EG$3)+SUMIFS(tblActuals3541519[Team 1 GD],tblActuals3541519[Team 1],$CU7,tblActuals3541519[Team 2],EG$3)</f>
        <v>0</v>
      </c>
      <c r="EH7" s="56">
        <f>SUMIFS(tblActuals3541519[Team 2 GD],tblActuals3541519[Team 2],$CU7,tblActuals3541519[Team 1],EH$3)+SUMIFS(tblActuals3541519[Team 1 GD],tblActuals3541519[Team 1],$CU7,tblActuals3541519[Team 2],EH$3)</f>
        <v>0</v>
      </c>
      <c r="EI7" s="56">
        <f>SUMIFS(tblActuals3541519[Team 2 GD],tblActuals3541519[Team 2],$CU7,tblActuals3541519[Team 1],EI$3)+SUMIFS(tblActuals3541519[Team 1 GD],tblActuals3541519[Team 1],$CU7,tblActuals3541519[Team 2],EI$3)</f>
        <v>0</v>
      </c>
      <c r="EJ7" s="56">
        <f>SUMIFS(tblActuals3541519[Team 2 GD],tblActuals3541519[Team 2],$CU7,tblActuals3541519[Team 1],EJ$3)+SUMIFS(tblActuals3541519[Team 1 GD],tblActuals3541519[Team 1],$CU7,tblActuals3541519[Team 2],EJ$3)</f>
        <v>0</v>
      </c>
      <c r="EK7" s="56">
        <f>SUMIFS(tblActuals3541519[Team 2 GD],tblActuals3541519[Team 2],$CU7,tblActuals3541519[Team 1],EK$3)+SUMIFS(tblActuals3541519[Team 1 GD],tblActuals3541519[Team 1],$CU7,tblActuals3541519[Team 2],EK$3)</f>
        <v>0</v>
      </c>
      <c r="EL7" s="56">
        <f>SUMIFS(tblActuals3541519[Team 2 GD],tblActuals3541519[Team 2],$CU7,tblActuals3541519[Team 1],EL$3)+SUMIFS(tblActuals3541519[Team 1 GD],tblActuals3541519[Team 1],$CU7,tblActuals3541519[Team 2],EL$3)</f>
        <v>0</v>
      </c>
      <c r="EM7" s="56">
        <f>SUMIFS(tblActuals3541519[Team 2 GD],tblActuals3541519[Team 2],$CU7,tblActuals3541519[Team 1],EM$3)+SUMIFS(tblActuals3541519[Team 1 GD],tblActuals3541519[Team 1],$CU7,tblActuals3541519[Team 2],EM$3)</f>
        <v>0</v>
      </c>
      <c r="EN7" s="56">
        <f>SUMIFS(tblActuals3541519[Team 2 GD],tblActuals3541519[Team 2],$CU7,tblActuals3541519[Team 1],EN$3)+SUMIFS(tblActuals3541519[Team 1 GD],tblActuals3541519[Team 1],$CU7,tblActuals3541519[Team 2],EN$3)</f>
        <v>0</v>
      </c>
      <c r="EO7" s="56">
        <f>SUMIFS(tblActuals3541519[Team 2 GD],tblActuals3541519[Team 2],$CU7,tblActuals3541519[Team 1],EO$3)+SUMIFS(tblActuals3541519[Team 1 GD],tblActuals3541519[Team 1],$CU7,tblActuals3541519[Team 2],EO$3)</f>
        <v>0</v>
      </c>
      <c r="EP7" s="56">
        <f>SUMIFS(tblActuals3541519[Team 2 GD],tblActuals3541519[Team 2],$CU7,tblActuals3541519[Team 1],EP$3)+SUMIFS(tblActuals3541519[Team 1 GD],tblActuals3541519[Team 1],$CU7,tblActuals3541519[Team 2],EP$3)</f>
        <v>0</v>
      </c>
      <c r="EQ7" s="56">
        <f>SUMIFS(tblActuals3541519[Team 2 GD],tblActuals3541519[Team 2],$CU7,tblActuals3541519[Team 1],EQ$3)+SUMIFS(tblActuals3541519[Team 1 GD],tblActuals3541519[Team 1],$CU7,tblActuals3541519[Team 2],EQ$3)</f>
        <v>0</v>
      </c>
      <c r="ER7" s="56">
        <f>SUMIFS(tblActuals3541519[Team 2 GD],tblActuals3541519[Team 2],$CU7,tblActuals3541519[Team 1],ER$3)+SUMIFS(tblActuals3541519[Team 1 GD],tblActuals3541519[Team 1],$CU7,tblActuals3541519[Team 2],ER$3)</f>
        <v>0</v>
      </c>
      <c r="ES7" s="56">
        <f>SUMIFS(tblActuals3541519[Team 2 GD],tblActuals3541519[Team 2],$CU7,tblActuals3541519[Team 1],ES$3)+SUMIFS(tblActuals3541519[Team 1 GD],tblActuals3541519[Team 1],$CU7,tblActuals3541519[Team 2],ES$3)</f>
        <v>0</v>
      </c>
      <c r="ET7" s="56">
        <f>SUMIFS(tblActuals3541519[Team 2 GD],tblActuals3541519[Team 2],$CU7,tblActuals3541519[Team 1],ET$3)+SUMIFS(tblActuals3541519[Team 1 GD],tblActuals3541519[Team 1],$CU7,tblActuals3541519[Team 2],ET$3)</f>
        <v>0</v>
      </c>
      <c r="EU7" s="56">
        <f>SUMIFS(tblActuals3541519[Team 2 GD],tblActuals3541519[Team 2],$CU7,tblActuals3541519[Team 1],EU$3)+SUMIFS(tblActuals3541519[Team 1 GD],tblActuals3541519[Team 1],$CU7,tblActuals3541519[Team 2],EU$3)</f>
        <v>0</v>
      </c>
      <c r="EV7" s="56">
        <f>SUMIFS(tblActuals3541519[Team 2 GD],tblActuals3541519[Team 2],$CU7,tblActuals3541519[Team 1],EV$3)+SUMIFS(tblActuals3541519[Team 1 GD],tblActuals3541519[Team 1],$CU7,tblActuals3541519[Team 2],EV$3)</f>
        <v>0</v>
      </c>
      <c r="EW7" s="56">
        <f>SUMIFS(tblActuals3541519[Team 2 GD],tblActuals3541519[Team 2],$CU7,tblActuals3541519[Team 1],EW$3)+SUMIFS(tblActuals3541519[Team 1 GD],tblActuals3541519[Team 1],$CU7,tblActuals3541519[Team 2],EW$3)</f>
        <v>0</v>
      </c>
      <c r="EX7" s="56">
        <f>SUMIFS(tblActuals3541519[Team 2 GD],tblActuals3541519[Team 2],$CU7,tblActuals3541519[Team 1],EX$3)+SUMIFS(tblActuals3541519[Team 1 GD],tblActuals3541519[Team 1],$CU7,tblActuals3541519[Team 2],EX$3)</f>
        <v>0</v>
      </c>
      <c r="EY7" s="56">
        <f>SUMIFS(tblActuals3541519[Team 2 GD],tblActuals3541519[Team 2],$CU7,tblActuals3541519[Team 1],EY$3)+SUMIFS(tblActuals3541519[Team 1 GD],tblActuals3541519[Team 1],$CU7,tblActuals3541519[Team 2],EY$3)</f>
        <v>0</v>
      </c>
      <c r="EZ7" s="56">
        <f>SUMIFS(tblActuals3541519[Team 2 GD],tblActuals3541519[Team 2],$CU7,tblActuals3541519[Team 1],EZ$3)+SUMIFS(tblActuals3541519[Team 1 GD],tblActuals3541519[Team 1],$CU7,tblActuals3541519[Team 2],EZ$3)</f>
        <v>0</v>
      </c>
      <c r="FA7" s="56">
        <f>SUMIFS(tblActuals3541519[Team 2 GD],tblActuals3541519[Team 2],$CU7,tblActuals3541519[Team 1],FA$3)+SUMIFS(tblActuals3541519[Team 1 GD],tblActuals3541519[Team 1],$CU7,tblActuals3541519[Team 2],FA$3)</f>
        <v>0</v>
      </c>
      <c r="FB7" s="57"/>
      <c r="FC7" s="57"/>
      <c r="FD7" s="57"/>
      <c r="FE7" s="57"/>
      <c r="FF7" s="57"/>
      <c r="FG7" s="57"/>
      <c r="FH7" s="57"/>
      <c r="FI7" s="57"/>
      <c r="FJ7" s="4"/>
      <c r="FK7" s="4" t="s">
        <v>31</v>
      </c>
      <c r="FL7" s="56">
        <f>SUMIFS(tblActuals3541519[Team 2 Goals],tblActuals3541519[Team 2],$CU7,tblActuals3541519[Team 1],FL$3)+SUMIFS(tblActuals3541519[Team 1 Goals],tblActuals3541519[Team 1],$CU7,tblActuals3541519[Team 2],FL$3)</f>
        <v>0</v>
      </c>
      <c r="FM7" s="56">
        <f>SUMIFS(tblActuals3541519[Team 2 Goals],tblActuals3541519[Team 2],$CU7,tblActuals3541519[Team 1],FM$3)+SUMIFS(tblActuals3541519[Team 1 Goals],tblActuals3541519[Team 1],$CU7,tblActuals3541519[Team 2],FM$3)</f>
        <v>0</v>
      </c>
      <c r="FN7" s="56">
        <f>SUMIFS(tblActuals3541519[Team 2 Goals],tblActuals3541519[Team 2],$CU7,tblActuals3541519[Team 1],FN$3)+SUMIFS(tblActuals3541519[Team 1 Goals],tblActuals3541519[Team 1],$CU7,tblActuals3541519[Team 2],FN$3)</f>
        <v>0</v>
      </c>
      <c r="FO7" s="56">
        <f>SUMIFS(tblActuals3541519[Team 2 Goals],tblActuals3541519[Team 2],$CU7,tblActuals3541519[Team 1],FO$3)+SUMIFS(tblActuals3541519[Team 1 Goals],tblActuals3541519[Team 1],$CU7,tblActuals3541519[Team 2],FO$3)</f>
        <v>0</v>
      </c>
      <c r="FP7" s="56">
        <f>SUMIFS(tblActuals3541519[Team 2 Goals],tblActuals3541519[Team 2],$CU7,tblActuals3541519[Team 1],FP$3)+SUMIFS(tblActuals3541519[Team 1 Goals],tblActuals3541519[Team 1],$CU7,tblActuals3541519[Team 2],FP$3)</f>
        <v>0</v>
      </c>
      <c r="FQ7" s="56">
        <f>SUMIFS(tblActuals3541519[Team 2 Goals],tblActuals3541519[Team 2],$CU7,tblActuals3541519[Team 1],FQ$3)+SUMIFS(tblActuals3541519[Team 1 Goals],tblActuals3541519[Team 1],$CU7,tblActuals3541519[Team 2],FQ$3)</f>
        <v>0</v>
      </c>
      <c r="FR7" s="56">
        <f>SUMIFS(tblActuals3541519[Team 2 Goals],tblActuals3541519[Team 2],$CU7,tblActuals3541519[Team 1],FR$3)+SUMIFS(tblActuals3541519[Team 1 Goals],tblActuals3541519[Team 1],$CU7,tblActuals3541519[Team 2],FR$3)</f>
        <v>0</v>
      </c>
      <c r="FS7" s="56">
        <f>SUMIFS(tblActuals3541519[Team 2 Goals],tblActuals3541519[Team 2],$CU7,tblActuals3541519[Team 1],FS$3)+SUMIFS(tblActuals3541519[Team 1 Goals],tblActuals3541519[Team 1],$CU7,tblActuals3541519[Team 2],FS$3)</f>
        <v>0</v>
      </c>
      <c r="FT7" s="56">
        <f>SUMIFS(tblActuals3541519[Team 2 Goals],tblActuals3541519[Team 2],$CU7,tblActuals3541519[Team 1],FT$3)+SUMIFS(tblActuals3541519[Team 1 Goals],tblActuals3541519[Team 1],$CU7,tblActuals3541519[Team 2],FT$3)</f>
        <v>0</v>
      </c>
      <c r="FU7" s="56">
        <f>SUMIFS(tblActuals3541519[Team 2 Goals],tblActuals3541519[Team 2],$CU7,tblActuals3541519[Team 1],FU$3)+SUMIFS(tblActuals3541519[Team 1 Goals],tblActuals3541519[Team 1],$CU7,tblActuals3541519[Team 2],FU$3)</f>
        <v>0</v>
      </c>
      <c r="FV7" s="56">
        <f>SUMIFS(tblActuals3541519[Team 2 Goals],tblActuals3541519[Team 2],$CU7,tblActuals3541519[Team 1],FV$3)+SUMIFS(tblActuals3541519[Team 1 Goals],tblActuals3541519[Team 1],$CU7,tblActuals3541519[Team 2],FV$3)</f>
        <v>0</v>
      </c>
      <c r="FW7" s="56">
        <f>SUMIFS(tblActuals3541519[Team 2 Goals],tblActuals3541519[Team 2],$CU7,tblActuals3541519[Team 1],FW$3)+SUMIFS(tblActuals3541519[Team 1 Goals],tblActuals3541519[Team 1],$CU7,tblActuals3541519[Team 2],FW$3)</f>
        <v>0</v>
      </c>
      <c r="FX7" s="56">
        <f>SUMIFS(tblActuals3541519[Team 2 Goals],tblActuals3541519[Team 2],$CU7,tblActuals3541519[Team 1],FX$3)+SUMIFS(tblActuals3541519[Team 1 Goals],tblActuals3541519[Team 1],$CU7,tblActuals3541519[Team 2],FX$3)</f>
        <v>0</v>
      </c>
      <c r="FY7" s="56">
        <f>SUMIFS(tblActuals3541519[Team 2 Goals],tblActuals3541519[Team 2],$CU7,tblActuals3541519[Team 1],FY$3)+SUMIFS(tblActuals3541519[Team 1 Goals],tblActuals3541519[Team 1],$CU7,tblActuals3541519[Team 2],FY$3)</f>
        <v>0</v>
      </c>
      <c r="FZ7" s="56">
        <f>SUMIFS(tblActuals3541519[Team 2 Goals],tblActuals3541519[Team 2],$CU7,tblActuals3541519[Team 1],FZ$3)+SUMIFS(tblActuals3541519[Team 1 Goals],tblActuals3541519[Team 1],$CU7,tblActuals3541519[Team 2],FZ$3)</f>
        <v>0</v>
      </c>
      <c r="GA7" s="56">
        <f>SUMIFS(tblActuals3541519[Team 2 Goals],tblActuals3541519[Team 2],$CU7,tblActuals3541519[Team 1],GA$3)+SUMIFS(tblActuals3541519[Team 1 Goals],tblActuals3541519[Team 1],$CU7,tblActuals3541519[Team 2],GA$3)</f>
        <v>0</v>
      </c>
      <c r="GB7" s="56">
        <f>SUMIFS(tblActuals3541519[Team 2 Goals],tblActuals3541519[Team 2],$CU7,tblActuals3541519[Team 1],GB$3)+SUMIFS(tblActuals3541519[Team 1 Goals],tblActuals3541519[Team 1],$CU7,tblActuals3541519[Team 2],GB$3)</f>
        <v>0</v>
      </c>
      <c r="GC7" s="56">
        <f>SUMIFS(tblActuals3541519[Team 2 Goals],tblActuals3541519[Team 2],$CU7,tblActuals3541519[Team 1],GC$3)+SUMIFS(tblActuals3541519[Team 1 Goals],tblActuals3541519[Team 1],$CU7,tblActuals3541519[Team 2],GC$3)</f>
        <v>0</v>
      </c>
      <c r="GD7" s="56">
        <f>SUMIFS(tblActuals3541519[Team 2 Goals],tblActuals3541519[Team 2],$CU7,tblActuals3541519[Team 1],GD$3)+SUMIFS(tblActuals3541519[Team 1 Goals],tblActuals3541519[Team 1],$CU7,tblActuals3541519[Team 2],GD$3)</f>
        <v>0</v>
      </c>
      <c r="GE7" s="56">
        <f>SUMIFS(tblActuals3541519[Team 2 Goals],tblActuals3541519[Team 2],$CU7,tblActuals3541519[Team 1],GE$3)+SUMIFS(tblActuals3541519[Team 1 Goals],tblActuals3541519[Team 1],$CU7,tblActuals3541519[Team 2],GE$3)</f>
        <v>0</v>
      </c>
      <c r="GF7" s="56">
        <f>SUMIFS(tblActuals3541519[Team 2 Goals],tblActuals3541519[Team 2],$CU7,tblActuals3541519[Team 1],GF$3)+SUMIFS(tblActuals3541519[Team 1 Goals],tblActuals3541519[Team 1],$CU7,tblActuals3541519[Team 2],GF$3)</f>
        <v>0</v>
      </c>
      <c r="GG7" s="56">
        <f>SUMIFS(tblActuals3541519[Team 2 Goals],tblActuals3541519[Team 2],$CU7,tblActuals3541519[Team 1],GG$3)+SUMIFS(tblActuals3541519[Team 1 Goals],tblActuals3541519[Team 1],$CU7,tblActuals3541519[Team 2],GG$3)</f>
        <v>0</v>
      </c>
      <c r="GH7" s="56">
        <f>SUMIFS(tblActuals3541519[Team 2 Goals],tblActuals3541519[Team 2],$CU7,tblActuals3541519[Team 1],GH$3)+SUMIFS(tblActuals3541519[Team 1 Goals],tblActuals3541519[Team 1],$CU7,tblActuals3541519[Team 2],GH$3)</f>
        <v>0</v>
      </c>
      <c r="GI7" s="56">
        <f>SUMIFS(tblActuals3541519[Team 2 Goals],tblActuals3541519[Team 2],$CU7,tblActuals3541519[Team 1],GI$3)+SUMIFS(tblActuals3541519[Team 1 Goals],tblActuals3541519[Team 1],$CU7,tblActuals3541519[Team 2],GI$3)</f>
        <v>0</v>
      </c>
      <c r="GJ7" s="57"/>
      <c r="GK7" s="57"/>
      <c r="GL7" s="37"/>
      <c r="GM7" s="37"/>
      <c r="GN7" s="37"/>
      <c r="GO7" s="37"/>
      <c r="GP7" s="37"/>
      <c r="GQ7" s="37"/>
      <c r="GR7" s="75"/>
      <c r="GS7" s="156"/>
      <c r="GT7" s="156"/>
      <c r="GU7" s="75"/>
      <c r="GV7" s="22"/>
      <c r="GW7" s="75"/>
      <c r="GX7" s="75"/>
      <c r="GY7" s="75"/>
      <c r="GZ7" s="75"/>
      <c r="HB7" s="4" t="str">
        <f t="shared" si="12"/>
        <v>ABCF</v>
      </c>
      <c r="HC7" s="44" t="s">
        <v>1</v>
      </c>
      <c r="HD7" s="44" t="s">
        <v>5</v>
      </c>
      <c r="HE7" s="44" t="s">
        <v>6</v>
      </c>
      <c r="HF7" s="45"/>
      <c r="HG7" s="45"/>
      <c r="HH7" s="44" t="s">
        <v>45</v>
      </c>
      <c r="HI7" s="178"/>
      <c r="HJ7" s="45" t="s">
        <v>149</v>
      </c>
      <c r="HK7" s="45" t="s">
        <v>154</v>
      </c>
      <c r="HL7" s="45" t="s">
        <v>151</v>
      </c>
      <c r="HM7" s="45" t="s">
        <v>152</v>
      </c>
    </row>
    <row r="8" spans="1:221" s="11" customFormat="1" ht="30" customHeight="1" x14ac:dyDescent="0.2">
      <c r="A8" s="30" t="s">
        <v>49</v>
      </c>
      <c r="B8" s="122">
        <v>5</v>
      </c>
      <c r="C8" s="122" t="s">
        <v>6</v>
      </c>
      <c r="D8" s="123">
        <v>45459</v>
      </c>
      <c r="E8" s="122" t="s">
        <v>82</v>
      </c>
      <c r="F8" s="124">
        <v>0.875</v>
      </c>
      <c r="G8" s="125">
        <f t="shared" si="11"/>
        <v>45459.625</v>
      </c>
      <c r="H8" s="122" t="s">
        <v>93</v>
      </c>
      <c r="I8" s="126"/>
      <c r="J8" s="118"/>
      <c r="K8" s="118"/>
      <c r="L8" s="174">
        <f>IF(I8="",0,IFERROR(IF(SCORING.RULES!$C$8="No",1,((VLOOKUP($B8,ACTUALS!$B$4:$L$100,7,FALSE)=$H8)+(VLOOKUP($B8,ACTUALS!$B$4:$L$100,7,FALSE)=S8)))*(M8+N8+O8+P8+Q8),0))+$R8</f>
        <v>0</v>
      </c>
      <c r="M8" s="168">
        <f>IFERROR(IF($B8="","",IF(U8=INDEX(ACTUALS!$AA$4:$AA$100,MATCH($B8,ACTUALS!$B$4:$B$100,0),1),CorrectScore,0)),0)</f>
        <v>0</v>
      </c>
      <c r="N8" s="157" t="str">
        <f>IFERROR(IF(I8="","",IF(INDEX(ACTUALS!$AB$4:$AB$100,MATCH($B8,ACTUALS!$B$4:$B$100,0),1)=(AB8+AC8+AH8+AI8),CorrectNumberofGoals,0)),0)</f>
        <v/>
      </c>
      <c r="O8" s="157"/>
      <c r="P8" s="157">
        <f>IFERROR(IF(B8="","",IF(INDEX(ACTUALS!$L$4:$L$100,MATCH($B8,ACTUALS!$B$4:$B$100,0),1)=W8,CorrectResult,0)),0)</f>
        <v>3</v>
      </c>
      <c r="Q8" s="157"/>
      <c r="R8" s="157"/>
      <c r="S8" s="157" t="str">
        <f t="shared" si="0"/>
        <v/>
      </c>
      <c r="T8" s="157"/>
      <c r="U8" s="157" t="str">
        <f t="shared" si="1"/>
        <v/>
      </c>
      <c r="V8" s="157" t="str">
        <f t="shared" si="2"/>
        <v/>
      </c>
      <c r="W8" s="119" t="str">
        <f>IF(tblActuals3541519[[#This Row],[SCORE]]="","",IF(AB8=AC8,"Draw",IF(AB8&gt;AC8,X8,Y8)))</f>
        <v/>
      </c>
      <c r="X8" s="120" t="str">
        <f>IF(tblActuals3541519[[#This Row],[TEAMS]]="","",LEFT(H8,FIND(" -",H8,1)-1))</f>
        <v>Serbia</v>
      </c>
      <c r="Y8" s="120" t="str">
        <f>IF(tblActuals3541519[[#This Row],[TEAMS]]="","",MID(H8,FIND("-",H8,1)+2,LEN(H8)-FIND("-",H8,1)+2))</f>
        <v>England</v>
      </c>
      <c r="Z8" s="120" t="str">
        <f>IF(tblActuals3541519[[#This Row],[Team 1 Goals]]&gt;tblActuals3541519[[#This Row],[Team 2 Goals]],tblActuals3541519[[#This Row],[Team 1]],IF(tblActuals3541519[[#This Row],[Team 2 Goals]]&gt;tblActuals3541519[[#This Row],[Team 1 Goals]],tblActuals3541519[[#This Row],[Team 2]],""))</f>
        <v/>
      </c>
      <c r="AA8" s="120" t="str">
        <f>IF(tblActuals3541519[[#This Row],[Winner]]=tblActuals3541519[[#This Row],[Team 1]],tblActuals3541519[[#This Row],[Team 2]],IF(tblActuals3541519[[#This Row],[Winner]]=tblActuals3541519[[#This Row],[Team 2]],tblActuals3541519[[#This Row],[Team 1]],""))</f>
        <v/>
      </c>
      <c r="AB8" s="120" t="str">
        <f>IF(tblActuals3541519[[#This Row],[SCORE]]="","",LEFT(I8,FIND(":",I8,1)-1)*1)</f>
        <v/>
      </c>
      <c r="AC8" s="120" t="str">
        <f>IF(tblActuals3541519[[#This Row],[SCORE]]="","",MID(I8,FIND(":",I8,1)+1,LEN(I8)-FIND(":",I8,1)+1)*1)</f>
        <v/>
      </c>
      <c r="AD8" s="120" t="str">
        <f>IF(OR(tblActuals3541519[[#This Row],[Team 1 Goals]]="",tblActuals3541519[[#This Row],[Team 2 Goals]]=""),"",tblActuals3541519[[#This Row],[Team 1 Goals]]-tblActuals3541519[[#This Row],[Team 2 Goals]])</f>
        <v/>
      </c>
      <c r="AE8" s="120" t="str">
        <f>IF(OR(tblActuals3541519[[#This Row],[Team 1 Goals]]="",tblActuals3541519[[#This Row],[Team 2 Goals]]=""),"",tblActuals3541519[[#This Row],[Team 2 Goals]]-tblActuals3541519[[#This Row],[Team 1 Goals]])</f>
        <v/>
      </c>
      <c r="AF8" s="120" t="str">
        <f>IF(tblActuals3541519[[#This Row],[SCORE]]="","",IF(tblActuals3541519[[#This Row],[WINNER / RESULT]]="Draw",1,IF(tblActuals3541519[[#This Row],[WINNER / RESULT]]=tblActuals3541519[[#This Row],[Team 1]],3,0)))</f>
        <v/>
      </c>
      <c r="AG8" s="120" t="str">
        <f>IF(tblActuals3541519[[#This Row],[SCORE]]="","",IF(tblActuals3541519[[#This Row],[WINNER / RESULT]]="Draw",1,IF(tblActuals3541519[[#This Row],[WINNER / RESULT]]=tblActuals3541519[[#This Row],[Team 2]],3,0)))</f>
        <v/>
      </c>
      <c r="AH8" s="121"/>
      <c r="AI8" s="121"/>
      <c r="AJ8" s="121"/>
      <c r="AK8" s="121"/>
      <c r="AL8" s="120" t="e">
        <f>tblActuals3541519[[#This Row],[Team 1 Goals]]+tblActuals3541519[[#This Row],[Team 1 ET Goals]]&amp;":"&amp;tblActuals3541519[[#This Row],[Team 2 Goals]]+tblActuals3541519[[#This Row],[Team 2 ET Goals]]</f>
        <v>#VALUE!</v>
      </c>
      <c r="AM8" s="120" t="e">
        <f>+tblActuals3541519[[#This Row],[Team 1 Goals]]+tblActuals3541519[[#This Row],[Team 2 Goals]]</f>
        <v>#VALUE!</v>
      </c>
      <c r="AN8" s="161">
        <f t="shared" si="3"/>
        <v>45459</v>
      </c>
      <c r="AP8" s="38" t="s">
        <v>85</v>
      </c>
      <c r="AT8" s="77" t="s">
        <v>1</v>
      </c>
      <c r="AU8" s="142">
        <v>3</v>
      </c>
      <c r="AV8" s="143" t="str">
        <f ca="1">IFERROR(INDEX(BD:BD,MATCH("3"&amp;AT8,BN:BN,0),1),"")</f>
        <v>Scotland</v>
      </c>
      <c r="AW8" s="143" t="str">
        <f ca="1">IF(AV8="","",VLOOKUP(AV8,BD:BI,2,FALSE)&amp;"-"&amp;VLOOKUP(AV8,BD:BI,3,FALSE)&amp;"-"&amp;VLOOKUP(AV8,BD:BI,4,FALSE))</f>
        <v>0-0-0</v>
      </c>
      <c r="AX8" s="143">
        <f ca="1">IF(AV8="","",VLOOKUP(AV8,BD:BK,8,FALSE))</f>
        <v>0</v>
      </c>
      <c r="AY8" s="144">
        <f ca="1">IF(AV8="","",VLOOKUP(AV8,BD:BN,5,FALSE))</f>
        <v>0</v>
      </c>
      <c r="AZ8" s="75" t="str">
        <f ca="1">IF(INDEX($AU$43:$AU$48,MATCH(AV8,$AV$43:$AV$48,0),1)&lt;=4,"X","")</f>
        <v/>
      </c>
      <c r="BA8" s="42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 t="str">
        <f t="shared" si="4"/>
        <v/>
      </c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 t="s">
        <v>12</v>
      </c>
      <c r="CB8" s="4" t="str">
        <f ca="1">AV32</f>
        <v>Slovakia</v>
      </c>
      <c r="CC8" s="4">
        <f t="shared" ca="1" si="5"/>
        <v>0</v>
      </c>
      <c r="CD8" s="4">
        <f t="shared" ca="1" si="6"/>
        <v>0</v>
      </c>
      <c r="CE8" s="4">
        <f t="shared" ca="1" si="7"/>
        <v>0</v>
      </c>
      <c r="CF8" s="4">
        <f t="shared" ca="1" si="8"/>
        <v>0</v>
      </c>
      <c r="CG8" s="4">
        <f t="shared" ca="1" si="9"/>
        <v>7.9999999999999996E-7</v>
      </c>
      <c r="CH8" s="4">
        <f t="shared" ca="1" si="10"/>
        <v>2</v>
      </c>
      <c r="CI8" s="4"/>
      <c r="CJ8" s="4"/>
      <c r="CK8" s="4"/>
      <c r="CL8" s="4"/>
      <c r="CM8" s="4"/>
      <c r="CN8" s="4"/>
      <c r="CO8" s="4"/>
      <c r="CP8" s="4"/>
      <c r="CQ8" s="4"/>
      <c r="CR8" s="4"/>
      <c r="CU8" s="4" t="s">
        <v>28</v>
      </c>
      <c r="CV8" s="56">
        <f>SUMIFS(tblActuals3541519[Team 2 Points],tblActuals3541519[Team 2],$CU8,tblActuals3541519[Team 1],CV$3)+SUMIFS(tblActuals3541519[Team 1 Points],tblActuals3541519[Team 1],$CU8,tblActuals3541519[Team 2],CV$3)</f>
        <v>0</v>
      </c>
      <c r="CW8" s="56">
        <f>SUMIFS(tblActuals3541519[Team 2 Points],tblActuals3541519[Team 2],$CU8,tblActuals3541519[Team 1],CW$3)+SUMIFS(tblActuals3541519[Team 1 Points],tblActuals3541519[Team 1],$CU8,tblActuals3541519[Team 2],CW$3)</f>
        <v>0</v>
      </c>
      <c r="CX8" s="56">
        <f>SUMIFS(tblActuals3541519[Team 2 Points],tblActuals3541519[Team 2],$CU8,tblActuals3541519[Team 1],CX$3)+SUMIFS(tblActuals3541519[Team 1 Points],tblActuals3541519[Team 1],$CU8,tblActuals3541519[Team 2],CX$3)</f>
        <v>0</v>
      </c>
      <c r="CY8" s="56">
        <f>SUMIFS(tblActuals3541519[Team 2 Points],tblActuals3541519[Team 2],$CU8,tblActuals3541519[Team 1],CY$3)+SUMIFS(tblActuals3541519[Team 1 Points],tblActuals3541519[Team 1],$CU8,tblActuals3541519[Team 2],CY$3)</f>
        <v>0</v>
      </c>
      <c r="CZ8" s="56">
        <f>SUMIFS(tblActuals3541519[Team 2 Points],tblActuals3541519[Team 2],$CU8,tblActuals3541519[Team 1],CZ$3)+SUMIFS(tblActuals3541519[Team 1 Points],tblActuals3541519[Team 1],$CU8,tblActuals3541519[Team 2],CZ$3)</f>
        <v>0</v>
      </c>
      <c r="DA8" s="56">
        <f>SUMIFS(tblActuals3541519[Team 2 Points],tblActuals3541519[Team 2],$CU8,tblActuals3541519[Team 1],DA$3)+SUMIFS(tblActuals3541519[Team 1 Points],tblActuals3541519[Team 1],$CU8,tblActuals3541519[Team 2],DA$3)</f>
        <v>0</v>
      </c>
      <c r="DB8" s="56">
        <f>SUMIFS(tblActuals3541519[Team 2 Points],tblActuals3541519[Team 2],$CU8,tblActuals3541519[Team 1],DB$3)+SUMIFS(tblActuals3541519[Team 1 Points],tblActuals3541519[Team 1],$CU8,tblActuals3541519[Team 2],DB$3)</f>
        <v>0</v>
      </c>
      <c r="DC8" s="56">
        <f>SUMIFS(tblActuals3541519[Team 2 Points],tblActuals3541519[Team 2],$CU8,tblActuals3541519[Team 1],DC$3)+SUMIFS(tblActuals3541519[Team 1 Points],tblActuals3541519[Team 1],$CU8,tblActuals3541519[Team 2],DC$3)</f>
        <v>0</v>
      </c>
      <c r="DD8" s="56">
        <f>SUMIFS(tblActuals3541519[Team 2 Points],tblActuals3541519[Team 2],$CU8,tblActuals3541519[Team 1],DD$3)+SUMIFS(tblActuals3541519[Team 1 Points],tblActuals3541519[Team 1],$CU8,tblActuals3541519[Team 2],DD$3)</f>
        <v>0</v>
      </c>
      <c r="DE8" s="56">
        <f>SUMIFS(tblActuals3541519[Team 2 Points],tblActuals3541519[Team 2],$CU8,tblActuals3541519[Team 1],DE$3)+SUMIFS(tblActuals3541519[Team 1 Points],tblActuals3541519[Team 1],$CU8,tblActuals3541519[Team 2],DE$3)</f>
        <v>0</v>
      </c>
      <c r="DF8" s="56">
        <f>SUMIFS(tblActuals3541519[Team 2 Points],tblActuals3541519[Team 2],$CU8,tblActuals3541519[Team 1],DF$3)+SUMIFS(tblActuals3541519[Team 1 Points],tblActuals3541519[Team 1],$CU8,tblActuals3541519[Team 2],DF$3)</f>
        <v>0</v>
      </c>
      <c r="DG8" s="56">
        <f>SUMIFS(tblActuals3541519[Team 2 Points],tblActuals3541519[Team 2],$CU8,tblActuals3541519[Team 1],DG$3)+SUMIFS(tblActuals3541519[Team 1 Points],tblActuals3541519[Team 1],$CU8,tblActuals3541519[Team 2],DG$3)</f>
        <v>0</v>
      </c>
      <c r="DH8" s="56">
        <f>SUMIFS(tblActuals3541519[Team 2 Points],tblActuals3541519[Team 2],$CU8,tblActuals3541519[Team 1],DH$3)+SUMIFS(tblActuals3541519[Team 1 Points],tblActuals3541519[Team 1],$CU8,tblActuals3541519[Team 2],DH$3)</f>
        <v>0</v>
      </c>
      <c r="DI8" s="56">
        <f>SUMIFS(tblActuals3541519[Team 2 Points],tblActuals3541519[Team 2],$CU8,tblActuals3541519[Team 1],DI$3)+SUMIFS(tblActuals3541519[Team 1 Points],tblActuals3541519[Team 1],$CU8,tblActuals3541519[Team 2],DI$3)</f>
        <v>0</v>
      </c>
      <c r="DJ8" s="56">
        <f>SUMIFS(tblActuals3541519[Team 2 Points],tblActuals3541519[Team 2],$CU8,tblActuals3541519[Team 1],DJ$3)+SUMIFS(tblActuals3541519[Team 1 Points],tblActuals3541519[Team 1],$CU8,tblActuals3541519[Team 2],DJ$3)</f>
        <v>0</v>
      </c>
      <c r="DK8" s="56">
        <f>SUMIFS(tblActuals3541519[Team 2 Points],tblActuals3541519[Team 2],$CU8,tblActuals3541519[Team 1],DK$3)+SUMIFS(tblActuals3541519[Team 1 Points],tblActuals3541519[Team 1],$CU8,tblActuals3541519[Team 2],DK$3)</f>
        <v>0</v>
      </c>
      <c r="DL8" s="56">
        <f>SUMIFS(tblActuals3541519[Team 2 Points],tblActuals3541519[Team 2],$CU8,tblActuals3541519[Team 1],DL$3)+SUMIFS(tblActuals3541519[Team 1 Points],tblActuals3541519[Team 1],$CU8,tblActuals3541519[Team 2],DL$3)</f>
        <v>0</v>
      </c>
      <c r="DM8" s="56">
        <f>SUMIFS(tblActuals3541519[Team 2 Points],tblActuals3541519[Team 2],$CU8,tblActuals3541519[Team 1],DM$3)+SUMIFS(tblActuals3541519[Team 1 Points],tblActuals3541519[Team 1],$CU8,tblActuals3541519[Team 2],DM$3)</f>
        <v>0</v>
      </c>
      <c r="DN8" s="56">
        <f>SUMIFS(tblActuals3541519[Team 2 Points],tblActuals3541519[Team 2],$CU8,tblActuals3541519[Team 1],DN$3)+SUMIFS(tblActuals3541519[Team 1 Points],tblActuals3541519[Team 1],$CU8,tblActuals3541519[Team 2],DN$3)</f>
        <v>0</v>
      </c>
      <c r="DO8" s="56">
        <f>SUMIFS(tblActuals3541519[Team 2 Points],tblActuals3541519[Team 2],$CU8,tblActuals3541519[Team 1],DO$3)+SUMIFS(tblActuals3541519[Team 1 Points],tblActuals3541519[Team 1],$CU8,tblActuals3541519[Team 2],DO$3)</f>
        <v>0</v>
      </c>
      <c r="DP8" s="56">
        <f>SUMIFS(tblActuals3541519[Team 2 Points],tblActuals3541519[Team 2],$CU8,tblActuals3541519[Team 1],DP$3)+SUMIFS(tblActuals3541519[Team 1 Points],tblActuals3541519[Team 1],$CU8,tblActuals3541519[Team 2],DP$3)</f>
        <v>0</v>
      </c>
      <c r="DQ8" s="56">
        <f>SUMIFS(tblActuals3541519[Team 2 Points],tblActuals3541519[Team 2],$CU8,tblActuals3541519[Team 1],DQ$3)+SUMIFS(tblActuals3541519[Team 1 Points],tblActuals3541519[Team 1],$CU8,tblActuals3541519[Team 2],DQ$3)</f>
        <v>0</v>
      </c>
      <c r="DR8" s="56">
        <f>SUMIFS(tblActuals3541519[Team 2 Points],tblActuals3541519[Team 2],$CU8,tblActuals3541519[Team 1],DR$3)+SUMIFS(tblActuals3541519[Team 1 Points],tblActuals3541519[Team 1],$CU8,tblActuals3541519[Team 2],DR$3)</f>
        <v>0</v>
      </c>
      <c r="DS8" s="56">
        <f>SUMIFS(tblActuals3541519[Team 2 Points],tblActuals3541519[Team 2],$CU8,tblActuals3541519[Team 1],DS$3)+SUMIFS(tblActuals3541519[Team 1 Points],tblActuals3541519[Team 1],$CU8,tblActuals3541519[Team 2],DS$3)</f>
        <v>0</v>
      </c>
      <c r="DT8" s="57"/>
      <c r="DU8" s="57"/>
      <c r="DV8" s="57"/>
      <c r="DW8" s="57"/>
      <c r="DX8" s="57"/>
      <c r="DY8" s="57"/>
      <c r="DZ8" s="57"/>
      <c r="EA8" s="57"/>
      <c r="EB8" s="4"/>
      <c r="EC8" s="4" t="s">
        <v>28</v>
      </c>
      <c r="ED8" s="56">
        <f>SUMIFS(tblActuals3541519[Team 2 GD],tblActuals3541519[Team 2],$CU8,tblActuals3541519[Team 1],ED$3)+SUMIFS(tblActuals3541519[Team 1 GD],tblActuals3541519[Team 1],$CU8,tblActuals3541519[Team 2],ED$3)</f>
        <v>0</v>
      </c>
      <c r="EE8" s="56">
        <f>SUMIFS(tblActuals3541519[Team 2 GD],tblActuals3541519[Team 2],$CU8,tblActuals3541519[Team 1],EE$3)+SUMIFS(tblActuals3541519[Team 1 GD],tblActuals3541519[Team 1],$CU8,tblActuals3541519[Team 2],EE$3)</f>
        <v>0</v>
      </c>
      <c r="EF8" s="56">
        <f>SUMIFS(tblActuals3541519[Team 2 GD],tblActuals3541519[Team 2],$CU8,tblActuals3541519[Team 1],EF$3)+SUMIFS(tblActuals3541519[Team 1 GD],tblActuals3541519[Team 1],$CU8,tblActuals3541519[Team 2],EF$3)</f>
        <v>0</v>
      </c>
      <c r="EG8" s="56">
        <f>SUMIFS(tblActuals3541519[Team 2 GD],tblActuals3541519[Team 2],$CU8,tblActuals3541519[Team 1],EG$3)+SUMIFS(tblActuals3541519[Team 1 GD],tblActuals3541519[Team 1],$CU8,tblActuals3541519[Team 2],EG$3)</f>
        <v>0</v>
      </c>
      <c r="EH8" s="56">
        <f>SUMIFS(tblActuals3541519[Team 2 GD],tblActuals3541519[Team 2],$CU8,tblActuals3541519[Team 1],EH$3)+SUMIFS(tblActuals3541519[Team 1 GD],tblActuals3541519[Team 1],$CU8,tblActuals3541519[Team 2],EH$3)</f>
        <v>0</v>
      </c>
      <c r="EI8" s="56">
        <f>SUMIFS(tblActuals3541519[Team 2 GD],tblActuals3541519[Team 2],$CU8,tblActuals3541519[Team 1],EI$3)+SUMIFS(tblActuals3541519[Team 1 GD],tblActuals3541519[Team 1],$CU8,tblActuals3541519[Team 2],EI$3)</f>
        <v>0</v>
      </c>
      <c r="EJ8" s="56">
        <f>SUMIFS(tblActuals3541519[Team 2 GD],tblActuals3541519[Team 2],$CU8,tblActuals3541519[Team 1],EJ$3)+SUMIFS(tblActuals3541519[Team 1 GD],tblActuals3541519[Team 1],$CU8,tblActuals3541519[Team 2],EJ$3)</f>
        <v>0</v>
      </c>
      <c r="EK8" s="56">
        <f>SUMIFS(tblActuals3541519[Team 2 GD],tblActuals3541519[Team 2],$CU8,tblActuals3541519[Team 1],EK$3)+SUMIFS(tblActuals3541519[Team 1 GD],tblActuals3541519[Team 1],$CU8,tblActuals3541519[Team 2],EK$3)</f>
        <v>0</v>
      </c>
      <c r="EL8" s="56">
        <f>SUMIFS(tblActuals3541519[Team 2 GD],tblActuals3541519[Team 2],$CU8,tblActuals3541519[Team 1],EL$3)+SUMIFS(tblActuals3541519[Team 1 GD],tblActuals3541519[Team 1],$CU8,tblActuals3541519[Team 2],EL$3)</f>
        <v>0</v>
      </c>
      <c r="EM8" s="56">
        <f>SUMIFS(tblActuals3541519[Team 2 GD],tblActuals3541519[Team 2],$CU8,tblActuals3541519[Team 1],EM$3)+SUMIFS(tblActuals3541519[Team 1 GD],tblActuals3541519[Team 1],$CU8,tblActuals3541519[Team 2],EM$3)</f>
        <v>0</v>
      </c>
      <c r="EN8" s="56">
        <f>SUMIFS(tblActuals3541519[Team 2 GD],tblActuals3541519[Team 2],$CU8,tblActuals3541519[Team 1],EN$3)+SUMIFS(tblActuals3541519[Team 1 GD],tblActuals3541519[Team 1],$CU8,tblActuals3541519[Team 2],EN$3)</f>
        <v>0</v>
      </c>
      <c r="EO8" s="56">
        <f>SUMIFS(tblActuals3541519[Team 2 GD],tblActuals3541519[Team 2],$CU8,tblActuals3541519[Team 1],EO$3)+SUMIFS(tblActuals3541519[Team 1 GD],tblActuals3541519[Team 1],$CU8,tblActuals3541519[Team 2],EO$3)</f>
        <v>0</v>
      </c>
      <c r="EP8" s="56">
        <f>SUMIFS(tblActuals3541519[Team 2 GD],tblActuals3541519[Team 2],$CU8,tblActuals3541519[Team 1],EP$3)+SUMIFS(tblActuals3541519[Team 1 GD],tblActuals3541519[Team 1],$CU8,tblActuals3541519[Team 2],EP$3)</f>
        <v>0</v>
      </c>
      <c r="EQ8" s="56">
        <f>SUMIFS(tblActuals3541519[Team 2 GD],tblActuals3541519[Team 2],$CU8,tblActuals3541519[Team 1],EQ$3)+SUMIFS(tblActuals3541519[Team 1 GD],tblActuals3541519[Team 1],$CU8,tblActuals3541519[Team 2],EQ$3)</f>
        <v>0</v>
      </c>
      <c r="ER8" s="56">
        <f>SUMIFS(tblActuals3541519[Team 2 GD],tblActuals3541519[Team 2],$CU8,tblActuals3541519[Team 1],ER$3)+SUMIFS(tblActuals3541519[Team 1 GD],tblActuals3541519[Team 1],$CU8,tblActuals3541519[Team 2],ER$3)</f>
        <v>0</v>
      </c>
      <c r="ES8" s="56">
        <f>SUMIFS(tblActuals3541519[Team 2 GD],tblActuals3541519[Team 2],$CU8,tblActuals3541519[Team 1],ES$3)+SUMIFS(tblActuals3541519[Team 1 GD],tblActuals3541519[Team 1],$CU8,tblActuals3541519[Team 2],ES$3)</f>
        <v>0</v>
      </c>
      <c r="ET8" s="56">
        <f>SUMIFS(tblActuals3541519[Team 2 GD],tblActuals3541519[Team 2],$CU8,tblActuals3541519[Team 1],ET$3)+SUMIFS(tblActuals3541519[Team 1 GD],tblActuals3541519[Team 1],$CU8,tblActuals3541519[Team 2],ET$3)</f>
        <v>0</v>
      </c>
      <c r="EU8" s="56">
        <f>SUMIFS(tblActuals3541519[Team 2 GD],tblActuals3541519[Team 2],$CU8,tblActuals3541519[Team 1],EU$3)+SUMIFS(tblActuals3541519[Team 1 GD],tblActuals3541519[Team 1],$CU8,tblActuals3541519[Team 2],EU$3)</f>
        <v>0</v>
      </c>
      <c r="EV8" s="56">
        <f>SUMIFS(tblActuals3541519[Team 2 GD],tblActuals3541519[Team 2],$CU8,tblActuals3541519[Team 1],EV$3)+SUMIFS(tblActuals3541519[Team 1 GD],tblActuals3541519[Team 1],$CU8,tblActuals3541519[Team 2],EV$3)</f>
        <v>0</v>
      </c>
      <c r="EW8" s="56">
        <f>SUMIFS(tblActuals3541519[Team 2 GD],tblActuals3541519[Team 2],$CU8,tblActuals3541519[Team 1],EW$3)+SUMIFS(tblActuals3541519[Team 1 GD],tblActuals3541519[Team 1],$CU8,tblActuals3541519[Team 2],EW$3)</f>
        <v>0</v>
      </c>
      <c r="EX8" s="56">
        <f>SUMIFS(tblActuals3541519[Team 2 GD],tblActuals3541519[Team 2],$CU8,tblActuals3541519[Team 1],EX$3)+SUMIFS(tblActuals3541519[Team 1 GD],tblActuals3541519[Team 1],$CU8,tblActuals3541519[Team 2],EX$3)</f>
        <v>0</v>
      </c>
      <c r="EY8" s="56">
        <f>SUMIFS(tblActuals3541519[Team 2 GD],tblActuals3541519[Team 2],$CU8,tblActuals3541519[Team 1],EY$3)+SUMIFS(tblActuals3541519[Team 1 GD],tblActuals3541519[Team 1],$CU8,tblActuals3541519[Team 2],EY$3)</f>
        <v>0</v>
      </c>
      <c r="EZ8" s="56">
        <f>SUMIFS(tblActuals3541519[Team 2 GD],tblActuals3541519[Team 2],$CU8,tblActuals3541519[Team 1],EZ$3)+SUMIFS(tblActuals3541519[Team 1 GD],tblActuals3541519[Team 1],$CU8,tblActuals3541519[Team 2],EZ$3)</f>
        <v>0</v>
      </c>
      <c r="FA8" s="56">
        <f>SUMIFS(tblActuals3541519[Team 2 GD],tblActuals3541519[Team 2],$CU8,tblActuals3541519[Team 1],FA$3)+SUMIFS(tblActuals3541519[Team 1 GD],tblActuals3541519[Team 1],$CU8,tblActuals3541519[Team 2],FA$3)</f>
        <v>0</v>
      </c>
      <c r="FB8" s="57"/>
      <c r="FC8" s="57"/>
      <c r="FD8" s="57"/>
      <c r="FE8" s="57"/>
      <c r="FF8" s="57"/>
      <c r="FG8" s="57"/>
      <c r="FH8" s="57"/>
      <c r="FI8" s="57"/>
      <c r="FJ8" s="4"/>
      <c r="FK8" s="4" t="s">
        <v>28</v>
      </c>
      <c r="FL8" s="56">
        <f>SUMIFS(tblActuals3541519[Team 2 Goals],tblActuals3541519[Team 2],$CU8,tblActuals3541519[Team 1],FL$3)+SUMIFS(tblActuals3541519[Team 1 Goals],tblActuals3541519[Team 1],$CU8,tblActuals3541519[Team 2],FL$3)</f>
        <v>0</v>
      </c>
      <c r="FM8" s="56">
        <f>SUMIFS(tblActuals3541519[Team 2 Goals],tblActuals3541519[Team 2],$CU8,tblActuals3541519[Team 1],FM$3)+SUMIFS(tblActuals3541519[Team 1 Goals],tblActuals3541519[Team 1],$CU8,tblActuals3541519[Team 2],FM$3)</f>
        <v>0</v>
      </c>
      <c r="FN8" s="56">
        <f>SUMIFS(tblActuals3541519[Team 2 Goals],tblActuals3541519[Team 2],$CU8,tblActuals3541519[Team 1],FN$3)+SUMIFS(tblActuals3541519[Team 1 Goals],tblActuals3541519[Team 1],$CU8,tblActuals3541519[Team 2],FN$3)</f>
        <v>0</v>
      </c>
      <c r="FO8" s="56">
        <f>SUMIFS(tblActuals3541519[Team 2 Goals],tblActuals3541519[Team 2],$CU8,tblActuals3541519[Team 1],FO$3)+SUMIFS(tblActuals3541519[Team 1 Goals],tblActuals3541519[Team 1],$CU8,tblActuals3541519[Team 2],FO$3)</f>
        <v>0</v>
      </c>
      <c r="FP8" s="56">
        <f>SUMIFS(tblActuals3541519[Team 2 Goals],tblActuals3541519[Team 2],$CU8,tblActuals3541519[Team 1],FP$3)+SUMIFS(tblActuals3541519[Team 1 Goals],tblActuals3541519[Team 1],$CU8,tblActuals3541519[Team 2],FP$3)</f>
        <v>0</v>
      </c>
      <c r="FQ8" s="56">
        <f>SUMIFS(tblActuals3541519[Team 2 Goals],tblActuals3541519[Team 2],$CU8,tblActuals3541519[Team 1],FQ$3)+SUMIFS(tblActuals3541519[Team 1 Goals],tblActuals3541519[Team 1],$CU8,tblActuals3541519[Team 2],FQ$3)</f>
        <v>0</v>
      </c>
      <c r="FR8" s="56">
        <f>SUMIFS(tblActuals3541519[Team 2 Goals],tblActuals3541519[Team 2],$CU8,tblActuals3541519[Team 1],FR$3)+SUMIFS(tblActuals3541519[Team 1 Goals],tblActuals3541519[Team 1],$CU8,tblActuals3541519[Team 2],FR$3)</f>
        <v>0</v>
      </c>
      <c r="FS8" s="56">
        <f>SUMIFS(tblActuals3541519[Team 2 Goals],tblActuals3541519[Team 2],$CU8,tblActuals3541519[Team 1],FS$3)+SUMIFS(tblActuals3541519[Team 1 Goals],tblActuals3541519[Team 1],$CU8,tblActuals3541519[Team 2],FS$3)</f>
        <v>0</v>
      </c>
      <c r="FT8" s="56">
        <f>SUMIFS(tblActuals3541519[Team 2 Goals],tblActuals3541519[Team 2],$CU8,tblActuals3541519[Team 1],FT$3)+SUMIFS(tblActuals3541519[Team 1 Goals],tblActuals3541519[Team 1],$CU8,tblActuals3541519[Team 2],FT$3)</f>
        <v>0</v>
      </c>
      <c r="FU8" s="56">
        <f>SUMIFS(tblActuals3541519[Team 2 Goals],tblActuals3541519[Team 2],$CU8,tblActuals3541519[Team 1],FU$3)+SUMIFS(tblActuals3541519[Team 1 Goals],tblActuals3541519[Team 1],$CU8,tblActuals3541519[Team 2],FU$3)</f>
        <v>0</v>
      </c>
      <c r="FV8" s="56">
        <f>SUMIFS(tblActuals3541519[Team 2 Goals],tblActuals3541519[Team 2],$CU8,tblActuals3541519[Team 1],FV$3)+SUMIFS(tblActuals3541519[Team 1 Goals],tblActuals3541519[Team 1],$CU8,tblActuals3541519[Team 2],FV$3)</f>
        <v>0</v>
      </c>
      <c r="FW8" s="56">
        <f>SUMIFS(tblActuals3541519[Team 2 Goals],tblActuals3541519[Team 2],$CU8,tblActuals3541519[Team 1],FW$3)+SUMIFS(tblActuals3541519[Team 1 Goals],tblActuals3541519[Team 1],$CU8,tblActuals3541519[Team 2],FW$3)</f>
        <v>0</v>
      </c>
      <c r="FX8" s="56">
        <f>SUMIFS(tblActuals3541519[Team 2 Goals],tblActuals3541519[Team 2],$CU8,tblActuals3541519[Team 1],FX$3)+SUMIFS(tblActuals3541519[Team 1 Goals],tblActuals3541519[Team 1],$CU8,tblActuals3541519[Team 2],FX$3)</f>
        <v>0</v>
      </c>
      <c r="FY8" s="56">
        <f>SUMIFS(tblActuals3541519[Team 2 Goals],tblActuals3541519[Team 2],$CU8,tblActuals3541519[Team 1],FY$3)+SUMIFS(tblActuals3541519[Team 1 Goals],tblActuals3541519[Team 1],$CU8,tblActuals3541519[Team 2],FY$3)</f>
        <v>0</v>
      </c>
      <c r="FZ8" s="56">
        <f>SUMIFS(tblActuals3541519[Team 2 Goals],tblActuals3541519[Team 2],$CU8,tblActuals3541519[Team 1],FZ$3)+SUMIFS(tblActuals3541519[Team 1 Goals],tblActuals3541519[Team 1],$CU8,tblActuals3541519[Team 2],FZ$3)</f>
        <v>0</v>
      </c>
      <c r="GA8" s="56">
        <f>SUMIFS(tblActuals3541519[Team 2 Goals],tblActuals3541519[Team 2],$CU8,tblActuals3541519[Team 1],GA$3)+SUMIFS(tblActuals3541519[Team 1 Goals],tblActuals3541519[Team 1],$CU8,tblActuals3541519[Team 2],GA$3)</f>
        <v>0</v>
      </c>
      <c r="GB8" s="56">
        <f>SUMIFS(tblActuals3541519[Team 2 Goals],tblActuals3541519[Team 2],$CU8,tblActuals3541519[Team 1],GB$3)+SUMIFS(tblActuals3541519[Team 1 Goals],tblActuals3541519[Team 1],$CU8,tblActuals3541519[Team 2],GB$3)</f>
        <v>0</v>
      </c>
      <c r="GC8" s="56">
        <f>SUMIFS(tblActuals3541519[Team 2 Goals],tblActuals3541519[Team 2],$CU8,tblActuals3541519[Team 1],GC$3)+SUMIFS(tblActuals3541519[Team 1 Goals],tblActuals3541519[Team 1],$CU8,tblActuals3541519[Team 2],GC$3)</f>
        <v>0</v>
      </c>
      <c r="GD8" s="56">
        <f>SUMIFS(tblActuals3541519[Team 2 Goals],tblActuals3541519[Team 2],$CU8,tblActuals3541519[Team 1],GD$3)+SUMIFS(tblActuals3541519[Team 1 Goals],tblActuals3541519[Team 1],$CU8,tblActuals3541519[Team 2],GD$3)</f>
        <v>0</v>
      </c>
      <c r="GE8" s="56">
        <f>SUMIFS(tblActuals3541519[Team 2 Goals],tblActuals3541519[Team 2],$CU8,tblActuals3541519[Team 1],GE$3)+SUMIFS(tblActuals3541519[Team 1 Goals],tblActuals3541519[Team 1],$CU8,tblActuals3541519[Team 2],GE$3)</f>
        <v>0</v>
      </c>
      <c r="GF8" s="56">
        <f>SUMIFS(tblActuals3541519[Team 2 Goals],tblActuals3541519[Team 2],$CU8,tblActuals3541519[Team 1],GF$3)+SUMIFS(tblActuals3541519[Team 1 Goals],tblActuals3541519[Team 1],$CU8,tblActuals3541519[Team 2],GF$3)</f>
        <v>0</v>
      </c>
      <c r="GG8" s="56">
        <f>SUMIFS(tblActuals3541519[Team 2 Goals],tblActuals3541519[Team 2],$CU8,tblActuals3541519[Team 1],GG$3)+SUMIFS(tblActuals3541519[Team 1 Goals],tblActuals3541519[Team 1],$CU8,tblActuals3541519[Team 2],GG$3)</f>
        <v>0</v>
      </c>
      <c r="GH8" s="56">
        <f>SUMIFS(tblActuals3541519[Team 2 Goals],tblActuals3541519[Team 2],$CU8,tblActuals3541519[Team 1],GH$3)+SUMIFS(tblActuals3541519[Team 1 Goals],tblActuals3541519[Team 1],$CU8,tblActuals3541519[Team 2],GH$3)</f>
        <v>0</v>
      </c>
      <c r="GI8" s="56">
        <f>SUMIFS(tblActuals3541519[Team 2 Goals],tblActuals3541519[Team 2],$CU8,tblActuals3541519[Team 1],GI$3)+SUMIFS(tblActuals3541519[Team 1 Goals],tblActuals3541519[Team 1],$CU8,tblActuals3541519[Team 2],GI$3)</f>
        <v>0</v>
      </c>
      <c r="GJ8" s="57"/>
      <c r="GK8" s="57"/>
      <c r="GL8" s="37"/>
      <c r="GM8" s="37"/>
      <c r="GN8" s="37"/>
      <c r="GO8" s="37"/>
      <c r="GP8" s="37"/>
      <c r="GQ8" s="37"/>
      <c r="GR8" s="75"/>
      <c r="GS8" s="156"/>
      <c r="GT8" s="156"/>
      <c r="GU8" s="75"/>
      <c r="GV8" s="22"/>
      <c r="GW8" s="75"/>
      <c r="GX8" s="75"/>
      <c r="GY8" s="75"/>
      <c r="GZ8" s="75"/>
      <c r="HB8" s="4" t="str">
        <f t="shared" si="12"/>
        <v>ABDE</v>
      </c>
      <c r="HC8" s="44" t="s">
        <v>1</v>
      </c>
      <c r="HD8" s="44" t="s">
        <v>5</v>
      </c>
      <c r="HE8" s="45"/>
      <c r="HF8" s="44" t="s">
        <v>7</v>
      </c>
      <c r="HG8" s="44" t="s">
        <v>12</v>
      </c>
      <c r="HH8" s="45"/>
      <c r="HI8" s="178"/>
      <c r="HJ8" s="45" t="s">
        <v>150</v>
      </c>
      <c r="HK8" s="45" t="s">
        <v>153</v>
      </c>
      <c r="HL8" s="45" t="s">
        <v>149</v>
      </c>
      <c r="HM8" s="45" t="s">
        <v>151</v>
      </c>
    </row>
    <row r="9" spans="1:221" s="11" customFormat="1" ht="30" customHeight="1" thickBot="1" x14ac:dyDescent="0.25">
      <c r="A9" s="20"/>
      <c r="B9" s="122">
        <v>6</v>
      </c>
      <c r="C9" s="122" t="s">
        <v>6</v>
      </c>
      <c r="D9" s="123">
        <v>45459</v>
      </c>
      <c r="E9" s="122" t="s">
        <v>83</v>
      </c>
      <c r="F9" s="124">
        <v>0.75</v>
      </c>
      <c r="G9" s="125">
        <f t="shared" si="11"/>
        <v>45459.5</v>
      </c>
      <c r="H9" s="122" t="s">
        <v>94</v>
      </c>
      <c r="I9" s="126"/>
      <c r="J9" s="118"/>
      <c r="K9" s="118"/>
      <c r="L9" s="174">
        <f>IF(I9="",0,IFERROR(IF(SCORING.RULES!$C$8="No",1,((VLOOKUP($B9,ACTUALS!$B$4:$L$100,7,FALSE)=$H9)+(VLOOKUP($B9,ACTUALS!$B$4:$L$100,7,FALSE)=S9)))*(M9+N9+O9+P9+Q9),0))+$R9</f>
        <v>0</v>
      </c>
      <c r="M9" s="168">
        <f>IFERROR(IF($B9="","",IF(U9=INDEX(ACTUALS!$AA$4:$AA$100,MATCH($B9,ACTUALS!$B$4:$B$100,0),1),CorrectScore,0)),0)</f>
        <v>0</v>
      </c>
      <c r="N9" s="157" t="str">
        <f>IFERROR(IF(I9="","",IF(INDEX(ACTUALS!$AB$4:$AB$100,MATCH($B9,ACTUALS!$B$4:$B$100,0),1)=(AB9+AC9+AH9+AI9),CorrectNumberofGoals,0)),0)</f>
        <v/>
      </c>
      <c r="O9" s="157"/>
      <c r="P9" s="157">
        <f>IFERROR(IF(B9="","",IF(INDEX(ACTUALS!$L$4:$L$100,MATCH($B9,ACTUALS!$B$4:$B$100,0),1)=W9,CorrectResult,0)),0)</f>
        <v>3</v>
      </c>
      <c r="Q9" s="157"/>
      <c r="R9" s="157"/>
      <c r="S9" s="157" t="str">
        <f t="shared" si="0"/>
        <v/>
      </c>
      <c r="T9" s="157"/>
      <c r="U9" s="157" t="str">
        <f t="shared" si="1"/>
        <v/>
      </c>
      <c r="V9" s="157" t="str">
        <f t="shared" si="2"/>
        <v/>
      </c>
      <c r="W9" s="119" t="str">
        <f>IF(tblActuals3541519[[#This Row],[SCORE]]="","",IF(AB9=AC9,"Draw",IF(AB9&gt;AC9,X9,Y9)))</f>
        <v/>
      </c>
      <c r="X9" s="120" t="str">
        <f>IF(tblActuals3541519[[#This Row],[TEAMS]]="","",LEFT(H9,FIND(" -",H9,1)-1))</f>
        <v>Slovenia</v>
      </c>
      <c r="Y9" s="120" t="str">
        <f>IF(tblActuals3541519[[#This Row],[TEAMS]]="","",MID(H9,FIND("-",H9,1)+2,LEN(H9)-FIND("-",H9,1)+2))</f>
        <v>Denmark</v>
      </c>
      <c r="Z9" s="120" t="str">
        <f>IF(tblActuals3541519[[#This Row],[Team 1 Goals]]&gt;tblActuals3541519[[#This Row],[Team 2 Goals]],tblActuals3541519[[#This Row],[Team 1]],IF(tblActuals3541519[[#This Row],[Team 2 Goals]]&gt;tblActuals3541519[[#This Row],[Team 1 Goals]],tblActuals3541519[[#This Row],[Team 2]],""))</f>
        <v/>
      </c>
      <c r="AA9" s="120" t="str">
        <f>IF(tblActuals3541519[[#This Row],[Winner]]=tblActuals3541519[[#This Row],[Team 1]],tblActuals3541519[[#This Row],[Team 2]],IF(tblActuals3541519[[#This Row],[Winner]]=tblActuals3541519[[#This Row],[Team 2]],tblActuals3541519[[#This Row],[Team 1]],""))</f>
        <v/>
      </c>
      <c r="AB9" s="120" t="str">
        <f>IF(tblActuals3541519[[#This Row],[SCORE]]="","",LEFT(I9,FIND(":",I9,1)-1)*1)</f>
        <v/>
      </c>
      <c r="AC9" s="120" t="str">
        <f>IF(tblActuals3541519[[#This Row],[SCORE]]="","",MID(I9,FIND(":",I9,1)+1,LEN(I9)-FIND(":",I9,1)+1)*1)</f>
        <v/>
      </c>
      <c r="AD9" s="120" t="str">
        <f>IF(OR(tblActuals3541519[[#This Row],[Team 1 Goals]]="",tblActuals3541519[[#This Row],[Team 2 Goals]]=""),"",tblActuals3541519[[#This Row],[Team 1 Goals]]-tblActuals3541519[[#This Row],[Team 2 Goals]])</f>
        <v/>
      </c>
      <c r="AE9" s="120" t="str">
        <f>IF(OR(tblActuals3541519[[#This Row],[Team 1 Goals]]="",tblActuals3541519[[#This Row],[Team 2 Goals]]=""),"",tblActuals3541519[[#This Row],[Team 2 Goals]]-tblActuals3541519[[#This Row],[Team 1 Goals]])</f>
        <v/>
      </c>
      <c r="AF9" s="120" t="str">
        <f>IF(tblActuals3541519[[#This Row],[SCORE]]="","",IF(tblActuals3541519[[#This Row],[WINNER / RESULT]]="Draw",1,IF(tblActuals3541519[[#This Row],[WINNER / RESULT]]=tblActuals3541519[[#This Row],[Team 1]],3,0)))</f>
        <v/>
      </c>
      <c r="AG9" s="120" t="str">
        <f>IF(tblActuals3541519[[#This Row],[SCORE]]="","",IF(tblActuals3541519[[#This Row],[WINNER / RESULT]]="Draw",1,IF(tblActuals3541519[[#This Row],[WINNER / RESULT]]=tblActuals3541519[[#This Row],[Team 2]],3,0)))</f>
        <v/>
      </c>
      <c r="AH9" s="121"/>
      <c r="AI9" s="121"/>
      <c r="AJ9" s="121"/>
      <c r="AK9" s="121"/>
      <c r="AL9" s="120" t="e">
        <f>tblActuals3541519[[#This Row],[Team 1 Goals]]+tblActuals3541519[[#This Row],[Team 1 ET Goals]]&amp;":"&amp;tblActuals3541519[[#This Row],[Team 2 Goals]]+tblActuals3541519[[#This Row],[Team 2 ET Goals]]</f>
        <v>#VALUE!</v>
      </c>
      <c r="AM9" s="120" t="e">
        <f>+tblActuals3541519[[#This Row],[Team 1 Goals]]+tblActuals3541519[[#This Row],[Team 2 Goals]]</f>
        <v>#VALUE!</v>
      </c>
      <c r="AN9" s="161">
        <f t="shared" si="3"/>
        <v>45459</v>
      </c>
      <c r="AP9" s="38" t="s">
        <v>86</v>
      </c>
      <c r="AT9" s="77" t="s">
        <v>1</v>
      </c>
      <c r="AU9" s="145">
        <v>4</v>
      </c>
      <c r="AV9" s="146" t="str">
        <f ca="1">IFERROR(INDEX(BD:BD,MATCH("4"&amp;AT9,BN:BN,0),1),"")</f>
        <v>Switzerland</v>
      </c>
      <c r="AW9" s="146" t="str">
        <f ca="1">IF(AV9="","",VLOOKUP(AV9,BD:BI,2,FALSE)&amp;"-"&amp;VLOOKUP(AV9,BD:BI,3,FALSE)&amp;"-"&amp;VLOOKUP(AV9,BD:BI,4,FALSE))</f>
        <v>0-0-0</v>
      </c>
      <c r="AX9" s="146">
        <f ca="1">IF(AV9="","",VLOOKUP(AV9,BD:BK,8,FALSE))</f>
        <v>0</v>
      </c>
      <c r="AY9" s="147">
        <f ca="1">IF(AV9="","",VLOOKUP(AV9,BD:BN,5,FALSE))</f>
        <v>0</v>
      </c>
      <c r="AZ9" s="75"/>
      <c r="BA9" s="42"/>
      <c r="BB9" s="4"/>
      <c r="BC9" s="4" t="s">
        <v>5</v>
      </c>
      <c r="BD9" s="4" t="s">
        <v>127</v>
      </c>
      <c r="BE9" s="4">
        <f>COUNTIF(tblActuals3541519[Winner],BD9)</f>
        <v>0</v>
      </c>
      <c r="BF9" s="4">
        <f>COUNTIFS(tblActuals3541519[Team 2],BD9,tblActuals3541519[WINNER / RESULT],"Draw")+COUNTIFS(tblActuals3541519[Team 1],BD9,tblActuals3541519[WINNER / RESULT],"Draw")</f>
        <v>0</v>
      </c>
      <c r="BG9" s="4">
        <f>COUNTIF(tblActuals3541519[Loser],BD9)</f>
        <v>0</v>
      </c>
      <c r="BH9" s="4">
        <f>BF9+(3*BE9)</f>
        <v>0</v>
      </c>
      <c r="BI9" s="4">
        <f>SUMIFS(tblActuals3541519[Team 1 Goals],tblActuals3541519[Team 1],BD9)+SUMIFS(tblActuals3541519[Team 2 Goals],tblActuals3541519[Team 2],BD9)</f>
        <v>0</v>
      </c>
      <c r="BJ9" s="4">
        <f>SUMIFS(tblActuals3541519[Team 2 Goals],tblActuals3541519[Team 1],BD9)+SUMIFS(tblActuals3541519[Team 1 Goals],tblActuals3541519[Team 2],BD9)</f>
        <v>0</v>
      </c>
      <c r="BK9" s="4">
        <f>BI9-BJ9</f>
        <v>0</v>
      </c>
      <c r="BL9" s="4">
        <f ca="1">RANK(BY9,$BY$9:$BY$12,1)</f>
        <v>1</v>
      </c>
      <c r="BM9" s="4" t="str">
        <f t="shared" si="4"/>
        <v/>
      </c>
      <c r="BN9" s="4" t="str">
        <f ca="1">IF(BM9="",BL9&amp;BC9,BM9&amp;BC9)</f>
        <v>1B</v>
      </c>
      <c r="BO9" s="4">
        <f>RANK(BH9,$BH$9:$BH$12,0)</f>
        <v>1</v>
      </c>
      <c r="BP9" s="4" cm="1">
        <f t="array" aca="1" ref="BP9" ca="1">SUMPRODUCT((OFFSET($CV$3:$EA$3,MATCH($BD9,$CU$4:$CU$35,0),0))*((IF($BO11=$BO9,$CV$3:$EA$3=$BD11,0))+(IF($BO12=$BO9,$CV$3:$EA$3=$BD12,0))+(IF($BO10=$BO9,$CV$3:$EA$3=$BD10,0))))</f>
        <v>0</v>
      </c>
      <c r="BQ9" s="4" cm="1">
        <f t="array" aca="1" ref="BQ9" ca="1">SUMPRODUCT((OFFSET($ED$3:$FI$3,MATCH($BD9,$EC$4:$EC$35,0),0))*((IF($BO11=$BO9,$ED$3:$FI$3=$BD11,0))+(IF($BO12=$BO9,$ED$3:$FI$3=$BD12,0))+(IF($BO10=$BO9,$ED$3:$FI$3=$BD10,0))))</f>
        <v>0</v>
      </c>
      <c r="BR9" s="4" cm="1">
        <f t="array" aca="1" ref="BR9" ca="1">SUMPRODUCT((OFFSET($FL$3:$GQ$3,MATCH($BD9,$FK$4:$FK$35,0),0))*((IF($BO11=$BO9,$FL$3:$GQ$3=$BD11,0))+(IF($BO12=$BO9,$FL$3:$GQ$3=$BD12,0))+(IF($BO10=$BO9,$FL$3:$GQ$3=$BD10,0))))</f>
        <v>0</v>
      </c>
      <c r="BS9" s="4" cm="1">
        <f t="array" aca="1" ref="BS9" ca="1">SUMPRODUCT((OFFSET($CV$3:$EA$3,MATCH($BD9,$CU$4:$CU$35,0),0))*((IF($BO11&lt;&gt;$BO9,$CV$3:$EA$3=$BD11,0))+(IF($BO12&lt;&gt;$BO9,$CV$3:$EA$3=$BD12,0))+(IF($BO10&lt;&gt;$BO9,$CV$3:$EA$3=$BD10,0))))</f>
        <v>0</v>
      </c>
      <c r="BT9" s="4" cm="1">
        <f t="array" aca="1" ref="BT9" ca="1">SUMPRODUCT((OFFSET($ED$3:$FI$3,MATCH($BD9,$EC$4:$EC$35,0),0))*((IF($BO11&lt;&gt;$BO9,$ED$3:$FI$3=$BD11,0))+(IF($BO12&lt;&gt;$BO9,$ED$3:$FI$3=$BD12,0))+(IF($BO10&lt;&gt;$BO9,$ED$3:$FI$3=$BD10,0))))</f>
        <v>0</v>
      </c>
      <c r="BU9" s="4" cm="1">
        <f t="array" aca="1" ref="BU9" ca="1">SUMPRODUCT((OFFSET($FL$3:$GQ$3,MATCH($BD9,$FK$4:$FK$35,0),0))*((IF($BO11&lt;&gt;$BO9,$FL$3:$GQ$3=$BD11,0))+(IF($BO12&lt;&gt;$BO9,$FL$3:$GQ$3=$BD12,0))+(IF($BO10&lt;&gt;$BO9,$FL$3:$GQ$3=$BD10,0))))</f>
        <v>0</v>
      </c>
      <c r="BV9" s="4">
        <f>BK9</f>
        <v>0</v>
      </c>
      <c r="BW9" s="4">
        <f>BI9</f>
        <v>0</v>
      </c>
      <c r="BX9" s="4">
        <f ca="1">(BP9/10)+(BQ9/100)+(BR9/1000)+(BT9/10000)+(BU9/100000)+(BV9/1000000)+(BW9/10000000)+(ROW(BS12)/100000000)</f>
        <v>1.1999999999999999E-7</v>
      </c>
      <c r="BY9" s="4">
        <f ca="1">+BO9-BX9</f>
        <v>0.99999987999999995</v>
      </c>
      <c r="BZ9" s="4"/>
      <c r="CA9" s="4" t="s">
        <v>45</v>
      </c>
      <c r="CB9" s="4" t="str">
        <f ca="1">AV38</f>
        <v>Portugal</v>
      </c>
      <c r="CC9" s="4">
        <f t="shared" ca="1" si="5"/>
        <v>0</v>
      </c>
      <c r="CD9" s="4">
        <f t="shared" ca="1" si="6"/>
        <v>0</v>
      </c>
      <c r="CE9" s="4">
        <f t="shared" ca="1" si="7"/>
        <v>0</v>
      </c>
      <c r="CF9" s="4">
        <f t="shared" ca="1" si="8"/>
        <v>0</v>
      </c>
      <c r="CG9" s="4">
        <f t="shared" ca="1" si="9"/>
        <v>8.9999999999999996E-7</v>
      </c>
      <c r="CH9" s="4">
        <f t="shared" ca="1" si="10"/>
        <v>1</v>
      </c>
      <c r="CI9" s="4"/>
      <c r="CJ9" s="4"/>
      <c r="CK9" s="4"/>
      <c r="CL9" s="4"/>
      <c r="CM9" s="4"/>
      <c r="CN9" s="4"/>
      <c r="CO9" s="4"/>
      <c r="CP9" s="4"/>
      <c r="CQ9" s="4"/>
      <c r="CR9" s="4"/>
      <c r="CU9" s="4" t="s">
        <v>33</v>
      </c>
      <c r="CV9" s="56">
        <f>SUMIFS(tblActuals3541519[Team 2 Points],tblActuals3541519[Team 2],$CU9,tblActuals3541519[Team 1],CV$3)+SUMIFS(tblActuals3541519[Team 1 Points],tblActuals3541519[Team 1],$CU9,tblActuals3541519[Team 2],CV$3)</f>
        <v>0</v>
      </c>
      <c r="CW9" s="56">
        <f>SUMIFS(tblActuals3541519[Team 2 Points],tblActuals3541519[Team 2],$CU9,tblActuals3541519[Team 1],CW$3)+SUMIFS(tblActuals3541519[Team 1 Points],tblActuals3541519[Team 1],$CU9,tblActuals3541519[Team 2],CW$3)</f>
        <v>0</v>
      </c>
      <c r="CX9" s="56">
        <f>SUMIFS(tblActuals3541519[Team 2 Points],tblActuals3541519[Team 2],$CU9,tblActuals3541519[Team 1],CX$3)+SUMIFS(tblActuals3541519[Team 1 Points],tblActuals3541519[Team 1],$CU9,tblActuals3541519[Team 2],CX$3)</f>
        <v>0</v>
      </c>
      <c r="CY9" s="56">
        <f>SUMIFS(tblActuals3541519[Team 2 Points],tblActuals3541519[Team 2],$CU9,tblActuals3541519[Team 1],CY$3)+SUMIFS(tblActuals3541519[Team 1 Points],tblActuals3541519[Team 1],$CU9,tblActuals3541519[Team 2],CY$3)</f>
        <v>0</v>
      </c>
      <c r="CZ9" s="56">
        <f>SUMIFS(tblActuals3541519[Team 2 Points],tblActuals3541519[Team 2],$CU9,tblActuals3541519[Team 1],CZ$3)+SUMIFS(tblActuals3541519[Team 1 Points],tblActuals3541519[Team 1],$CU9,tblActuals3541519[Team 2],CZ$3)</f>
        <v>0</v>
      </c>
      <c r="DA9" s="56">
        <f>SUMIFS(tblActuals3541519[Team 2 Points],tblActuals3541519[Team 2],$CU9,tblActuals3541519[Team 1],DA$3)+SUMIFS(tblActuals3541519[Team 1 Points],tblActuals3541519[Team 1],$CU9,tblActuals3541519[Team 2],DA$3)</f>
        <v>0</v>
      </c>
      <c r="DB9" s="56">
        <f>SUMIFS(tblActuals3541519[Team 2 Points],tblActuals3541519[Team 2],$CU9,tblActuals3541519[Team 1],DB$3)+SUMIFS(tblActuals3541519[Team 1 Points],tblActuals3541519[Team 1],$CU9,tblActuals3541519[Team 2],DB$3)</f>
        <v>0</v>
      </c>
      <c r="DC9" s="56">
        <f>SUMIFS(tblActuals3541519[Team 2 Points],tblActuals3541519[Team 2],$CU9,tblActuals3541519[Team 1],DC$3)+SUMIFS(tblActuals3541519[Team 1 Points],tblActuals3541519[Team 1],$CU9,tblActuals3541519[Team 2],DC$3)</f>
        <v>0</v>
      </c>
      <c r="DD9" s="56">
        <f>SUMIFS(tblActuals3541519[Team 2 Points],tblActuals3541519[Team 2],$CU9,tblActuals3541519[Team 1],DD$3)+SUMIFS(tblActuals3541519[Team 1 Points],tblActuals3541519[Team 1],$CU9,tblActuals3541519[Team 2],DD$3)</f>
        <v>0</v>
      </c>
      <c r="DE9" s="56">
        <f>SUMIFS(tblActuals3541519[Team 2 Points],tblActuals3541519[Team 2],$CU9,tblActuals3541519[Team 1],DE$3)+SUMIFS(tblActuals3541519[Team 1 Points],tblActuals3541519[Team 1],$CU9,tblActuals3541519[Team 2],DE$3)</f>
        <v>0</v>
      </c>
      <c r="DF9" s="56">
        <f>SUMIFS(tblActuals3541519[Team 2 Points],tblActuals3541519[Team 2],$CU9,tblActuals3541519[Team 1],DF$3)+SUMIFS(tblActuals3541519[Team 1 Points],tblActuals3541519[Team 1],$CU9,tblActuals3541519[Team 2],DF$3)</f>
        <v>0</v>
      </c>
      <c r="DG9" s="56">
        <f>SUMIFS(tblActuals3541519[Team 2 Points],tblActuals3541519[Team 2],$CU9,tblActuals3541519[Team 1],DG$3)+SUMIFS(tblActuals3541519[Team 1 Points],tblActuals3541519[Team 1],$CU9,tblActuals3541519[Team 2],DG$3)</f>
        <v>0</v>
      </c>
      <c r="DH9" s="56">
        <f>SUMIFS(tblActuals3541519[Team 2 Points],tblActuals3541519[Team 2],$CU9,tblActuals3541519[Team 1],DH$3)+SUMIFS(tblActuals3541519[Team 1 Points],tblActuals3541519[Team 1],$CU9,tblActuals3541519[Team 2],DH$3)</f>
        <v>0</v>
      </c>
      <c r="DI9" s="56">
        <f>SUMIFS(tblActuals3541519[Team 2 Points],tblActuals3541519[Team 2],$CU9,tblActuals3541519[Team 1],DI$3)+SUMIFS(tblActuals3541519[Team 1 Points],tblActuals3541519[Team 1],$CU9,tblActuals3541519[Team 2],DI$3)</f>
        <v>0</v>
      </c>
      <c r="DJ9" s="56">
        <f>SUMIFS(tblActuals3541519[Team 2 Points],tblActuals3541519[Team 2],$CU9,tblActuals3541519[Team 1],DJ$3)+SUMIFS(tblActuals3541519[Team 1 Points],tblActuals3541519[Team 1],$CU9,tblActuals3541519[Team 2],DJ$3)</f>
        <v>0</v>
      </c>
      <c r="DK9" s="56">
        <f>SUMIFS(tblActuals3541519[Team 2 Points],tblActuals3541519[Team 2],$CU9,tblActuals3541519[Team 1],DK$3)+SUMIFS(tblActuals3541519[Team 1 Points],tblActuals3541519[Team 1],$CU9,tblActuals3541519[Team 2],DK$3)</f>
        <v>0</v>
      </c>
      <c r="DL9" s="56">
        <f>SUMIFS(tblActuals3541519[Team 2 Points],tblActuals3541519[Team 2],$CU9,tblActuals3541519[Team 1],DL$3)+SUMIFS(tblActuals3541519[Team 1 Points],tblActuals3541519[Team 1],$CU9,tblActuals3541519[Team 2],DL$3)</f>
        <v>0</v>
      </c>
      <c r="DM9" s="56">
        <f>SUMIFS(tblActuals3541519[Team 2 Points],tblActuals3541519[Team 2],$CU9,tblActuals3541519[Team 1],DM$3)+SUMIFS(tblActuals3541519[Team 1 Points],tblActuals3541519[Team 1],$CU9,tblActuals3541519[Team 2],DM$3)</f>
        <v>0</v>
      </c>
      <c r="DN9" s="56">
        <f>SUMIFS(tblActuals3541519[Team 2 Points],tblActuals3541519[Team 2],$CU9,tblActuals3541519[Team 1],DN$3)+SUMIFS(tblActuals3541519[Team 1 Points],tblActuals3541519[Team 1],$CU9,tblActuals3541519[Team 2],DN$3)</f>
        <v>0</v>
      </c>
      <c r="DO9" s="56">
        <f>SUMIFS(tblActuals3541519[Team 2 Points],tblActuals3541519[Team 2],$CU9,tblActuals3541519[Team 1],DO$3)+SUMIFS(tblActuals3541519[Team 1 Points],tblActuals3541519[Team 1],$CU9,tblActuals3541519[Team 2],DO$3)</f>
        <v>0</v>
      </c>
      <c r="DP9" s="56">
        <f>SUMIFS(tblActuals3541519[Team 2 Points],tblActuals3541519[Team 2],$CU9,tblActuals3541519[Team 1],DP$3)+SUMIFS(tblActuals3541519[Team 1 Points],tblActuals3541519[Team 1],$CU9,tblActuals3541519[Team 2],DP$3)</f>
        <v>0</v>
      </c>
      <c r="DQ9" s="56">
        <f>SUMIFS(tblActuals3541519[Team 2 Points],tblActuals3541519[Team 2],$CU9,tblActuals3541519[Team 1],DQ$3)+SUMIFS(tblActuals3541519[Team 1 Points],tblActuals3541519[Team 1],$CU9,tblActuals3541519[Team 2],DQ$3)</f>
        <v>0</v>
      </c>
      <c r="DR9" s="56">
        <f>SUMIFS(tblActuals3541519[Team 2 Points],tblActuals3541519[Team 2],$CU9,tblActuals3541519[Team 1],DR$3)+SUMIFS(tblActuals3541519[Team 1 Points],tblActuals3541519[Team 1],$CU9,tblActuals3541519[Team 2],DR$3)</f>
        <v>0</v>
      </c>
      <c r="DS9" s="56">
        <f>SUMIFS(tblActuals3541519[Team 2 Points],tblActuals3541519[Team 2],$CU9,tblActuals3541519[Team 1],DS$3)+SUMIFS(tblActuals3541519[Team 1 Points],tblActuals3541519[Team 1],$CU9,tblActuals3541519[Team 2],DS$3)</f>
        <v>0</v>
      </c>
      <c r="DT9" s="57"/>
      <c r="DU9" s="57"/>
      <c r="DV9" s="57"/>
      <c r="DW9" s="57"/>
      <c r="DX9" s="57"/>
      <c r="DY9" s="57"/>
      <c r="DZ9" s="57"/>
      <c r="EA9" s="57"/>
      <c r="EB9" s="4"/>
      <c r="EC9" s="4" t="s">
        <v>33</v>
      </c>
      <c r="ED9" s="56">
        <f>SUMIFS(tblActuals3541519[Team 2 GD],tblActuals3541519[Team 2],$CU9,tblActuals3541519[Team 1],ED$3)+SUMIFS(tblActuals3541519[Team 1 GD],tblActuals3541519[Team 1],$CU9,tblActuals3541519[Team 2],ED$3)</f>
        <v>0</v>
      </c>
      <c r="EE9" s="56">
        <f>SUMIFS(tblActuals3541519[Team 2 GD],tblActuals3541519[Team 2],$CU9,tblActuals3541519[Team 1],EE$3)+SUMIFS(tblActuals3541519[Team 1 GD],tblActuals3541519[Team 1],$CU9,tblActuals3541519[Team 2],EE$3)</f>
        <v>0</v>
      </c>
      <c r="EF9" s="56">
        <f>SUMIFS(tblActuals3541519[Team 2 GD],tblActuals3541519[Team 2],$CU9,tblActuals3541519[Team 1],EF$3)+SUMIFS(tblActuals3541519[Team 1 GD],tblActuals3541519[Team 1],$CU9,tblActuals3541519[Team 2],EF$3)</f>
        <v>0</v>
      </c>
      <c r="EG9" s="56">
        <f>SUMIFS(tblActuals3541519[Team 2 GD],tblActuals3541519[Team 2],$CU9,tblActuals3541519[Team 1],EG$3)+SUMIFS(tblActuals3541519[Team 1 GD],tblActuals3541519[Team 1],$CU9,tblActuals3541519[Team 2],EG$3)</f>
        <v>0</v>
      </c>
      <c r="EH9" s="56">
        <f>SUMIFS(tblActuals3541519[Team 2 GD],tblActuals3541519[Team 2],$CU9,tblActuals3541519[Team 1],EH$3)+SUMIFS(tblActuals3541519[Team 1 GD],tblActuals3541519[Team 1],$CU9,tblActuals3541519[Team 2],EH$3)</f>
        <v>0</v>
      </c>
      <c r="EI9" s="56">
        <f>SUMIFS(tblActuals3541519[Team 2 GD],tblActuals3541519[Team 2],$CU9,tblActuals3541519[Team 1],EI$3)+SUMIFS(tblActuals3541519[Team 1 GD],tblActuals3541519[Team 1],$CU9,tblActuals3541519[Team 2],EI$3)</f>
        <v>0</v>
      </c>
      <c r="EJ9" s="56">
        <f>SUMIFS(tblActuals3541519[Team 2 GD],tblActuals3541519[Team 2],$CU9,tblActuals3541519[Team 1],EJ$3)+SUMIFS(tblActuals3541519[Team 1 GD],tblActuals3541519[Team 1],$CU9,tblActuals3541519[Team 2],EJ$3)</f>
        <v>0</v>
      </c>
      <c r="EK9" s="56">
        <f>SUMIFS(tblActuals3541519[Team 2 GD],tblActuals3541519[Team 2],$CU9,tblActuals3541519[Team 1],EK$3)+SUMIFS(tblActuals3541519[Team 1 GD],tblActuals3541519[Team 1],$CU9,tblActuals3541519[Team 2],EK$3)</f>
        <v>0</v>
      </c>
      <c r="EL9" s="56">
        <f>SUMIFS(tblActuals3541519[Team 2 GD],tblActuals3541519[Team 2],$CU9,tblActuals3541519[Team 1],EL$3)+SUMIFS(tblActuals3541519[Team 1 GD],tblActuals3541519[Team 1],$CU9,tblActuals3541519[Team 2],EL$3)</f>
        <v>0</v>
      </c>
      <c r="EM9" s="56">
        <f>SUMIFS(tblActuals3541519[Team 2 GD],tblActuals3541519[Team 2],$CU9,tblActuals3541519[Team 1],EM$3)+SUMIFS(tblActuals3541519[Team 1 GD],tblActuals3541519[Team 1],$CU9,tblActuals3541519[Team 2],EM$3)</f>
        <v>0</v>
      </c>
      <c r="EN9" s="56">
        <f>SUMIFS(tblActuals3541519[Team 2 GD],tblActuals3541519[Team 2],$CU9,tblActuals3541519[Team 1],EN$3)+SUMIFS(tblActuals3541519[Team 1 GD],tblActuals3541519[Team 1],$CU9,tblActuals3541519[Team 2],EN$3)</f>
        <v>0</v>
      </c>
      <c r="EO9" s="56">
        <f>SUMIFS(tblActuals3541519[Team 2 GD],tblActuals3541519[Team 2],$CU9,tblActuals3541519[Team 1],EO$3)+SUMIFS(tblActuals3541519[Team 1 GD],tblActuals3541519[Team 1],$CU9,tblActuals3541519[Team 2],EO$3)</f>
        <v>0</v>
      </c>
      <c r="EP9" s="56">
        <f>SUMIFS(tblActuals3541519[Team 2 GD],tblActuals3541519[Team 2],$CU9,tblActuals3541519[Team 1],EP$3)+SUMIFS(tblActuals3541519[Team 1 GD],tblActuals3541519[Team 1],$CU9,tblActuals3541519[Team 2],EP$3)</f>
        <v>0</v>
      </c>
      <c r="EQ9" s="56">
        <f>SUMIFS(tblActuals3541519[Team 2 GD],tblActuals3541519[Team 2],$CU9,tblActuals3541519[Team 1],EQ$3)+SUMIFS(tblActuals3541519[Team 1 GD],tblActuals3541519[Team 1],$CU9,tblActuals3541519[Team 2],EQ$3)</f>
        <v>0</v>
      </c>
      <c r="ER9" s="56">
        <f>SUMIFS(tblActuals3541519[Team 2 GD],tblActuals3541519[Team 2],$CU9,tblActuals3541519[Team 1],ER$3)+SUMIFS(tblActuals3541519[Team 1 GD],tblActuals3541519[Team 1],$CU9,tblActuals3541519[Team 2],ER$3)</f>
        <v>0</v>
      </c>
      <c r="ES9" s="56">
        <f>SUMIFS(tblActuals3541519[Team 2 GD],tblActuals3541519[Team 2],$CU9,tblActuals3541519[Team 1],ES$3)+SUMIFS(tblActuals3541519[Team 1 GD],tblActuals3541519[Team 1],$CU9,tblActuals3541519[Team 2],ES$3)</f>
        <v>0</v>
      </c>
      <c r="ET9" s="56">
        <f>SUMIFS(tblActuals3541519[Team 2 GD],tblActuals3541519[Team 2],$CU9,tblActuals3541519[Team 1],ET$3)+SUMIFS(tblActuals3541519[Team 1 GD],tblActuals3541519[Team 1],$CU9,tblActuals3541519[Team 2],ET$3)</f>
        <v>0</v>
      </c>
      <c r="EU9" s="56">
        <f>SUMIFS(tblActuals3541519[Team 2 GD],tblActuals3541519[Team 2],$CU9,tblActuals3541519[Team 1],EU$3)+SUMIFS(tblActuals3541519[Team 1 GD],tblActuals3541519[Team 1],$CU9,tblActuals3541519[Team 2],EU$3)</f>
        <v>0</v>
      </c>
      <c r="EV9" s="56">
        <f>SUMIFS(tblActuals3541519[Team 2 GD],tblActuals3541519[Team 2],$CU9,tblActuals3541519[Team 1],EV$3)+SUMIFS(tblActuals3541519[Team 1 GD],tblActuals3541519[Team 1],$CU9,tblActuals3541519[Team 2],EV$3)</f>
        <v>0</v>
      </c>
      <c r="EW9" s="56">
        <f>SUMIFS(tblActuals3541519[Team 2 GD],tblActuals3541519[Team 2],$CU9,tblActuals3541519[Team 1],EW$3)+SUMIFS(tblActuals3541519[Team 1 GD],tblActuals3541519[Team 1],$CU9,tblActuals3541519[Team 2],EW$3)</f>
        <v>0</v>
      </c>
      <c r="EX9" s="56">
        <f>SUMIFS(tblActuals3541519[Team 2 GD],tblActuals3541519[Team 2],$CU9,tblActuals3541519[Team 1],EX$3)+SUMIFS(tblActuals3541519[Team 1 GD],tblActuals3541519[Team 1],$CU9,tblActuals3541519[Team 2],EX$3)</f>
        <v>0</v>
      </c>
      <c r="EY9" s="56">
        <f>SUMIFS(tblActuals3541519[Team 2 GD],tblActuals3541519[Team 2],$CU9,tblActuals3541519[Team 1],EY$3)+SUMIFS(tblActuals3541519[Team 1 GD],tblActuals3541519[Team 1],$CU9,tblActuals3541519[Team 2],EY$3)</f>
        <v>0</v>
      </c>
      <c r="EZ9" s="56">
        <f>SUMIFS(tblActuals3541519[Team 2 GD],tblActuals3541519[Team 2],$CU9,tblActuals3541519[Team 1],EZ$3)+SUMIFS(tblActuals3541519[Team 1 GD],tblActuals3541519[Team 1],$CU9,tblActuals3541519[Team 2],EZ$3)</f>
        <v>0</v>
      </c>
      <c r="FA9" s="56">
        <f>SUMIFS(tblActuals3541519[Team 2 GD],tblActuals3541519[Team 2],$CU9,tblActuals3541519[Team 1],FA$3)+SUMIFS(tblActuals3541519[Team 1 GD],tblActuals3541519[Team 1],$CU9,tblActuals3541519[Team 2],FA$3)</f>
        <v>0</v>
      </c>
      <c r="FB9" s="57"/>
      <c r="FC9" s="57"/>
      <c r="FD9" s="57"/>
      <c r="FE9" s="57"/>
      <c r="FF9" s="57"/>
      <c r="FG9" s="57"/>
      <c r="FH9" s="57"/>
      <c r="FI9" s="57"/>
      <c r="FJ9" s="4"/>
      <c r="FK9" s="4" t="s">
        <v>33</v>
      </c>
      <c r="FL9" s="56">
        <f>SUMIFS(tblActuals3541519[Team 2 Goals],tblActuals3541519[Team 2],$CU9,tblActuals3541519[Team 1],FL$3)+SUMIFS(tblActuals3541519[Team 1 Goals],tblActuals3541519[Team 1],$CU9,tblActuals3541519[Team 2],FL$3)</f>
        <v>0</v>
      </c>
      <c r="FM9" s="56">
        <f>SUMIFS(tblActuals3541519[Team 2 Goals],tblActuals3541519[Team 2],$CU9,tblActuals3541519[Team 1],FM$3)+SUMIFS(tblActuals3541519[Team 1 Goals],tblActuals3541519[Team 1],$CU9,tblActuals3541519[Team 2],FM$3)</f>
        <v>0</v>
      </c>
      <c r="FN9" s="56">
        <f>SUMIFS(tblActuals3541519[Team 2 Goals],tblActuals3541519[Team 2],$CU9,tblActuals3541519[Team 1],FN$3)+SUMIFS(tblActuals3541519[Team 1 Goals],tblActuals3541519[Team 1],$CU9,tblActuals3541519[Team 2],FN$3)</f>
        <v>0</v>
      </c>
      <c r="FO9" s="56">
        <f>SUMIFS(tblActuals3541519[Team 2 Goals],tblActuals3541519[Team 2],$CU9,tblActuals3541519[Team 1],FO$3)+SUMIFS(tblActuals3541519[Team 1 Goals],tblActuals3541519[Team 1],$CU9,tblActuals3541519[Team 2],FO$3)</f>
        <v>0</v>
      </c>
      <c r="FP9" s="56">
        <f>SUMIFS(tblActuals3541519[Team 2 Goals],tblActuals3541519[Team 2],$CU9,tblActuals3541519[Team 1],FP$3)+SUMIFS(tblActuals3541519[Team 1 Goals],tblActuals3541519[Team 1],$CU9,tblActuals3541519[Team 2],FP$3)</f>
        <v>0</v>
      </c>
      <c r="FQ9" s="56">
        <f>SUMIFS(tblActuals3541519[Team 2 Goals],tblActuals3541519[Team 2],$CU9,tblActuals3541519[Team 1],FQ$3)+SUMIFS(tblActuals3541519[Team 1 Goals],tblActuals3541519[Team 1],$CU9,tblActuals3541519[Team 2],FQ$3)</f>
        <v>0</v>
      </c>
      <c r="FR9" s="56">
        <f>SUMIFS(tblActuals3541519[Team 2 Goals],tblActuals3541519[Team 2],$CU9,tblActuals3541519[Team 1],FR$3)+SUMIFS(tblActuals3541519[Team 1 Goals],tblActuals3541519[Team 1],$CU9,tblActuals3541519[Team 2],FR$3)</f>
        <v>0</v>
      </c>
      <c r="FS9" s="56">
        <f>SUMIFS(tblActuals3541519[Team 2 Goals],tblActuals3541519[Team 2],$CU9,tblActuals3541519[Team 1],FS$3)+SUMIFS(tblActuals3541519[Team 1 Goals],tblActuals3541519[Team 1],$CU9,tblActuals3541519[Team 2],FS$3)</f>
        <v>0</v>
      </c>
      <c r="FT9" s="56">
        <f>SUMIFS(tblActuals3541519[Team 2 Goals],tblActuals3541519[Team 2],$CU9,tblActuals3541519[Team 1],FT$3)+SUMIFS(tblActuals3541519[Team 1 Goals],tblActuals3541519[Team 1],$CU9,tblActuals3541519[Team 2],FT$3)</f>
        <v>0</v>
      </c>
      <c r="FU9" s="56">
        <f>SUMIFS(tblActuals3541519[Team 2 Goals],tblActuals3541519[Team 2],$CU9,tblActuals3541519[Team 1],FU$3)+SUMIFS(tblActuals3541519[Team 1 Goals],tblActuals3541519[Team 1],$CU9,tblActuals3541519[Team 2],FU$3)</f>
        <v>0</v>
      </c>
      <c r="FV9" s="56">
        <f>SUMIFS(tblActuals3541519[Team 2 Goals],tblActuals3541519[Team 2],$CU9,tblActuals3541519[Team 1],FV$3)+SUMIFS(tblActuals3541519[Team 1 Goals],tblActuals3541519[Team 1],$CU9,tblActuals3541519[Team 2],FV$3)</f>
        <v>0</v>
      </c>
      <c r="FW9" s="56">
        <f>SUMIFS(tblActuals3541519[Team 2 Goals],tblActuals3541519[Team 2],$CU9,tblActuals3541519[Team 1],FW$3)+SUMIFS(tblActuals3541519[Team 1 Goals],tblActuals3541519[Team 1],$CU9,tblActuals3541519[Team 2],FW$3)</f>
        <v>0</v>
      </c>
      <c r="FX9" s="56">
        <f>SUMIFS(tblActuals3541519[Team 2 Goals],tblActuals3541519[Team 2],$CU9,tblActuals3541519[Team 1],FX$3)+SUMIFS(tblActuals3541519[Team 1 Goals],tblActuals3541519[Team 1],$CU9,tblActuals3541519[Team 2],FX$3)</f>
        <v>0</v>
      </c>
      <c r="FY9" s="56">
        <f>SUMIFS(tblActuals3541519[Team 2 Goals],tblActuals3541519[Team 2],$CU9,tblActuals3541519[Team 1],FY$3)+SUMIFS(tblActuals3541519[Team 1 Goals],tblActuals3541519[Team 1],$CU9,tblActuals3541519[Team 2],FY$3)</f>
        <v>0</v>
      </c>
      <c r="FZ9" s="56">
        <f>SUMIFS(tblActuals3541519[Team 2 Goals],tblActuals3541519[Team 2],$CU9,tblActuals3541519[Team 1],FZ$3)+SUMIFS(tblActuals3541519[Team 1 Goals],tblActuals3541519[Team 1],$CU9,tblActuals3541519[Team 2],FZ$3)</f>
        <v>0</v>
      </c>
      <c r="GA9" s="56">
        <f>SUMIFS(tblActuals3541519[Team 2 Goals],tblActuals3541519[Team 2],$CU9,tblActuals3541519[Team 1],GA$3)+SUMIFS(tblActuals3541519[Team 1 Goals],tblActuals3541519[Team 1],$CU9,tblActuals3541519[Team 2],GA$3)</f>
        <v>0</v>
      </c>
      <c r="GB9" s="56">
        <f>SUMIFS(tblActuals3541519[Team 2 Goals],tblActuals3541519[Team 2],$CU9,tblActuals3541519[Team 1],GB$3)+SUMIFS(tblActuals3541519[Team 1 Goals],tblActuals3541519[Team 1],$CU9,tblActuals3541519[Team 2],GB$3)</f>
        <v>0</v>
      </c>
      <c r="GC9" s="56">
        <f>SUMIFS(tblActuals3541519[Team 2 Goals],tblActuals3541519[Team 2],$CU9,tblActuals3541519[Team 1],GC$3)+SUMIFS(tblActuals3541519[Team 1 Goals],tblActuals3541519[Team 1],$CU9,tblActuals3541519[Team 2],GC$3)</f>
        <v>0</v>
      </c>
      <c r="GD9" s="56">
        <f>SUMIFS(tblActuals3541519[Team 2 Goals],tblActuals3541519[Team 2],$CU9,tblActuals3541519[Team 1],GD$3)+SUMIFS(tblActuals3541519[Team 1 Goals],tblActuals3541519[Team 1],$CU9,tblActuals3541519[Team 2],GD$3)</f>
        <v>0</v>
      </c>
      <c r="GE9" s="56">
        <f>SUMIFS(tblActuals3541519[Team 2 Goals],tblActuals3541519[Team 2],$CU9,tblActuals3541519[Team 1],GE$3)+SUMIFS(tblActuals3541519[Team 1 Goals],tblActuals3541519[Team 1],$CU9,tblActuals3541519[Team 2],GE$3)</f>
        <v>0</v>
      </c>
      <c r="GF9" s="56">
        <f>SUMIFS(tblActuals3541519[Team 2 Goals],tblActuals3541519[Team 2],$CU9,tblActuals3541519[Team 1],GF$3)+SUMIFS(tblActuals3541519[Team 1 Goals],tblActuals3541519[Team 1],$CU9,tblActuals3541519[Team 2],GF$3)</f>
        <v>0</v>
      </c>
      <c r="GG9" s="56">
        <f>SUMIFS(tblActuals3541519[Team 2 Goals],tblActuals3541519[Team 2],$CU9,tblActuals3541519[Team 1],GG$3)+SUMIFS(tblActuals3541519[Team 1 Goals],tblActuals3541519[Team 1],$CU9,tblActuals3541519[Team 2],GG$3)</f>
        <v>0</v>
      </c>
      <c r="GH9" s="56">
        <f>SUMIFS(tblActuals3541519[Team 2 Goals],tblActuals3541519[Team 2],$CU9,tblActuals3541519[Team 1],GH$3)+SUMIFS(tblActuals3541519[Team 1 Goals],tblActuals3541519[Team 1],$CU9,tblActuals3541519[Team 2],GH$3)</f>
        <v>0</v>
      </c>
      <c r="GI9" s="56">
        <f>SUMIFS(tblActuals3541519[Team 2 Goals],tblActuals3541519[Team 2],$CU9,tblActuals3541519[Team 1],GI$3)+SUMIFS(tblActuals3541519[Team 1 Goals],tblActuals3541519[Team 1],$CU9,tblActuals3541519[Team 2],GI$3)</f>
        <v>0</v>
      </c>
      <c r="GJ9" s="57"/>
      <c r="GK9" s="57"/>
      <c r="GL9" s="37"/>
      <c r="GM9" s="37"/>
      <c r="GN9" s="37"/>
      <c r="GO9" s="37"/>
      <c r="GP9" s="37"/>
      <c r="GQ9" s="37"/>
      <c r="GR9" s="75"/>
      <c r="GS9" s="156"/>
      <c r="GT9" s="156"/>
      <c r="GU9" s="75"/>
      <c r="GV9" s="22"/>
      <c r="GW9" s="75"/>
      <c r="GX9" s="75"/>
      <c r="GY9" s="75"/>
      <c r="GZ9" s="75"/>
      <c r="HB9" s="4" t="str">
        <f t="shared" si="12"/>
        <v>ABDF</v>
      </c>
      <c r="HC9" s="44" t="s">
        <v>1</v>
      </c>
      <c r="HD9" s="44" t="s">
        <v>5</v>
      </c>
      <c r="HE9" s="45"/>
      <c r="HF9" s="44" t="s">
        <v>7</v>
      </c>
      <c r="HG9" s="45"/>
      <c r="HH9" s="44" t="s">
        <v>45</v>
      </c>
      <c r="HI9" s="178"/>
      <c r="HJ9" s="45" t="s">
        <v>150</v>
      </c>
      <c r="HK9" s="45" t="s">
        <v>154</v>
      </c>
      <c r="HL9" s="45" t="s">
        <v>149</v>
      </c>
      <c r="HM9" s="45" t="s">
        <v>151</v>
      </c>
    </row>
    <row r="10" spans="1:221" s="11" customFormat="1" ht="30" customHeight="1" thickBot="1" x14ac:dyDescent="0.25">
      <c r="A10" s="20"/>
      <c r="B10" s="122">
        <v>7</v>
      </c>
      <c r="C10" s="122" t="s">
        <v>7</v>
      </c>
      <c r="D10" s="123">
        <v>45459</v>
      </c>
      <c r="E10" s="122" t="s">
        <v>84</v>
      </c>
      <c r="F10" s="124">
        <v>0.625</v>
      </c>
      <c r="G10" s="125">
        <f t="shared" si="11"/>
        <v>45459.375</v>
      </c>
      <c r="H10" s="122" t="s">
        <v>95</v>
      </c>
      <c r="I10" s="126"/>
      <c r="J10" s="118"/>
      <c r="K10" s="118"/>
      <c r="L10" s="174">
        <f>IF(I10="",0,IFERROR(IF(SCORING.RULES!$C$8="No",1,((VLOOKUP($B10,ACTUALS!$B$4:$L$100,7,FALSE)=$H10)+(VLOOKUP($B10,ACTUALS!$B$4:$L$100,7,FALSE)=S10)))*(M10+N10+O10+P10+Q10),0))+$R10</f>
        <v>0</v>
      </c>
      <c r="M10" s="168">
        <f>IFERROR(IF($B10="","",IF(U10=INDEX(ACTUALS!$AA$4:$AA$100,MATCH($B10,ACTUALS!$B$4:$B$100,0),1),CorrectScore,0)),0)</f>
        <v>0</v>
      </c>
      <c r="N10" s="157" t="str">
        <f>IFERROR(IF(I10="","",IF(INDEX(ACTUALS!$AB$4:$AB$100,MATCH($B10,ACTUALS!$B$4:$B$100,0),1)=(AB10+AC10+AH10+AI10),CorrectNumberofGoals,0)),0)</f>
        <v/>
      </c>
      <c r="O10" s="157"/>
      <c r="P10" s="157">
        <f>IFERROR(IF(B10="","",IF(INDEX(ACTUALS!$L$4:$L$100,MATCH($B10,ACTUALS!$B$4:$B$100,0),1)=W10,CorrectResult,0)),0)</f>
        <v>3</v>
      </c>
      <c r="Q10" s="157"/>
      <c r="R10" s="157"/>
      <c r="S10" s="157" t="str">
        <f t="shared" si="0"/>
        <v/>
      </c>
      <c r="T10" s="157"/>
      <c r="U10" s="157" t="str">
        <f t="shared" si="1"/>
        <v/>
      </c>
      <c r="V10" s="157" t="str">
        <f t="shared" si="2"/>
        <v/>
      </c>
      <c r="W10" s="119" t="str">
        <f>IF(tblActuals3541519[[#This Row],[SCORE]]="","",IF(AB10=AC10,"Draw",IF(AB10&gt;AC10,X10,Y10)))</f>
        <v/>
      </c>
      <c r="X10" s="120" t="str">
        <f>IF(tblActuals3541519[[#This Row],[TEAMS]]="","",LEFT(H10,FIND(" -",H10,1)-1))</f>
        <v>Poland</v>
      </c>
      <c r="Y10" s="120" t="str">
        <f>IF(tblActuals3541519[[#This Row],[TEAMS]]="","",MID(H10,FIND("-",H10,1)+2,LEN(H10)-FIND("-",H10,1)+2))</f>
        <v>Netherlands</v>
      </c>
      <c r="Z10" s="120" t="str">
        <f>IF(tblActuals3541519[[#This Row],[Team 1 Goals]]&gt;tblActuals3541519[[#This Row],[Team 2 Goals]],tblActuals3541519[[#This Row],[Team 1]],IF(tblActuals3541519[[#This Row],[Team 2 Goals]]&gt;tblActuals3541519[[#This Row],[Team 1 Goals]],tblActuals3541519[[#This Row],[Team 2]],""))</f>
        <v/>
      </c>
      <c r="AA10" s="120" t="str">
        <f>IF(tblActuals3541519[[#This Row],[Winner]]=tblActuals3541519[[#This Row],[Team 1]],tblActuals3541519[[#This Row],[Team 2]],IF(tblActuals3541519[[#This Row],[Winner]]=tblActuals3541519[[#This Row],[Team 2]],tblActuals3541519[[#This Row],[Team 1]],""))</f>
        <v/>
      </c>
      <c r="AB10" s="120" t="str">
        <f>IF(tblActuals3541519[[#This Row],[SCORE]]="","",LEFT(I10,FIND(":",I10,1)-1)*1)</f>
        <v/>
      </c>
      <c r="AC10" s="120" t="str">
        <f>IF(tblActuals3541519[[#This Row],[SCORE]]="","",MID(I10,FIND(":",I10,1)+1,LEN(I10)-FIND(":",I10,1)+1)*1)</f>
        <v/>
      </c>
      <c r="AD10" s="120" t="str">
        <f>IF(OR(tblActuals3541519[[#This Row],[Team 1 Goals]]="",tblActuals3541519[[#This Row],[Team 2 Goals]]=""),"",tblActuals3541519[[#This Row],[Team 1 Goals]]-tblActuals3541519[[#This Row],[Team 2 Goals]])</f>
        <v/>
      </c>
      <c r="AE10" s="120" t="str">
        <f>IF(OR(tblActuals3541519[[#This Row],[Team 1 Goals]]="",tblActuals3541519[[#This Row],[Team 2 Goals]]=""),"",tblActuals3541519[[#This Row],[Team 2 Goals]]-tblActuals3541519[[#This Row],[Team 1 Goals]])</f>
        <v/>
      </c>
      <c r="AF10" s="120" t="str">
        <f>IF(tblActuals3541519[[#This Row],[SCORE]]="","",IF(tblActuals3541519[[#This Row],[WINNER / RESULT]]="Draw",1,IF(tblActuals3541519[[#This Row],[WINNER / RESULT]]=tblActuals3541519[[#This Row],[Team 1]],3,0)))</f>
        <v/>
      </c>
      <c r="AG10" s="120" t="str">
        <f>IF(tblActuals3541519[[#This Row],[SCORE]]="","",IF(tblActuals3541519[[#This Row],[WINNER / RESULT]]="Draw",1,IF(tblActuals3541519[[#This Row],[WINNER / RESULT]]=tblActuals3541519[[#This Row],[Team 2]],3,0)))</f>
        <v/>
      </c>
      <c r="AH10" s="121"/>
      <c r="AI10" s="121"/>
      <c r="AJ10" s="121"/>
      <c r="AK10" s="121"/>
      <c r="AL10" s="120" t="e">
        <f>tblActuals3541519[[#This Row],[Team 1 Goals]]+tblActuals3541519[[#This Row],[Team 1 ET Goals]]&amp;":"&amp;tblActuals3541519[[#This Row],[Team 2 Goals]]+tblActuals3541519[[#This Row],[Team 2 ET Goals]]</f>
        <v>#VALUE!</v>
      </c>
      <c r="AM10" s="120" t="e">
        <f>+tblActuals3541519[[#This Row],[Team 1 Goals]]+tblActuals3541519[[#This Row],[Team 2 Goals]]</f>
        <v>#VALUE!</v>
      </c>
      <c r="AN10" s="161">
        <f t="shared" si="3"/>
        <v>45459</v>
      </c>
      <c r="AP10" s="38" t="s">
        <v>82</v>
      </c>
      <c r="AT10" s="77"/>
      <c r="AU10" s="148"/>
      <c r="AV10" s="148"/>
      <c r="AW10" s="148"/>
      <c r="AX10" s="148"/>
      <c r="AY10" s="148"/>
      <c r="AZ10" s="75"/>
      <c r="BA10" s="42"/>
      <c r="BB10" s="4"/>
      <c r="BC10" s="4" t="s">
        <v>5</v>
      </c>
      <c r="BD10" s="4" t="s">
        <v>33</v>
      </c>
      <c r="BE10" s="4">
        <f>COUNTIF(tblActuals3541519[Winner],BD10)</f>
        <v>0</v>
      </c>
      <c r="BF10" s="4">
        <f>COUNTIFS(tblActuals3541519[Team 2],BD10,tblActuals3541519[WINNER / RESULT],"Draw")+COUNTIFS(tblActuals3541519[Team 1],BD10,tblActuals3541519[WINNER / RESULT],"Draw")</f>
        <v>0</v>
      </c>
      <c r="BG10" s="4">
        <f>COUNTIF(tblActuals3541519[Loser],BD10)</f>
        <v>0</v>
      </c>
      <c r="BH10" s="4">
        <f>BF10+(3*BE10)</f>
        <v>0</v>
      </c>
      <c r="BI10" s="4">
        <f>SUMIFS(tblActuals3541519[Team 1 Goals],tblActuals3541519[Team 1],BD10)+SUMIFS(tblActuals3541519[Team 2 Goals],tblActuals3541519[Team 2],BD10)</f>
        <v>0</v>
      </c>
      <c r="BJ10" s="4">
        <f>SUMIFS(tblActuals3541519[Team 2 Goals],tblActuals3541519[Team 1],BD10)+SUMIFS(tblActuals3541519[Team 1 Goals],tblActuals3541519[Team 2],BD10)</f>
        <v>0</v>
      </c>
      <c r="BK10" s="4">
        <f>BI10-BJ10</f>
        <v>0</v>
      </c>
      <c r="BL10" s="4">
        <f ca="1">RANK(BY10,$BY$9:$BY$12,1)</f>
        <v>2</v>
      </c>
      <c r="BM10" s="4" t="str">
        <f t="shared" si="4"/>
        <v/>
      </c>
      <c r="BN10" s="4" t="str">
        <f ca="1">IF(BM10="",BL10&amp;BC10,BM10&amp;BC10)</f>
        <v>2B</v>
      </c>
      <c r="BO10" s="4">
        <f>RANK(BH10,$BH$9:$BH$12,0)</f>
        <v>1</v>
      </c>
      <c r="BP10" s="4" cm="1">
        <f t="array" aca="1" ref="BP10" ca="1">SUMPRODUCT((OFFSET($CV$3:$EA$3,MATCH($BD10,$CU$4:$CU$35,0),0))*((IF($BO11=$BO10,$CV$3:$EA$3=$BD11,0))+(IF($BO12=$BO10,$CV$3:$EA$3=$BD12,0))+(IF($BO9=$BO10,$CV$3:$EA$3=$BD9,0))))</f>
        <v>0</v>
      </c>
      <c r="BQ10" s="4" cm="1">
        <f t="array" aca="1" ref="BQ10" ca="1">SUMPRODUCT((OFFSET($ED$3:$FI$3,MATCH($BD10,$EC$4:$EC$35,0),0))*((IF($BO11=$BO10,$ED$3:$FI$3=$BD11,0))+(IF($BO12=$BO10,$ED$3:$FI$3=$BD12,0))+(IF($BO9=$BO10,$ED$3:$FI$3=$BD9,0))))</f>
        <v>0</v>
      </c>
      <c r="BR10" s="4" cm="1">
        <f t="array" aca="1" ref="BR10" ca="1">SUMPRODUCT((OFFSET($FL$3:$GQ$3,MATCH($BD10,$FK$4:$FK$35,0),0))*((IF($BO11=$BO10,$FL$3:$GQ$3=$BD11,0))+(IF($BO12=$BO10,$FL$3:$GQ$3=$BD12,0))+(IF($BO9=$BO10,$FL$3:$GQ$3=$BD9,0))))</f>
        <v>0</v>
      </c>
      <c r="BS10" s="4" cm="1">
        <f t="array" aca="1" ref="BS10" ca="1">SUMPRODUCT((OFFSET($CV$3:$EA$3,MATCH($BD10,$CU$4:$CU$35,0),0))*((IF($BO11&lt;&gt;$BO10,$CV$3:$EA$3=$BD11,0))+(IF($BO12&lt;&gt;$BO10,$CV$3:$EA$3=$BD12,0))+(IF($BO9&lt;&gt;$BO10,$CV$3:$EA$3=$BD9,0))))</f>
        <v>0</v>
      </c>
      <c r="BT10" s="4" cm="1">
        <f t="array" aca="1" ref="BT10" ca="1">SUMPRODUCT((OFFSET($ED$3:$FI$3,MATCH($BD10,$EC$4:$EC$35,0),0))*((IF($BO11&lt;&gt;$BO10,$ED$3:$FI$3=$BD11,0))+(IF($BO12&lt;&gt;$BO10,$ED$3:$FI$3=$BD12,0))+(IF($BO9&lt;&gt;$BO10,$ED$3:$FI$3=$BD9,0))))</f>
        <v>0</v>
      </c>
      <c r="BU10" s="4" cm="1">
        <f t="array" aca="1" ref="BU10" ca="1">SUMPRODUCT((OFFSET($FL$3:$GQ$3,MATCH($BD10,$FK$4:$FK$35,0),0))*((IF($BO11&lt;&gt;$BO10,$FL$3:$GQ$3=$BD11,0))+(IF($BO12&lt;&gt;$BO10,$FL$3:$GQ$3=$BD12,0))+(IF($BO9&lt;&gt;$BO10,$FL$3:$GQ$3=$BD9,0))))</f>
        <v>0</v>
      </c>
      <c r="BV10" s="4">
        <f>BK10</f>
        <v>0</v>
      </c>
      <c r="BW10" s="4">
        <f>BI10</f>
        <v>0</v>
      </c>
      <c r="BX10" s="4">
        <f ca="1">(BP10/10)+(BQ10/100)+(BR10/1000)+(BT10/10000)+(BU10/100000)+(BV10/1000000)+(BW10/10000000)+(ROW(BS11)/100000000)</f>
        <v>1.1000000000000001E-7</v>
      </c>
      <c r="BY10" s="4">
        <f ca="1">+BO10-BX10</f>
        <v>0.99999989</v>
      </c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U10" s="4" t="s">
        <v>126</v>
      </c>
      <c r="CV10" s="56">
        <f>SUMIFS(tblActuals3541519[Team 2 Points],tblActuals3541519[Team 2],$CU10,tblActuals3541519[Team 1],CV$3)+SUMIFS(tblActuals3541519[Team 1 Points],tblActuals3541519[Team 1],$CU10,tblActuals3541519[Team 2],CV$3)</f>
        <v>0</v>
      </c>
      <c r="CW10" s="56">
        <f>SUMIFS(tblActuals3541519[Team 2 Points],tblActuals3541519[Team 2],$CU10,tblActuals3541519[Team 1],CW$3)+SUMIFS(tblActuals3541519[Team 1 Points],tblActuals3541519[Team 1],$CU10,tblActuals3541519[Team 2],CW$3)</f>
        <v>0</v>
      </c>
      <c r="CX10" s="56">
        <f>SUMIFS(tblActuals3541519[Team 2 Points],tblActuals3541519[Team 2],$CU10,tblActuals3541519[Team 1],CX$3)+SUMIFS(tblActuals3541519[Team 1 Points],tblActuals3541519[Team 1],$CU10,tblActuals3541519[Team 2],CX$3)</f>
        <v>0</v>
      </c>
      <c r="CY10" s="56">
        <f>SUMIFS(tblActuals3541519[Team 2 Points],tblActuals3541519[Team 2],$CU10,tblActuals3541519[Team 1],CY$3)+SUMIFS(tblActuals3541519[Team 1 Points],tblActuals3541519[Team 1],$CU10,tblActuals3541519[Team 2],CY$3)</f>
        <v>0</v>
      </c>
      <c r="CZ10" s="56">
        <f>SUMIFS(tblActuals3541519[Team 2 Points],tblActuals3541519[Team 2],$CU10,tblActuals3541519[Team 1],CZ$3)+SUMIFS(tblActuals3541519[Team 1 Points],tblActuals3541519[Team 1],$CU10,tblActuals3541519[Team 2],CZ$3)</f>
        <v>0</v>
      </c>
      <c r="DA10" s="56">
        <f>SUMIFS(tblActuals3541519[Team 2 Points],tblActuals3541519[Team 2],$CU10,tblActuals3541519[Team 1],DA$3)+SUMIFS(tblActuals3541519[Team 1 Points],tblActuals3541519[Team 1],$CU10,tblActuals3541519[Team 2],DA$3)</f>
        <v>0</v>
      </c>
      <c r="DB10" s="56">
        <f>SUMIFS(tblActuals3541519[Team 2 Points],tblActuals3541519[Team 2],$CU10,tblActuals3541519[Team 1],DB$3)+SUMIFS(tblActuals3541519[Team 1 Points],tblActuals3541519[Team 1],$CU10,tblActuals3541519[Team 2],DB$3)</f>
        <v>0</v>
      </c>
      <c r="DC10" s="56">
        <f>SUMIFS(tblActuals3541519[Team 2 Points],tblActuals3541519[Team 2],$CU10,tblActuals3541519[Team 1],DC$3)+SUMIFS(tblActuals3541519[Team 1 Points],tblActuals3541519[Team 1],$CU10,tblActuals3541519[Team 2],DC$3)</f>
        <v>0</v>
      </c>
      <c r="DD10" s="56">
        <f>SUMIFS(tblActuals3541519[Team 2 Points],tblActuals3541519[Team 2],$CU10,tblActuals3541519[Team 1],DD$3)+SUMIFS(tblActuals3541519[Team 1 Points],tblActuals3541519[Team 1],$CU10,tblActuals3541519[Team 2],DD$3)</f>
        <v>0</v>
      </c>
      <c r="DE10" s="56">
        <f>SUMIFS(tblActuals3541519[Team 2 Points],tblActuals3541519[Team 2],$CU10,tblActuals3541519[Team 1],DE$3)+SUMIFS(tblActuals3541519[Team 1 Points],tblActuals3541519[Team 1],$CU10,tblActuals3541519[Team 2],DE$3)</f>
        <v>0</v>
      </c>
      <c r="DF10" s="56">
        <f>SUMIFS(tblActuals3541519[Team 2 Points],tblActuals3541519[Team 2],$CU10,tblActuals3541519[Team 1],DF$3)+SUMIFS(tblActuals3541519[Team 1 Points],tblActuals3541519[Team 1],$CU10,tblActuals3541519[Team 2],DF$3)</f>
        <v>0</v>
      </c>
      <c r="DG10" s="56">
        <f>SUMIFS(tblActuals3541519[Team 2 Points],tblActuals3541519[Team 2],$CU10,tblActuals3541519[Team 1],DG$3)+SUMIFS(tblActuals3541519[Team 1 Points],tblActuals3541519[Team 1],$CU10,tblActuals3541519[Team 2],DG$3)</f>
        <v>0</v>
      </c>
      <c r="DH10" s="56">
        <f>SUMIFS(tblActuals3541519[Team 2 Points],tblActuals3541519[Team 2],$CU10,tblActuals3541519[Team 1],DH$3)+SUMIFS(tblActuals3541519[Team 1 Points],tblActuals3541519[Team 1],$CU10,tblActuals3541519[Team 2],DH$3)</f>
        <v>0</v>
      </c>
      <c r="DI10" s="56">
        <f>SUMIFS(tblActuals3541519[Team 2 Points],tblActuals3541519[Team 2],$CU10,tblActuals3541519[Team 1],DI$3)+SUMIFS(tblActuals3541519[Team 1 Points],tblActuals3541519[Team 1],$CU10,tblActuals3541519[Team 2],DI$3)</f>
        <v>0</v>
      </c>
      <c r="DJ10" s="56">
        <f>SUMIFS(tblActuals3541519[Team 2 Points],tblActuals3541519[Team 2],$CU10,tblActuals3541519[Team 1],DJ$3)+SUMIFS(tblActuals3541519[Team 1 Points],tblActuals3541519[Team 1],$CU10,tblActuals3541519[Team 2],DJ$3)</f>
        <v>0</v>
      </c>
      <c r="DK10" s="56">
        <f>SUMIFS(tblActuals3541519[Team 2 Points],tblActuals3541519[Team 2],$CU10,tblActuals3541519[Team 1],DK$3)+SUMIFS(tblActuals3541519[Team 1 Points],tblActuals3541519[Team 1],$CU10,tblActuals3541519[Team 2],DK$3)</f>
        <v>0</v>
      </c>
      <c r="DL10" s="56">
        <f>SUMIFS(tblActuals3541519[Team 2 Points],tblActuals3541519[Team 2],$CU10,tblActuals3541519[Team 1],DL$3)+SUMIFS(tblActuals3541519[Team 1 Points],tblActuals3541519[Team 1],$CU10,tblActuals3541519[Team 2],DL$3)</f>
        <v>0</v>
      </c>
      <c r="DM10" s="56">
        <f>SUMIFS(tblActuals3541519[Team 2 Points],tblActuals3541519[Team 2],$CU10,tblActuals3541519[Team 1],DM$3)+SUMIFS(tblActuals3541519[Team 1 Points],tblActuals3541519[Team 1],$CU10,tblActuals3541519[Team 2],DM$3)</f>
        <v>0</v>
      </c>
      <c r="DN10" s="56">
        <f>SUMIFS(tblActuals3541519[Team 2 Points],tblActuals3541519[Team 2],$CU10,tblActuals3541519[Team 1],DN$3)+SUMIFS(tblActuals3541519[Team 1 Points],tblActuals3541519[Team 1],$CU10,tblActuals3541519[Team 2],DN$3)</f>
        <v>0</v>
      </c>
      <c r="DO10" s="56">
        <f>SUMIFS(tblActuals3541519[Team 2 Points],tblActuals3541519[Team 2],$CU10,tblActuals3541519[Team 1],DO$3)+SUMIFS(tblActuals3541519[Team 1 Points],tblActuals3541519[Team 1],$CU10,tblActuals3541519[Team 2],DO$3)</f>
        <v>0</v>
      </c>
      <c r="DP10" s="56">
        <f>SUMIFS(tblActuals3541519[Team 2 Points],tblActuals3541519[Team 2],$CU10,tblActuals3541519[Team 1],DP$3)+SUMIFS(tblActuals3541519[Team 1 Points],tblActuals3541519[Team 1],$CU10,tblActuals3541519[Team 2],DP$3)</f>
        <v>0</v>
      </c>
      <c r="DQ10" s="56">
        <f>SUMIFS(tblActuals3541519[Team 2 Points],tblActuals3541519[Team 2],$CU10,tblActuals3541519[Team 1],DQ$3)+SUMIFS(tblActuals3541519[Team 1 Points],tblActuals3541519[Team 1],$CU10,tblActuals3541519[Team 2],DQ$3)</f>
        <v>0</v>
      </c>
      <c r="DR10" s="56">
        <f>SUMIFS(tblActuals3541519[Team 2 Points],tblActuals3541519[Team 2],$CU10,tblActuals3541519[Team 1],DR$3)+SUMIFS(tblActuals3541519[Team 1 Points],tblActuals3541519[Team 1],$CU10,tblActuals3541519[Team 2],DR$3)</f>
        <v>0</v>
      </c>
      <c r="DS10" s="56">
        <f>SUMIFS(tblActuals3541519[Team 2 Points],tblActuals3541519[Team 2],$CU10,tblActuals3541519[Team 1],DS$3)+SUMIFS(tblActuals3541519[Team 1 Points],tblActuals3541519[Team 1],$CU10,tblActuals3541519[Team 2],DS$3)</f>
        <v>0</v>
      </c>
      <c r="DT10" s="57"/>
      <c r="DU10" s="57"/>
      <c r="DV10" s="57"/>
      <c r="DW10" s="57"/>
      <c r="DX10" s="57"/>
      <c r="DY10" s="57"/>
      <c r="DZ10" s="57"/>
      <c r="EA10" s="57"/>
      <c r="EB10" s="4"/>
      <c r="EC10" s="4" t="s">
        <v>126</v>
      </c>
      <c r="ED10" s="56">
        <f>SUMIFS(tblActuals3541519[Team 2 GD],tblActuals3541519[Team 2],$CU10,tblActuals3541519[Team 1],ED$3)+SUMIFS(tblActuals3541519[Team 1 GD],tblActuals3541519[Team 1],$CU10,tblActuals3541519[Team 2],ED$3)</f>
        <v>0</v>
      </c>
      <c r="EE10" s="56">
        <f>SUMIFS(tblActuals3541519[Team 2 GD],tblActuals3541519[Team 2],$CU10,tblActuals3541519[Team 1],EE$3)+SUMIFS(tblActuals3541519[Team 1 GD],tblActuals3541519[Team 1],$CU10,tblActuals3541519[Team 2],EE$3)</f>
        <v>0</v>
      </c>
      <c r="EF10" s="56">
        <f>SUMIFS(tblActuals3541519[Team 2 GD],tblActuals3541519[Team 2],$CU10,tblActuals3541519[Team 1],EF$3)+SUMIFS(tblActuals3541519[Team 1 GD],tblActuals3541519[Team 1],$CU10,tblActuals3541519[Team 2],EF$3)</f>
        <v>0</v>
      </c>
      <c r="EG10" s="56">
        <f>SUMIFS(tblActuals3541519[Team 2 GD],tblActuals3541519[Team 2],$CU10,tblActuals3541519[Team 1],EG$3)+SUMIFS(tblActuals3541519[Team 1 GD],tblActuals3541519[Team 1],$CU10,tblActuals3541519[Team 2],EG$3)</f>
        <v>0</v>
      </c>
      <c r="EH10" s="56">
        <f>SUMIFS(tblActuals3541519[Team 2 GD],tblActuals3541519[Team 2],$CU10,tblActuals3541519[Team 1],EH$3)+SUMIFS(tblActuals3541519[Team 1 GD],tblActuals3541519[Team 1],$CU10,tblActuals3541519[Team 2],EH$3)</f>
        <v>0</v>
      </c>
      <c r="EI10" s="56">
        <f>SUMIFS(tblActuals3541519[Team 2 GD],tblActuals3541519[Team 2],$CU10,tblActuals3541519[Team 1],EI$3)+SUMIFS(tblActuals3541519[Team 1 GD],tblActuals3541519[Team 1],$CU10,tblActuals3541519[Team 2],EI$3)</f>
        <v>0</v>
      </c>
      <c r="EJ10" s="56">
        <f>SUMIFS(tblActuals3541519[Team 2 GD],tblActuals3541519[Team 2],$CU10,tblActuals3541519[Team 1],EJ$3)+SUMIFS(tblActuals3541519[Team 1 GD],tblActuals3541519[Team 1],$CU10,tblActuals3541519[Team 2],EJ$3)</f>
        <v>0</v>
      </c>
      <c r="EK10" s="56">
        <f>SUMIFS(tblActuals3541519[Team 2 GD],tblActuals3541519[Team 2],$CU10,tblActuals3541519[Team 1],EK$3)+SUMIFS(tblActuals3541519[Team 1 GD],tblActuals3541519[Team 1],$CU10,tblActuals3541519[Team 2],EK$3)</f>
        <v>0</v>
      </c>
      <c r="EL10" s="56">
        <f>SUMIFS(tblActuals3541519[Team 2 GD],tblActuals3541519[Team 2],$CU10,tblActuals3541519[Team 1],EL$3)+SUMIFS(tblActuals3541519[Team 1 GD],tblActuals3541519[Team 1],$CU10,tblActuals3541519[Team 2],EL$3)</f>
        <v>0</v>
      </c>
      <c r="EM10" s="56">
        <f>SUMIFS(tblActuals3541519[Team 2 GD],tblActuals3541519[Team 2],$CU10,tblActuals3541519[Team 1],EM$3)+SUMIFS(tblActuals3541519[Team 1 GD],tblActuals3541519[Team 1],$CU10,tblActuals3541519[Team 2],EM$3)</f>
        <v>0</v>
      </c>
      <c r="EN10" s="56">
        <f>SUMIFS(tblActuals3541519[Team 2 GD],tblActuals3541519[Team 2],$CU10,tblActuals3541519[Team 1],EN$3)+SUMIFS(tblActuals3541519[Team 1 GD],tblActuals3541519[Team 1],$CU10,tblActuals3541519[Team 2],EN$3)</f>
        <v>0</v>
      </c>
      <c r="EO10" s="56">
        <f>SUMIFS(tblActuals3541519[Team 2 GD],tblActuals3541519[Team 2],$CU10,tblActuals3541519[Team 1],EO$3)+SUMIFS(tblActuals3541519[Team 1 GD],tblActuals3541519[Team 1],$CU10,tblActuals3541519[Team 2],EO$3)</f>
        <v>0</v>
      </c>
      <c r="EP10" s="56">
        <f>SUMIFS(tblActuals3541519[Team 2 GD],tblActuals3541519[Team 2],$CU10,tblActuals3541519[Team 1],EP$3)+SUMIFS(tblActuals3541519[Team 1 GD],tblActuals3541519[Team 1],$CU10,tblActuals3541519[Team 2],EP$3)</f>
        <v>0</v>
      </c>
      <c r="EQ10" s="56">
        <f>SUMIFS(tblActuals3541519[Team 2 GD],tblActuals3541519[Team 2],$CU10,tblActuals3541519[Team 1],EQ$3)+SUMIFS(tblActuals3541519[Team 1 GD],tblActuals3541519[Team 1],$CU10,tblActuals3541519[Team 2],EQ$3)</f>
        <v>0</v>
      </c>
      <c r="ER10" s="56">
        <f>SUMIFS(tblActuals3541519[Team 2 GD],tblActuals3541519[Team 2],$CU10,tblActuals3541519[Team 1],ER$3)+SUMIFS(tblActuals3541519[Team 1 GD],tblActuals3541519[Team 1],$CU10,tblActuals3541519[Team 2],ER$3)</f>
        <v>0</v>
      </c>
      <c r="ES10" s="56">
        <f>SUMIFS(tblActuals3541519[Team 2 GD],tblActuals3541519[Team 2],$CU10,tblActuals3541519[Team 1],ES$3)+SUMIFS(tblActuals3541519[Team 1 GD],tblActuals3541519[Team 1],$CU10,tblActuals3541519[Team 2],ES$3)</f>
        <v>0</v>
      </c>
      <c r="ET10" s="56">
        <f>SUMIFS(tblActuals3541519[Team 2 GD],tblActuals3541519[Team 2],$CU10,tblActuals3541519[Team 1],ET$3)+SUMIFS(tblActuals3541519[Team 1 GD],tblActuals3541519[Team 1],$CU10,tblActuals3541519[Team 2],ET$3)</f>
        <v>0</v>
      </c>
      <c r="EU10" s="56">
        <f>SUMIFS(tblActuals3541519[Team 2 GD],tblActuals3541519[Team 2],$CU10,tblActuals3541519[Team 1],EU$3)+SUMIFS(tblActuals3541519[Team 1 GD],tblActuals3541519[Team 1],$CU10,tblActuals3541519[Team 2],EU$3)</f>
        <v>0</v>
      </c>
      <c r="EV10" s="56">
        <f>SUMIFS(tblActuals3541519[Team 2 GD],tblActuals3541519[Team 2],$CU10,tblActuals3541519[Team 1],EV$3)+SUMIFS(tblActuals3541519[Team 1 GD],tblActuals3541519[Team 1],$CU10,tblActuals3541519[Team 2],EV$3)</f>
        <v>0</v>
      </c>
      <c r="EW10" s="56">
        <f>SUMIFS(tblActuals3541519[Team 2 GD],tblActuals3541519[Team 2],$CU10,tblActuals3541519[Team 1],EW$3)+SUMIFS(tblActuals3541519[Team 1 GD],tblActuals3541519[Team 1],$CU10,tblActuals3541519[Team 2],EW$3)</f>
        <v>0</v>
      </c>
      <c r="EX10" s="56">
        <f>SUMIFS(tblActuals3541519[Team 2 GD],tblActuals3541519[Team 2],$CU10,tblActuals3541519[Team 1],EX$3)+SUMIFS(tblActuals3541519[Team 1 GD],tblActuals3541519[Team 1],$CU10,tblActuals3541519[Team 2],EX$3)</f>
        <v>0</v>
      </c>
      <c r="EY10" s="56">
        <f>SUMIFS(tblActuals3541519[Team 2 GD],tblActuals3541519[Team 2],$CU10,tblActuals3541519[Team 1],EY$3)+SUMIFS(tblActuals3541519[Team 1 GD],tblActuals3541519[Team 1],$CU10,tblActuals3541519[Team 2],EY$3)</f>
        <v>0</v>
      </c>
      <c r="EZ10" s="56">
        <f>SUMIFS(tblActuals3541519[Team 2 GD],tblActuals3541519[Team 2],$CU10,tblActuals3541519[Team 1],EZ$3)+SUMIFS(tblActuals3541519[Team 1 GD],tblActuals3541519[Team 1],$CU10,tblActuals3541519[Team 2],EZ$3)</f>
        <v>0</v>
      </c>
      <c r="FA10" s="56">
        <f>SUMIFS(tblActuals3541519[Team 2 GD],tblActuals3541519[Team 2],$CU10,tblActuals3541519[Team 1],FA$3)+SUMIFS(tblActuals3541519[Team 1 GD],tblActuals3541519[Team 1],$CU10,tblActuals3541519[Team 2],FA$3)</f>
        <v>0</v>
      </c>
      <c r="FB10" s="57"/>
      <c r="FC10" s="57"/>
      <c r="FD10" s="57"/>
      <c r="FE10" s="57"/>
      <c r="FF10" s="57"/>
      <c r="FG10" s="57"/>
      <c r="FH10" s="57"/>
      <c r="FI10" s="57"/>
      <c r="FJ10" s="4"/>
      <c r="FK10" s="4" t="s">
        <v>126</v>
      </c>
      <c r="FL10" s="56">
        <f>SUMIFS(tblActuals3541519[Team 2 Goals],tblActuals3541519[Team 2],$CU10,tblActuals3541519[Team 1],FL$3)+SUMIFS(tblActuals3541519[Team 1 Goals],tblActuals3541519[Team 1],$CU10,tblActuals3541519[Team 2],FL$3)</f>
        <v>0</v>
      </c>
      <c r="FM10" s="56">
        <f>SUMIFS(tblActuals3541519[Team 2 Goals],tblActuals3541519[Team 2],$CU10,tblActuals3541519[Team 1],FM$3)+SUMIFS(tblActuals3541519[Team 1 Goals],tblActuals3541519[Team 1],$CU10,tblActuals3541519[Team 2],FM$3)</f>
        <v>0</v>
      </c>
      <c r="FN10" s="56">
        <f>SUMIFS(tblActuals3541519[Team 2 Goals],tblActuals3541519[Team 2],$CU10,tblActuals3541519[Team 1],FN$3)+SUMIFS(tblActuals3541519[Team 1 Goals],tblActuals3541519[Team 1],$CU10,tblActuals3541519[Team 2],FN$3)</f>
        <v>0</v>
      </c>
      <c r="FO10" s="56">
        <f>SUMIFS(tblActuals3541519[Team 2 Goals],tblActuals3541519[Team 2],$CU10,tblActuals3541519[Team 1],FO$3)+SUMIFS(tblActuals3541519[Team 1 Goals],tblActuals3541519[Team 1],$CU10,tblActuals3541519[Team 2],FO$3)</f>
        <v>0</v>
      </c>
      <c r="FP10" s="56">
        <f>SUMIFS(tblActuals3541519[Team 2 Goals],tblActuals3541519[Team 2],$CU10,tblActuals3541519[Team 1],FP$3)+SUMIFS(tblActuals3541519[Team 1 Goals],tblActuals3541519[Team 1],$CU10,tblActuals3541519[Team 2],FP$3)</f>
        <v>0</v>
      </c>
      <c r="FQ10" s="56">
        <f>SUMIFS(tblActuals3541519[Team 2 Goals],tblActuals3541519[Team 2],$CU10,tblActuals3541519[Team 1],FQ$3)+SUMIFS(tblActuals3541519[Team 1 Goals],tblActuals3541519[Team 1],$CU10,tblActuals3541519[Team 2],FQ$3)</f>
        <v>0</v>
      </c>
      <c r="FR10" s="56">
        <f>SUMIFS(tblActuals3541519[Team 2 Goals],tblActuals3541519[Team 2],$CU10,tblActuals3541519[Team 1],FR$3)+SUMIFS(tblActuals3541519[Team 1 Goals],tblActuals3541519[Team 1],$CU10,tblActuals3541519[Team 2],FR$3)</f>
        <v>0</v>
      </c>
      <c r="FS10" s="56">
        <f>SUMIFS(tblActuals3541519[Team 2 Goals],tblActuals3541519[Team 2],$CU10,tblActuals3541519[Team 1],FS$3)+SUMIFS(tblActuals3541519[Team 1 Goals],tblActuals3541519[Team 1],$CU10,tblActuals3541519[Team 2],FS$3)</f>
        <v>0</v>
      </c>
      <c r="FT10" s="56">
        <f>SUMIFS(tblActuals3541519[Team 2 Goals],tblActuals3541519[Team 2],$CU10,tblActuals3541519[Team 1],FT$3)+SUMIFS(tblActuals3541519[Team 1 Goals],tblActuals3541519[Team 1],$CU10,tblActuals3541519[Team 2],FT$3)</f>
        <v>0</v>
      </c>
      <c r="FU10" s="56">
        <f>SUMIFS(tblActuals3541519[Team 2 Goals],tblActuals3541519[Team 2],$CU10,tblActuals3541519[Team 1],FU$3)+SUMIFS(tblActuals3541519[Team 1 Goals],tblActuals3541519[Team 1],$CU10,tblActuals3541519[Team 2],FU$3)</f>
        <v>0</v>
      </c>
      <c r="FV10" s="56">
        <f>SUMIFS(tblActuals3541519[Team 2 Goals],tblActuals3541519[Team 2],$CU10,tblActuals3541519[Team 1],FV$3)+SUMIFS(tblActuals3541519[Team 1 Goals],tblActuals3541519[Team 1],$CU10,tblActuals3541519[Team 2],FV$3)</f>
        <v>0</v>
      </c>
      <c r="FW10" s="56">
        <f>SUMIFS(tblActuals3541519[Team 2 Goals],tblActuals3541519[Team 2],$CU10,tblActuals3541519[Team 1],FW$3)+SUMIFS(tblActuals3541519[Team 1 Goals],tblActuals3541519[Team 1],$CU10,tblActuals3541519[Team 2],FW$3)</f>
        <v>0</v>
      </c>
      <c r="FX10" s="56">
        <f>SUMIFS(tblActuals3541519[Team 2 Goals],tblActuals3541519[Team 2],$CU10,tblActuals3541519[Team 1],FX$3)+SUMIFS(tblActuals3541519[Team 1 Goals],tblActuals3541519[Team 1],$CU10,tblActuals3541519[Team 2],FX$3)</f>
        <v>0</v>
      </c>
      <c r="FY10" s="56">
        <f>SUMIFS(tblActuals3541519[Team 2 Goals],tblActuals3541519[Team 2],$CU10,tblActuals3541519[Team 1],FY$3)+SUMIFS(tblActuals3541519[Team 1 Goals],tblActuals3541519[Team 1],$CU10,tblActuals3541519[Team 2],FY$3)</f>
        <v>0</v>
      </c>
      <c r="FZ10" s="56">
        <f>SUMIFS(tblActuals3541519[Team 2 Goals],tblActuals3541519[Team 2],$CU10,tblActuals3541519[Team 1],FZ$3)+SUMIFS(tblActuals3541519[Team 1 Goals],tblActuals3541519[Team 1],$CU10,tblActuals3541519[Team 2],FZ$3)</f>
        <v>0</v>
      </c>
      <c r="GA10" s="56">
        <f>SUMIFS(tblActuals3541519[Team 2 Goals],tblActuals3541519[Team 2],$CU10,tblActuals3541519[Team 1],GA$3)+SUMIFS(tblActuals3541519[Team 1 Goals],tblActuals3541519[Team 1],$CU10,tblActuals3541519[Team 2],GA$3)</f>
        <v>0</v>
      </c>
      <c r="GB10" s="56">
        <f>SUMIFS(tblActuals3541519[Team 2 Goals],tblActuals3541519[Team 2],$CU10,tblActuals3541519[Team 1],GB$3)+SUMIFS(tblActuals3541519[Team 1 Goals],tblActuals3541519[Team 1],$CU10,tblActuals3541519[Team 2],GB$3)</f>
        <v>0</v>
      </c>
      <c r="GC10" s="56">
        <f>SUMIFS(tblActuals3541519[Team 2 Goals],tblActuals3541519[Team 2],$CU10,tblActuals3541519[Team 1],GC$3)+SUMIFS(tblActuals3541519[Team 1 Goals],tblActuals3541519[Team 1],$CU10,tblActuals3541519[Team 2],GC$3)</f>
        <v>0</v>
      </c>
      <c r="GD10" s="56">
        <f>SUMIFS(tblActuals3541519[Team 2 Goals],tblActuals3541519[Team 2],$CU10,tblActuals3541519[Team 1],GD$3)+SUMIFS(tblActuals3541519[Team 1 Goals],tblActuals3541519[Team 1],$CU10,tblActuals3541519[Team 2],GD$3)</f>
        <v>0</v>
      </c>
      <c r="GE10" s="56">
        <f>SUMIFS(tblActuals3541519[Team 2 Goals],tblActuals3541519[Team 2],$CU10,tblActuals3541519[Team 1],GE$3)+SUMIFS(tblActuals3541519[Team 1 Goals],tblActuals3541519[Team 1],$CU10,tblActuals3541519[Team 2],GE$3)</f>
        <v>0</v>
      </c>
      <c r="GF10" s="56">
        <f>SUMIFS(tblActuals3541519[Team 2 Goals],tblActuals3541519[Team 2],$CU10,tblActuals3541519[Team 1],GF$3)+SUMIFS(tblActuals3541519[Team 1 Goals],tblActuals3541519[Team 1],$CU10,tblActuals3541519[Team 2],GF$3)</f>
        <v>0</v>
      </c>
      <c r="GG10" s="56">
        <f>SUMIFS(tblActuals3541519[Team 2 Goals],tblActuals3541519[Team 2],$CU10,tblActuals3541519[Team 1],GG$3)+SUMIFS(tblActuals3541519[Team 1 Goals],tblActuals3541519[Team 1],$CU10,tblActuals3541519[Team 2],GG$3)</f>
        <v>0</v>
      </c>
      <c r="GH10" s="56">
        <f>SUMIFS(tblActuals3541519[Team 2 Goals],tblActuals3541519[Team 2],$CU10,tblActuals3541519[Team 1],GH$3)+SUMIFS(tblActuals3541519[Team 1 Goals],tblActuals3541519[Team 1],$CU10,tblActuals3541519[Team 2],GH$3)</f>
        <v>0</v>
      </c>
      <c r="GI10" s="56">
        <f>SUMIFS(tblActuals3541519[Team 2 Goals],tblActuals3541519[Team 2],$CU10,tblActuals3541519[Team 1],GI$3)+SUMIFS(tblActuals3541519[Team 1 Goals],tblActuals3541519[Team 1],$CU10,tblActuals3541519[Team 2],GI$3)</f>
        <v>0</v>
      </c>
      <c r="GJ10" s="57"/>
      <c r="GK10" s="57"/>
      <c r="GL10" s="37"/>
      <c r="GM10" s="37"/>
      <c r="GN10" s="37"/>
      <c r="GO10" s="37"/>
      <c r="GP10" s="37"/>
      <c r="GQ10" s="37"/>
      <c r="GR10" s="75"/>
      <c r="GS10" s="156"/>
      <c r="GT10" s="156"/>
      <c r="GU10" s="75"/>
      <c r="GW10" s="75"/>
      <c r="GX10" s="75"/>
      <c r="GY10" s="75"/>
      <c r="GZ10" s="75"/>
      <c r="HB10" s="4" t="str">
        <f t="shared" si="12"/>
        <v>ABEF</v>
      </c>
      <c r="HC10" s="44" t="s">
        <v>1</v>
      </c>
      <c r="HD10" s="44" t="s">
        <v>5</v>
      </c>
      <c r="HE10" s="45"/>
      <c r="HF10" s="45"/>
      <c r="HG10" s="44" t="s">
        <v>12</v>
      </c>
      <c r="HH10" s="44" t="s">
        <v>45</v>
      </c>
      <c r="HI10" s="178"/>
      <c r="HJ10" s="45" t="s">
        <v>153</v>
      </c>
      <c r="HK10" s="45" t="s">
        <v>154</v>
      </c>
      <c r="HL10" s="45" t="s">
        <v>151</v>
      </c>
      <c r="HM10" s="45" t="s">
        <v>149</v>
      </c>
    </row>
    <row r="11" spans="1:221" s="11" customFormat="1" ht="30" customHeight="1" thickBot="1" x14ac:dyDescent="0.25">
      <c r="A11" s="20"/>
      <c r="B11" s="122">
        <v>8</v>
      </c>
      <c r="C11" s="122" t="s">
        <v>7</v>
      </c>
      <c r="D11" s="123">
        <v>45460</v>
      </c>
      <c r="E11" s="122" t="s">
        <v>85</v>
      </c>
      <c r="F11" s="124">
        <v>0.875</v>
      </c>
      <c r="G11" s="125">
        <f t="shared" si="11"/>
        <v>45460.625</v>
      </c>
      <c r="H11" s="122" t="s">
        <v>96</v>
      </c>
      <c r="I11" s="126"/>
      <c r="J11" s="118"/>
      <c r="K11" s="118"/>
      <c r="L11" s="174">
        <f>IF(I11="",0,IFERROR(IF(SCORING.RULES!$C$8="No",1,((VLOOKUP($B11,ACTUALS!$B$4:$L$100,7,FALSE)=$H11)+(VLOOKUP($B11,ACTUALS!$B$4:$L$100,7,FALSE)=S11)))*(M11+N11+O11+P11+Q11),0))+$R11</f>
        <v>0</v>
      </c>
      <c r="M11" s="168">
        <f>IFERROR(IF($B11="","",IF(U11=INDEX(ACTUALS!$AA$4:$AA$100,MATCH($B11,ACTUALS!$B$4:$B$100,0),1),CorrectScore,0)),0)</f>
        <v>0</v>
      </c>
      <c r="N11" s="157" t="str">
        <f>IFERROR(IF(I11="","",IF(INDEX(ACTUALS!$AB$4:$AB$100,MATCH($B11,ACTUALS!$B$4:$B$100,0),1)=(AB11+AC11+AH11+AI11),CorrectNumberofGoals,0)),0)</f>
        <v/>
      </c>
      <c r="O11" s="157"/>
      <c r="P11" s="157">
        <f>IFERROR(IF(B11="","",IF(INDEX(ACTUALS!$L$4:$L$100,MATCH($B11,ACTUALS!$B$4:$B$100,0),1)=W11,CorrectResult,0)),0)</f>
        <v>3</v>
      </c>
      <c r="Q11" s="157"/>
      <c r="R11" s="157"/>
      <c r="S11" s="157" t="str">
        <f t="shared" si="0"/>
        <v/>
      </c>
      <c r="T11" s="157"/>
      <c r="U11" s="157" t="str">
        <f t="shared" si="1"/>
        <v/>
      </c>
      <c r="V11" s="157" t="str">
        <f t="shared" si="2"/>
        <v/>
      </c>
      <c r="W11" s="119" t="str">
        <f>IF(tblActuals3541519[[#This Row],[SCORE]]="","",IF(AB11=AC11,"Draw",IF(AB11&gt;AC11,X11,Y11)))</f>
        <v/>
      </c>
      <c r="X11" s="120" t="str">
        <f>IF(tblActuals3541519[[#This Row],[TEAMS]]="","",LEFT(H11,FIND(" -",H11,1)-1))</f>
        <v>Austria</v>
      </c>
      <c r="Y11" s="120" t="str">
        <f>IF(tblActuals3541519[[#This Row],[TEAMS]]="","",MID(H11,FIND("-",H11,1)+2,LEN(H11)-FIND("-",H11,1)+2))</f>
        <v>France</v>
      </c>
      <c r="Z11" s="120" t="str">
        <f>IF(tblActuals3541519[[#This Row],[Team 1 Goals]]&gt;tblActuals3541519[[#This Row],[Team 2 Goals]],tblActuals3541519[[#This Row],[Team 1]],IF(tblActuals3541519[[#This Row],[Team 2 Goals]]&gt;tblActuals3541519[[#This Row],[Team 1 Goals]],tblActuals3541519[[#This Row],[Team 2]],""))</f>
        <v/>
      </c>
      <c r="AA11" s="120" t="str">
        <f>IF(tblActuals3541519[[#This Row],[Winner]]=tblActuals3541519[[#This Row],[Team 1]],tblActuals3541519[[#This Row],[Team 2]],IF(tblActuals3541519[[#This Row],[Winner]]=tblActuals3541519[[#This Row],[Team 2]],tblActuals3541519[[#This Row],[Team 1]],""))</f>
        <v/>
      </c>
      <c r="AB11" s="120" t="str">
        <f>IF(tblActuals3541519[[#This Row],[SCORE]]="","",LEFT(I11,FIND(":",I11,1)-1)*1)</f>
        <v/>
      </c>
      <c r="AC11" s="120" t="str">
        <f>IF(tblActuals3541519[[#This Row],[SCORE]]="","",MID(I11,FIND(":",I11,1)+1,LEN(I11)-FIND(":",I11,1)+1)*1)</f>
        <v/>
      </c>
      <c r="AD11" s="120" t="str">
        <f>IF(OR(tblActuals3541519[[#This Row],[Team 1 Goals]]="",tblActuals3541519[[#This Row],[Team 2 Goals]]=""),"",tblActuals3541519[[#This Row],[Team 1 Goals]]-tblActuals3541519[[#This Row],[Team 2 Goals]])</f>
        <v/>
      </c>
      <c r="AE11" s="120" t="str">
        <f>IF(OR(tblActuals3541519[[#This Row],[Team 1 Goals]]="",tblActuals3541519[[#This Row],[Team 2 Goals]]=""),"",tblActuals3541519[[#This Row],[Team 2 Goals]]-tblActuals3541519[[#This Row],[Team 1 Goals]])</f>
        <v/>
      </c>
      <c r="AF11" s="120" t="str">
        <f>IF(tblActuals3541519[[#This Row],[SCORE]]="","",IF(tblActuals3541519[[#This Row],[WINNER / RESULT]]="Draw",1,IF(tblActuals3541519[[#This Row],[WINNER / RESULT]]=tblActuals3541519[[#This Row],[Team 1]],3,0)))</f>
        <v/>
      </c>
      <c r="AG11" s="120" t="str">
        <f>IF(tblActuals3541519[[#This Row],[SCORE]]="","",IF(tblActuals3541519[[#This Row],[WINNER / RESULT]]="Draw",1,IF(tblActuals3541519[[#This Row],[WINNER / RESULT]]=tblActuals3541519[[#This Row],[Team 2]],3,0)))</f>
        <v/>
      </c>
      <c r="AH11" s="121"/>
      <c r="AI11" s="121"/>
      <c r="AJ11" s="121"/>
      <c r="AK11" s="121"/>
      <c r="AL11" s="120" t="e">
        <f>tblActuals3541519[[#This Row],[Team 1 Goals]]+tblActuals3541519[[#This Row],[Team 1 ET Goals]]&amp;":"&amp;tblActuals3541519[[#This Row],[Team 2 Goals]]+tblActuals3541519[[#This Row],[Team 2 ET Goals]]</f>
        <v>#VALUE!</v>
      </c>
      <c r="AM11" s="120" t="e">
        <f>+tblActuals3541519[[#This Row],[Team 1 Goals]]+tblActuals3541519[[#This Row],[Team 2 Goals]]</f>
        <v>#VALUE!</v>
      </c>
      <c r="AN11" s="161">
        <f t="shared" si="3"/>
        <v>45460</v>
      </c>
      <c r="AP11" s="38" t="s">
        <v>84</v>
      </c>
      <c r="AT11" s="78"/>
      <c r="AU11" s="179" t="s">
        <v>52</v>
      </c>
      <c r="AV11" s="180"/>
      <c r="AW11" s="133" t="s">
        <v>46</v>
      </c>
      <c r="AX11" s="134" t="s">
        <v>57</v>
      </c>
      <c r="AY11" s="135" t="s">
        <v>11</v>
      </c>
      <c r="AZ11" s="75"/>
      <c r="BA11" s="42"/>
      <c r="BB11" s="4"/>
      <c r="BC11" s="4" t="s">
        <v>5</v>
      </c>
      <c r="BD11" s="4" t="s">
        <v>126</v>
      </c>
      <c r="BE11" s="4">
        <f>COUNTIF(tblActuals3541519[Winner],BD11)</f>
        <v>0</v>
      </c>
      <c r="BF11" s="4">
        <f>COUNTIFS(tblActuals3541519[Team 2],BD11,tblActuals3541519[WINNER / RESULT],"Draw")+COUNTIFS(tblActuals3541519[Team 1],BD11,tblActuals3541519[WINNER / RESULT],"Draw")</f>
        <v>0</v>
      </c>
      <c r="BG11" s="4">
        <f>COUNTIF(tblActuals3541519[Loser],BD11)</f>
        <v>0</v>
      </c>
      <c r="BH11" s="4">
        <f>BF11+(3*BE11)</f>
        <v>0</v>
      </c>
      <c r="BI11" s="4">
        <f>SUMIFS(tblActuals3541519[Team 1 Goals],tblActuals3541519[Team 1],BD11)+SUMIFS(tblActuals3541519[Team 2 Goals],tblActuals3541519[Team 2],BD11)</f>
        <v>0</v>
      </c>
      <c r="BJ11" s="4">
        <f>SUMIFS(tblActuals3541519[Team 2 Goals],tblActuals3541519[Team 1],BD11)+SUMIFS(tblActuals3541519[Team 1 Goals],tblActuals3541519[Team 2],BD11)</f>
        <v>0</v>
      </c>
      <c r="BK11" s="4">
        <f>BI11-BJ11</f>
        <v>0</v>
      </c>
      <c r="BL11" s="4">
        <f ca="1">RANK(BY11,$BY$9:$BY$12,1)</f>
        <v>3</v>
      </c>
      <c r="BM11" s="4" t="str">
        <f t="shared" si="4"/>
        <v/>
      </c>
      <c r="BN11" s="4" t="str">
        <f ca="1">IF(BM11="",BL11&amp;BC11,BM11&amp;BC11)</f>
        <v>3B</v>
      </c>
      <c r="BO11" s="4">
        <f>RANK(BH11,$BH$9:$BH$12,0)</f>
        <v>1</v>
      </c>
      <c r="BP11" s="4" cm="1">
        <f t="array" aca="1" ref="BP11" ca="1">SUMPRODUCT((OFFSET($CV$3:$EA$3,MATCH($BD11,$CU$4:$CU$35,0),0))*((IF($BO9=$BO11,$CV$3:$EA$3=$BD9,0))+(IF($BO12=$BO11,$CV$3:$EA$3=$BD12,0))+(IF($BO10=$BO11,$CV$3:$EA$3=$BD10,0))))</f>
        <v>0</v>
      </c>
      <c r="BQ11" s="4" cm="1">
        <f t="array" aca="1" ref="BQ11" ca="1">SUMPRODUCT((OFFSET($ED$3:$FI$3,MATCH($BD11,$EC$4:$EC$35,0),0))*((IF($BO9=$BO11,$ED$3:$FI$3=$BD9,0))+(IF($BO12=$BO11,$ED$3:$FI$3=$BD12,0))+(IF($BO10=$BO11,$ED$3:$FI$3=$BD10,0))))</f>
        <v>0</v>
      </c>
      <c r="BR11" s="4" cm="1">
        <f t="array" aca="1" ref="BR11" ca="1">SUMPRODUCT((OFFSET($FL$3:$GQ$3,MATCH($BD11,$FK$4:$FK$35,0),0))*((IF($BO9=$BO11,$FL$3:$GQ$3=$BD9,0))+(IF($BO12=$BO11,$FL$3:$GQ$3=$BD12,0))+(IF($BO10=$BO11,$FL$3:$GQ$3=$BD10,0))))</f>
        <v>0</v>
      </c>
      <c r="BS11" s="4" cm="1">
        <f t="array" aca="1" ref="BS11" ca="1">SUMPRODUCT((OFFSET($CV$3:$EA$3,MATCH($BD11,$CU$4:$CU$35,0),0))*((IF($BO9&lt;&gt;$BO11,$CV$3:$EA$3=$BD9,0))+(IF($BO12&lt;&gt;$BO11,$CV$3:$EA$3=$BD12,0))+(IF($BO10&lt;&gt;$BO11,$CV$3:$EA$3=$BD10,0))))</f>
        <v>0</v>
      </c>
      <c r="BT11" s="4" cm="1">
        <f t="array" aca="1" ref="BT11" ca="1">SUMPRODUCT((OFFSET($ED$3:$FI$3,MATCH($BD11,$EC$4:$EC$35,0),0))*((IF($BO9&lt;&gt;$BO11,$ED$3:$FI$3=$BD9,0))+(IF($BO12&lt;&gt;$BO11,$ED$3:$FI$3=$BD12,0))+(IF($BO10&lt;&gt;$BO11,$ED$3:$FI$3=$BD10,0))))</f>
        <v>0</v>
      </c>
      <c r="BU11" s="4" cm="1">
        <f t="array" aca="1" ref="BU11" ca="1">SUMPRODUCT((OFFSET($FL$3:$GQ$3,MATCH($BD11,$FK$4:$FK$35,0),0))*((IF($BO9&lt;&gt;$BO11,$FL$3:$GQ$3=$BD9,0))+(IF($BO12&lt;&gt;$BO11,$FL$3:$GQ$3=$BD12,0))+(IF($BO10&lt;&gt;$BO11,$FL$3:$GQ$3=$BD10,0))))</f>
        <v>0</v>
      </c>
      <c r="BV11" s="4">
        <f>BK11</f>
        <v>0</v>
      </c>
      <c r="BW11" s="4">
        <f>BI11</f>
        <v>0</v>
      </c>
      <c r="BX11" s="4">
        <f ca="1">(BP11/10)+(BQ11/100)+(BR11/1000)+(BT11/10000)+(BU11/100000)+(BV11/1000000)+(BW11/10000000)+(ROW(BS10)/100000000)</f>
        <v>9.9999999999999995E-8</v>
      </c>
      <c r="BY11" s="4">
        <f ca="1">+BO11-BX11</f>
        <v>0.99999990000000005</v>
      </c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U11" s="4" t="s">
        <v>127</v>
      </c>
      <c r="CV11" s="56">
        <f>SUMIFS(tblActuals3541519[Team 2 Points],tblActuals3541519[Team 2],$CU11,tblActuals3541519[Team 1],CV$3)+SUMIFS(tblActuals3541519[Team 1 Points],tblActuals3541519[Team 1],$CU11,tblActuals3541519[Team 2],CV$3)</f>
        <v>0</v>
      </c>
      <c r="CW11" s="56">
        <f>SUMIFS(tblActuals3541519[Team 2 Points],tblActuals3541519[Team 2],$CU11,tblActuals3541519[Team 1],CW$3)+SUMIFS(tblActuals3541519[Team 1 Points],tblActuals3541519[Team 1],$CU11,tblActuals3541519[Team 2],CW$3)</f>
        <v>0</v>
      </c>
      <c r="CX11" s="56">
        <f>SUMIFS(tblActuals3541519[Team 2 Points],tblActuals3541519[Team 2],$CU11,tblActuals3541519[Team 1],CX$3)+SUMIFS(tblActuals3541519[Team 1 Points],tblActuals3541519[Team 1],$CU11,tblActuals3541519[Team 2],CX$3)</f>
        <v>0</v>
      </c>
      <c r="CY11" s="56">
        <f>SUMIFS(tblActuals3541519[Team 2 Points],tblActuals3541519[Team 2],$CU11,tblActuals3541519[Team 1],CY$3)+SUMIFS(tblActuals3541519[Team 1 Points],tblActuals3541519[Team 1],$CU11,tblActuals3541519[Team 2],CY$3)</f>
        <v>0</v>
      </c>
      <c r="CZ11" s="56">
        <f>SUMIFS(tblActuals3541519[Team 2 Points],tblActuals3541519[Team 2],$CU11,tblActuals3541519[Team 1],CZ$3)+SUMIFS(tblActuals3541519[Team 1 Points],tblActuals3541519[Team 1],$CU11,tblActuals3541519[Team 2],CZ$3)</f>
        <v>0</v>
      </c>
      <c r="DA11" s="56">
        <f>SUMIFS(tblActuals3541519[Team 2 Points],tblActuals3541519[Team 2],$CU11,tblActuals3541519[Team 1],DA$3)+SUMIFS(tblActuals3541519[Team 1 Points],tblActuals3541519[Team 1],$CU11,tblActuals3541519[Team 2],DA$3)</f>
        <v>0</v>
      </c>
      <c r="DB11" s="56">
        <f>SUMIFS(tblActuals3541519[Team 2 Points],tblActuals3541519[Team 2],$CU11,tblActuals3541519[Team 1],DB$3)+SUMIFS(tblActuals3541519[Team 1 Points],tblActuals3541519[Team 1],$CU11,tblActuals3541519[Team 2],DB$3)</f>
        <v>0</v>
      </c>
      <c r="DC11" s="56">
        <f>SUMIFS(tblActuals3541519[Team 2 Points],tblActuals3541519[Team 2],$CU11,tblActuals3541519[Team 1],DC$3)+SUMIFS(tblActuals3541519[Team 1 Points],tblActuals3541519[Team 1],$CU11,tblActuals3541519[Team 2],DC$3)</f>
        <v>0</v>
      </c>
      <c r="DD11" s="56">
        <f>SUMIFS(tblActuals3541519[Team 2 Points],tblActuals3541519[Team 2],$CU11,tblActuals3541519[Team 1],DD$3)+SUMIFS(tblActuals3541519[Team 1 Points],tblActuals3541519[Team 1],$CU11,tblActuals3541519[Team 2],DD$3)</f>
        <v>0</v>
      </c>
      <c r="DE11" s="56">
        <f>SUMIFS(tblActuals3541519[Team 2 Points],tblActuals3541519[Team 2],$CU11,tblActuals3541519[Team 1],DE$3)+SUMIFS(tblActuals3541519[Team 1 Points],tblActuals3541519[Team 1],$CU11,tblActuals3541519[Team 2],DE$3)</f>
        <v>0</v>
      </c>
      <c r="DF11" s="56">
        <f>SUMIFS(tblActuals3541519[Team 2 Points],tblActuals3541519[Team 2],$CU11,tblActuals3541519[Team 1],DF$3)+SUMIFS(tblActuals3541519[Team 1 Points],tblActuals3541519[Team 1],$CU11,tblActuals3541519[Team 2],DF$3)</f>
        <v>0</v>
      </c>
      <c r="DG11" s="56">
        <f>SUMIFS(tblActuals3541519[Team 2 Points],tblActuals3541519[Team 2],$CU11,tblActuals3541519[Team 1],DG$3)+SUMIFS(tblActuals3541519[Team 1 Points],tblActuals3541519[Team 1],$CU11,tblActuals3541519[Team 2],DG$3)</f>
        <v>0</v>
      </c>
      <c r="DH11" s="56">
        <f>SUMIFS(tblActuals3541519[Team 2 Points],tblActuals3541519[Team 2],$CU11,tblActuals3541519[Team 1],DH$3)+SUMIFS(tblActuals3541519[Team 1 Points],tblActuals3541519[Team 1],$CU11,tblActuals3541519[Team 2],DH$3)</f>
        <v>0</v>
      </c>
      <c r="DI11" s="56">
        <f>SUMIFS(tblActuals3541519[Team 2 Points],tblActuals3541519[Team 2],$CU11,tblActuals3541519[Team 1],DI$3)+SUMIFS(tblActuals3541519[Team 1 Points],tblActuals3541519[Team 1],$CU11,tblActuals3541519[Team 2],DI$3)</f>
        <v>0</v>
      </c>
      <c r="DJ11" s="56">
        <f>SUMIFS(tblActuals3541519[Team 2 Points],tblActuals3541519[Team 2],$CU11,tblActuals3541519[Team 1],DJ$3)+SUMIFS(tblActuals3541519[Team 1 Points],tblActuals3541519[Team 1],$CU11,tblActuals3541519[Team 2],DJ$3)</f>
        <v>0</v>
      </c>
      <c r="DK11" s="56">
        <f>SUMIFS(tblActuals3541519[Team 2 Points],tblActuals3541519[Team 2],$CU11,tblActuals3541519[Team 1],DK$3)+SUMIFS(tblActuals3541519[Team 1 Points],tblActuals3541519[Team 1],$CU11,tblActuals3541519[Team 2],DK$3)</f>
        <v>0</v>
      </c>
      <c r="DL11" s="56">
        <f>SUMIFS(tblActuals3541519[Team 2 Points],tblActuals3541519[Team 2],$CU11,tblActuals3541519[Team 1],DL$3)+SUMIFS(tblActuals3541519[Team 1 Points],tblActuals3541519[Team 1],$CU11,tblActuals3541519[Team 2],DL$3)</f>
        <v>0</v>
      </c>
      <c r="DM11" s="56">
        <f>SUMIFS(tblActuals3541519[Team 2 Points],tblActuals3541519[Team 2],$CU11,tblActuals3541519[Team 1],DM$3)+SUMIFS(tblActuals3541519[Team 1 Points],tblActuals3541519[Team 1],$CU11,tblActuals3541519[Team 2],DM$3)</f>
        <v>0</v>
      </c>
      <c r="DN11" s="56">
        <f>SUMIFS(tblActuals3541519[Team 2 Points],tblActuals3541519[Team 2],$CU11,tblActuals3541519[Team 1],DN$3)+SUMIFS(tblActuals3541519[Team 1 Points],tblActuals3541519[Team 1],$CU11,tblActuals3541519[Team 2],DN$3)</f>
        <v>0</v>
      </c>
      <c r="DO11" s="56">
        <f>SUMIFS(tblActuals3541519[Team 2 Points],tblActuals3541519[Team 2],$CU11,tblActuals3541519[Team 1],DO$3)+SUMIFS(tblActuals3541519[Team 1 Points],tblActuals3541519[Team 1],$CU11,tblActuals3541519[Team 2],DO$3)</f>
        <v>0</v>
      </c>
      <c r="DP11" s="56">
        <f>SUMIFS(tblActuals3541519[Team 2 Points],tblActuals3541519[Team 2],$CU11,tblActuals3541519[Team 1],DP$3)+SUMIFS(tblActuals3541519[Team 1 Points],tblActuals3541519[Team 1],$CU11,tblActuals3541519[Team 2],DP$3)</f>
        <v>0</v>
      </c>
      <c r="DQ11" s="56">
        <f>SUMIFS(tblActuals3541519[Team 2 Points],tblActuals3541519[Team 2],$CU11,tblActuals3541519[Team 1],DQ$3)+SUMIFS(tblActuals3541519[Team 1 Points],tblActuals3541519[Team 1],$CU11,tblActuals3541519[Team 2],DQ$3)</f>
        <v>0</v>
      </c>
      <c r="DR11" s="56">
        <f>SUMIFS(tblActuals3541519[Team 2 Points],tblActuals3541519[Team 2],$CU11,tblActuals3541519[Team 1],DR$3)+SUMIFS(tblActuals3541519[Team 1 Points],tblActuals3541519[Team 1],$CU11,tblActuals3541519[Team 2],DR$3)</f>
        <v>0</v>
      </c>
      <c r="DS11" s="56">
        <f>SUMIFS(tblActuals3541519[Team 2 Points],tblActuals3541519[Team 2],$CU11,tblActuals3541519[Team 1],DS$3)+SUMIFS(tblActuals3541519[Team 1 Points],tblActuals3541519[Team 1],$CU11,tblActuals3541519[Team 2],DS$3)</f>
        <v>0</v>
      </c>
      <c r="DT11" s="57"/>
      <c r="DU11" s="57"/>
      <c r="DV11" s="57"/>
      <c r="DW11" s="57"/>
      <c r="DX11" s="57"/>
      <c r="DY11" s="57"/>
      <c r="DZ11" s="57"/>
      <c r="EA11" s="57"/>
      <c r="EB11" s="4"/>
      <c r="EC11" s="4" t="s">
        <v>127</v>
      </c>
      <c r="ED11" s="56">
        <f>SUMIFS(tblActuals3541519[Team 2 GD],tblActuals3541519[Team 2],$CU11,tblActuals3541519[Team 1],ED$3)+SUMIFS(tblActuals3541519[Team 1 GD],tblActuals3541519[Team 1],$CU11,tblActuals3541519[Team 2],ED$3)</f>
        <v>0</v>
      </c>
      <c r="EE11" s="56">
        <f>SUMIFS(tblActuals3541519[Team 2 GD],tblActuals3541519[Team 2],$CU11,tblActuals3541519[Team 1],EE$3)+SUMIFS(tblActuals3541519[Team 1 GD],tblActuals3541519[Team 1],$CU11,tblActuals3541519[Team 2],EE$3)</f>
        <v>0</v>
      </c>
      <c r="EF11" s="56">
        <f>SUMIFS(tblActuals3541519[Team 2 GD],tblActuals3541519[Team 2],$CU11,tblActuals3541519[Team 1],EF$3)+SUMIFS(tblActuals3541519[Team 1 GD],tblActuals3541519[Team 1],$CU11,tblActuals3541519[Team 2],EF$3)</f>
        <v>0</v>
      </c>
      <c r="EG11" s="56">
        <f>SUMIFS(tblActuals3541519[Team 2 GD],tblActuals3541519[Team 2],$CU11,tblActuals3541519[Team 1],EG$3)+SUMIFS(tblActuals3541519[Team 1 GD],tblActuals3541519[Team 1],$CU11,tblActuals3541519[Team 2],EG$3)</f>
        <v>0</v>
      </c>
      <c r="EH11" s="56">
        <f>SUMIFS(tblActuals3541519[Team 2 GD],tblActuals3541519[Team 2],$CU11,tblActuals3541519[Team 1],EH$3)+SUMIFS(tblActuals3541519[Team 1 GD],tblActuals3541519[Team 1],$CU11,tblActuals3541519[Team 2],EH$3)</f>
        <v>0</v>
      </c>
      <c r="EI11" s="56">
        <f>SUMIFS(tblActuals3541519[Team 2 GD],tblActuals3541519[Team 2],$CU11,tblActuals3541519[Team 1],EI$3)+SUMIFS(tblActuals3541519[Team 1 GD],tblActuals3541519[Team 1],$CU11,tblActuals3541519[Team 2],EI$3)</f>
        <v>0</v>
      </c>
      <c r="EJ11" s="56">
        <f>SUMIFS(tblActuals3541519[Team 2 GD],tblActuals3541519[Team 2],$CU11,tblActuals3541519[Team 1],EJ$3)+SUMIFS(tblActuals3541519[Team 1 GD],tblActuals3541519[Team 1],$CU11,tblActuals3541519[Team 2],EJ$3)</f>
        <v>0</v>
      </c>
      <c r="EK11" s="56">
        <f>SUMIFS(tblActuals3541519[Team 2 GD],tblActuals3541519[Team 2],$CU11,tblActuals3541519[Team 1],EK$3)+SUMIFS(tblActuals3541519[Team 1 GD],tblActuals3541519[Team 1],$CU11,tblActuals3541519[Team 2],EK$3)</f>
        <v>0</v>
      </c>
      <c r="EL11" s="56">
        <f>SUMIFS(tblActuals3541519[Team 2 GD],tblActuals3541519[Team 2],$CU11,tblActuals3541519[Team 1],EL$3)+SUMIFS(tblActuals3541519[Team 1 GD],tblActuals3541519[Team 1],$CU11,tblActuals3541519[Team 2],EL$3)</f>
        <v>0</v>
      </c>
      <c r="EM11" s="56">
        <f>SUMIFS(tblActuals3541519[Team 2 GD],tblActuals3541519[Team 2],$CU11,tblActuals3541519[Team 1],EM$3)+SUMIFS(tblActuals3541519[Team 1 GD],tblActuals3541519[Team 1],$CU11,tblActuals3541519[Team 2],EM$3)</f>
        <v>0</v>
      </c>
      <c r="EN11" s="56">
        <f>SUMIFS(tblActuals3541519[Team 2 GD],tblActuals3541519[Team 2],$CU11,tblActuals3541519[Team 1],EN$3)+SUMIFS(tblActuals3541519[Team 1 GD],tblActuals3541519[Team 1],$CU11,tblActuals3541519[Team 2],EN$3)</f>
        <v>0</v>
      </c>
      <c r="EO11" s="56">
        <f>SUMIFS(tblActuals3541519[Team 2 GD],tblActuals3541519[Team 2],$CU11,tblActuals3541519[Team 1],EO$3)+SUMIFS(tblActuals3541519[Team 1 GD],tblActuals3541519[Team 1],$CU11,tblActuals3541519[Team 2],EO$3)</f>
        <v>0</v>
      </c>
      <c r="EP11" s="56">
        <f>SUMIFS(tblActuals3541519[Team 2 GD],tblActuals3541519[Team 2],$CU11,tblActuals3541519[Team 1],EP$3)+SUMIFS(tblActuals3541519[Team 1 GD],tblActuals3541519[Team 1],$CU11,tblActuals3541519[Team 2],EP$3)</f>
        <v>0</v>
      </c>
      <c r="EQ11" s="56">
        <f>SUMIFS(tblActuals3541519[Team 2 GD],tblActuals3541519[Team 2],$CU11,tblActuals3541519[Team 1],EQ$3)+SUMIFS(tblActuals3541519[Team 1 GD],tblActuals3541519[Team 1],$CU11,tblActuals3541519[Team 2],EQ$3)</f>
        <v>0</v>
      </c>
      <c r="ER11" s="56">
        <f>SUMIFS(tblActuals3541519[Team 2 GD],tblActuals3541519[Team 2],$CU11,tblActuals3541519[Team 1],ER$3)+SUMIFS(tblActuals3541519[Team 1 GD],tblActuals3541519[Team 1],$CU11,tblActuals3541519[Team 2],ER$3)</f>
        <v>0</v>
      </c>
      <c r="ES11" s="56">
        <f>SUMIFS(tblActuals3541519[Team 2 GD],tblActuals3541519[Team 2],$CU11,tblActuals3541519[Team 1],ES$3)+SUMIFS(tblActuals3541519[Team 1 GD],tblActuals3541519[Team 1],$CU11,tblActuals3541519[Team 2],ES$3)</f>
        <v>0</v>
      </c>
      <c r="ET11" s="56">
        <f>SUMIFS(tblActuals3541519[Team 2 GD],tblActuals3541519[Team 2],$CU11,tblActuals3541519[Team 1],ET$3)+SUMIFS(tblActuals3541519[Team 1 GD],tblActuals3541519[Team 1],$CU11,tblActuals3541519[Team 2],ET$3)</f>
        <v>0</v>
      </c>
      <c r="EU11" s="56">
        <f>SUMIFS(tblActuals3541519[Team 2 GD],tblActuals3541519[Team 2],$CU11,tblActuals3541519[Team 1],EU$3)+SUMIFS(tblActuals3541519[Team 1 GD],tblActuals3541519[Team 1],$CU11,tblActuals3541519[Team 2],EU$3)</f>
        <v>0</v>
      </c>
      <c r="EV11" s="56">
        <f>SUMIFS(tblActuals3541519[Team 2 GD],tblActuals3541519[Team 2],$CU11,tblActuals3541519[Team 1],EV$3)+SUMIFS(tblActuals3541519[Team 1 GD],tblActuals3541519[Team 1],$CU11,tblActuals3541519[Team 2],EV$3)</f>
        <v>0</v>
      </c>
      <c r="EW11" s="56">
        <f>SUMIFS(tblActuals3541519[Team 2 GD],tblActuals3541519[Team 2],$CU11,tblActuals3541519[Team 1],EW$3)+SUMIFS(tblActuals3541519[Team 1 GD],tblActuals3541519[Team 1],$CU11,tblActuals3541519[Team 2],EW$3)</f>
        <v>0</v>
      </c>
      <c r="EX11" s="56">
        <f>SUMIFS(tblActuals3541519[Team 2 GD],tblActuals3541519[Team 2],$CU11,tblActuals3541519[Team 1],EX$3)+SUMIFS(tblActuals3541519[Team 1 GD],tblActuals3541519[Team 1],$CU11,tblActuals3541519[Team 2],EX$3)</f>
        <v>0</v>
      </c>
      <c r="EY11" s="56">
        <f>SUMIFS(tblActuals3541519[Team 2 GD],tblActuals3541519[Team 2],$CU11,tblActuals3541519[Team 1],EY$3)+SUMIFS(tblActuals3541519[Team 1 GD],tblActuals3541519[Team 1],$CU11,tblActuals3541519[Team 2],EY$3)</f>
        <v>0</v>
      </c>
      <c r="EZ11" s="56">
        <f>SUMIFS(tblActuals3541519[Team 2 GD],tblActuals3541519[Team 2],$CU11,tblActuals3541519[Team 1],EZ$3)+SUMIFS(tblActuals3541519[Team 1 GD],tblActuals3541519[Team 1],$CU11,tblActuals3541519[Team 2],EZ$3)</f>
        <v>0</v>
      </c>
      <c r="FA11" s="56">
        <f>SUMIFS(tblActuals3541519[Team 2 GD],tblActuals3541519[Team 2],$CU11,tblActuals3541519[Team 1],FA$3)+SUMIFS(tblActuals3541519[Team 1 GD],tblActuals3541519[Team 1],$CU11,tblActuals3541519[Team 2],FA$3)</f>
        <v>0</v>
      </c>
      <c r="FB11" s="57"/>
      <c r="FC11" s="57"/>
      <c r="FD11" s="57"/>
      <c r="FE11" s="57"/>
      <c r="FF11" s="57"/>
      <c r="FG11" s="57"/>
      <c r="FH11" s="57"/>
      <c r="FI11" s="57"/>
      <c r="FJ11" s="4"/>
      <c r="FK11" s="4" t="s">
        <v>127</v>
      </c>
      <c r="FL11" s="56">
        <f>SUMIFS(tblActuals3541519[Team 2 Goals],tblActuals3541519[Team 2],$CU11,tblActuals3541519[Team 1],FL$3)+SUMIFS(tblActuals3541519[Team 1 Goals],tblActuals3541519[Team 1],$CU11,tblActuals3541519[Team 2],FL$3)</f>
        <v>0</v>
      </c>
      <c r="FM11" s="56">
        <f>SUMIFS(tblActuals3541519[Team 2 Goals],tblActuals3541519[Team 2],$CU11,tblActuals3541519[Team 1],FM$3)+SUMIFS(tblActuals3541519[Team 1 Goals],tblActuals3541519[Team 1],$CU11,tblActuals3541519[Team 2],FM$3)</f>
        <v>0</v>
      </c>
      <c r="FN11" s="56">
        <f>SUMIFS(tblActuals3541519[Team 2 Goals],tblActuals3541519[Team 2],$CU11,tblActuals3541519[Team 1],FN$3)+SUMIFS(tblActuals3541519[Team 1 Goals],tblActuals3541519[Team 1],$CU11,tblActuals3541519[Team 2],FN$3)</f>
        <v>0</v>
      </c>
      <c r="FO11" s="56">
        <f>SUMIFS(tblActuals3541519[Team 2 Goals],tblActuals3541519[Team 2],$CU11,tblActuals3541519[Team 1],FO$3)+SUMIFS(tblActuals3541519[Team 1 Goals],tblActuals3541519[Team 1],$CU11,tblActuals3541519[Team 2],FO$3)</f>
        <v>0</v>
      </c>
      <c r="FP11" s="56">
        <f>SUMIFS(tblActuals3541519[Team 2 Goals],tblActuals3541519[Team 2],$CU11,tblActuals3541519[Team 1],FP$3)+SUMIFS(tblActuals3541519[Team 1 Goals],tblActuals3541519[Team 1],$CU11,tblActuals3541519[Team 2],FP$3)</f>
        <v>0</v>
      </c>
      <c r="FQ11" s="56">
        <f>SUMIFS(tblActuals3541519[Team 2 Goals],tblActuals3541519[Team 2],$CU11,tblActuals3541519[Team 1],FQ$3)+SUMIFS(tblActuals3541519[Team 1 Goals],tblActuals3541519[Team 1],$CU11,tblActuals3541519[Team 2],FQ$3)</f>
        <v>0</v>
      </c>
      <c r="FR11" s="56">
        <f>SUMIFS(tblActuals3541519[Team 2 Goals],tblActuals3541519[Team 2],$CU11,tblActuals3541519[Team 1],FR$3)+SUMIFS(tblActuals3541519[Team 1 Goals],tblActuals3541519[Team 1],$CU11,tblActuals3541519[Team 2],FR$3)</f>
        <v>0</v>
      </c>
      <c r="FS11" s="56">
        <f>SUMIFS(tblActuals3541519[Team 2 Goals],tblActuals3541519[Team 2],$CU11,tblActuals3541519[Team 1],FS$3)+SUMIFS(tblActuals3541519[Team 1 Goals],tblActuals3541519[Team 1],$CU11,tblActuals3541519[Team 2],FS$3)</f>
        <v>0</v>
      </c>
      <c r="FT11" s="56">
        <f>SUMIFS(tblActuals3541519[Team 2 Goals],tblActuals3541519[Team 2],$CU11,tblActuals3541519[Team 1],FT$3)+SUMIFS(tblActuals3541519[Team 1 Goals],tblActuals3541519[Team 1],$CU11,tblActuals3541519[Team 2],FT$3)</f>
        <v>0</v>
      </c>
      <c r="FU11" s="56">
        <f>SUMIFS(tblActuals3541519[Team 2 Goals],tblActuals3541519[Team 2],$CU11,tblActuals3541519[Team 1],FU$3)+SUMIFS(tblActuals3541519[Team 1 Goals],tblActuals3541519[Team 1],$CU11,tblActuals3541519[Team 2],FU$3)</f>
        <v>0</v>
      </c>
      <c r="FV11" s="56">
        <f>SUMIFS(tblActuals3541519[Team 2 Goals],tblActuals3541519[Team 2],$CU11,tblActuals3541519[Team 1],FV$3)+SUMIFS(tblActuals3541519[Team 1 Goals],tblActuals3541519[Team 1],$CU11,tblActuals3541519[Team 2],FV$3)</f>
        <v>0</v>
      </c>
      <c r="FW11" s="56">
        <f>SUMIFS(tblActuals3541519[Team 2 Goals],tblActuals3541519[Team 2],$CU11,tblActuals3541519[Team 1],FW$3)+SUMIFS(tblActuals3541519[Team 1 Goals],tblActuals3541519[Team 1],$CU11,tblActuals3541519[Team 2],FW$3)</f>
        <v>0</v>
      </c>
      <c r="FX11" s="56">
        <f>SUMIFS(tblActuals3541519[Team 2 Goals],tblActuals3541519[Team 2],$CU11,tblActuals3541519[Team 1],FX$3)+SUMIFS(tblActuals3541519[Team 1 Goals],tblActuals3541519[Team 1],$CU11,tblActuals3541519[Team 2],FX$3)</f>
        <v>0</v>
      </c>
      <c r="FY11" s="56">
        <f>SUMIFS(tblActuals3541519[Team 2 Goals],tblActuals3541519[Team 2],$CU11,tblActuals3541519[Team 1],FY$3)+SUMIFS(tblActuals3541519[Team 1 Goals],tblActuals3541519[Team 1],$CU11,tblActuals3541519[Team 2],FY$3)</f>
        <v>0</v>
      </c>
      <c r="FZ11" s="56">
        <f>SUMIFS(tblActuals3541519[Team 2 Goals],tblActuals3541519[Team 2],$CU11,tblActuals3541519[Team 1],FZ$3)+SUMIFS(tblActuals3541519[Team 1 Goals],tblActuals3541519[Team 1],$CU11,tblActuals3541519[Team 2],FZ$3)</f>
        <v>0</v>
      </c>
      <c r="GA11" s="56">
        <f>SUMIFS(tblActuals3541519[Team 2 Goals],tblActuals3541519[Team 2],$CU11,tblActuals3541519[Team 1],GA$3)+SUMIFS(tblActuals3541519[Team 1 Goals],tblActuals3541519[Team 1],$CU11,tblActuals3541519[Team 2],GA$3)</f>
        <v>0</v>
      </c>
      <c r="GB11" s="56">
        <f>SUMIFS(tblActuals3541519[Team 2 Goals],tblActuals3541519[Team 2],$CU11,tblActuals3541519[Team 1],GB$3)+SUMIFS(tblActuals3541519[Team 1 Goals],tblActuals3541519[Team 1],$CU11,tblActuals3541519[Team 2],GB$3)</f>
        <v>0</v>
      </c>
      <c r="GC11" s="56">
        <f>SUMIFS(tblActuals3541519[Team 2 Goals],tblActuals3541519[Team 2],$CU11,tblActuals3541519[Team 1],GC$3)+SUMIFS(tblActuals3541519[Team 1 Goals],tblActuals3541519[Team 1],$CU11,tblActuals3541519[Team 2],GC$3)</f>
        <v>0</v>
      </c>
      <c r="GD11" s="56">
        <f>SUMIFS(tblActuals3541519[Team 2 Goals],tblActuals3541519[Team 2],$CU11,tblActuals3541519[Team 1],GD$3)+SUMIFS(tblActuals3541519[Team 1 Goals],tblActuals3541519[Team 1],$CU11,tblActuals3541519[Team 2],GD$3)</f>
        <v>0</v>
      </c>
      <c r="GE11" s="56">
        <f>SUMIFS(tblActuals3541519[Team 2 Goals],tblActuals3541519[Team 2],$CU11,tblActuals3541519[Team 1],GE$3)+SUMIFS(tblActuals3541519[Team 1 Goals],tblActuals3541519[Team 1],$CU11,tblActuals3541519[Team 2],GE$3)</f>
        <v>0</v>
      </c>
      <c r="GF11" s="56">
        <f>SUMIFS(tblActuals3541519[Team 2 Goals],tblActuals3541519[Team 2],$CU11,tblActuals3541519[Team 1],GF$3)+SUMIFS(tblActuals3541519[Team 1 Goals],tblActuals3541519[Team 1],$CU11,tblActuals3541519[Team 2],GF$3)</f>
        <v>0</v>
      </c>
      <c r="GG11" s="56">
        <f>SUMIFS(tblActuals3541519[Team 2 Goals],tblActuals3541519[Team 2],$CU11,tblActuals3541519[Team 1],GG$3)+SUMIFS(tblActuals3541519[Team 1 Goals],tblActuals3541519[Team 1],$CU11,tblActuals3541519[Team 2],GG$3)</f>
        <v>0</v>
      </c>
      <c r="GH11" s="56">
        <f>SUMIFS(tblActuals3541519[Team 2 Goals],tblActuals3541519[Team 2],$CU11,tblActuals3541519[Team 1],GH$3)+SUMIFS(tblActuals3541519[Team 1 Goals],tblActuals3541519[Team 1],$CU11,tblActuals3541519[Team 2],GH$3)</f>
        <v>0</v>
      </c>
      <c r="GI11" s="56">
        <f>SUMIFS(tblActuals3541519[Team 2 Goals],tblActuals3541519[Team 2],$CU11,tblActuals3541519[Team 1],GI$3)+SUMIFS(tblActuals3541519[Team 1 Goals],tblActuals3541519[Team 1],$CU11,tblActuals3541519[Team 2],GI$3)</f>
        <v>0</v>
      </c>
      <c r="GJ11" s="57"/>
      <c r="GK11" s="57"/>
      <c r="GL11" s="37"/>
      <c r="GM11" s="37"/>
      <c r="GN11" s="37"/>
      <c r="GO11" s="37"/>
      <c r="GP11" s="37"/>
      <c r="GQ11" s="37"/>
      <c r="GR11" s="75"/>
      <c r="GS11" s="156"/>
      <c r="GT11" s="156"/>
      <c r="GU11" s="75"/>
      <c r="GV11" s="75"/>
      <c r="GW11" s="75"/>
      <c r="GX11" s="75"/>
      <c r="GY11" s="75"/>
      <c r="GZ11" s="75"/>
      <c r="HB11" s="4" t="str">
        <f t="shared" si="12"/>
        <v>ACDE</v>
      </c>
      <c r="HC11" s="44" t="s">
        <v>1</v>
      </c>
      <c r="HD11" s="45"/>
      <c r="HE11" s="44" t="s">
        <v>6</v>
      </c>
      <c r="HF11" s="44" t="s">
        <v>7</v>
      </c>
      <c r="HG11" s="44" t="s">
        <v>12</v>
      </c>
      <c r="HH11" s="45"/>
      <c r="HI11" s="178"/>
      <c r="HJ11" s="45" t="s">
        <v>153</v>
      </c>
      <c r="HK11" s="45" t="s">
        <v>150</v>
      </c>
      <c r="HL11" s="45" t="s">
        <v>152</v>
      </c>
      <c r="HM11" s="45" t="s">
        <v>149</v>
      </c>
    </row>
    <row r="12" spans="1:221" s="11" customFormat="1" ht="30" customHeight="1" x14ac:dyDescent="0.2">
      <c r="A12" s="20"/>
      <c r="B12" s="122">
        <v>9</v>
      </c>
      <c r="C12" s="122" t="s">
        <v>12</v>
      </c>
      <c r="D12" s="123">
        <v>45460</v>
      </c>
      <c r="E12" s="122" t="s">
        <v>86</v>
      </c>
      <c r="F12" s="124">
        <v>0.75</v>
      </c>
      <c r="G12" s="125">
        <f t="shared" si="11"/>
        <v>45460.5</v>
      </c>
      <c r="H12" s="122" t="s">
        <v>97</v>
      </c>
      <c r="I12" s="126"/>
      <c r="J12" s="118"/>
      <c r="K12" s="118"/>
      <c r="L12" s="174">
        <f>IF(I12="",0,IFERROR(IF(SCORING.RULES!$C$8="No",1,((VLOOKUP($B12,ACTUALS!$B$4:$L$100,7,FALSE)=$H12)+(VLOOKUP($B12,ACTUALS!$B$4:$L$100,7,FALSE)=S12)))*(M12+N12+O12+P12+Q12),0))+$R12</f>
        <v>0</v>
      </c>
      <c r="M12" s="168">
        <f>IFERROR(IF($B12="","",IF(U12=INDEX(ACTUALS!$AA$4:$AA$100,MATCH($B12,ACTUALS!$B$4:$B$100,0),1),CorrectScore,0)),0)</f>
        <v>0</v>
      </c>
      <c r="N12" s="157" t="str">
        <f>IFERROR(IF(I12="","",IF(INDEX(ACTUALS!$AB$4:$AB$100,MATCH($B12,ACTUALS!$B$4:$B$100,0),1)=(AB12+AC12+AH12+AI12),CorrectNumberofGoals,0)),0)</f>
        <v/>
      </c>
      <c r="O12" s="157"/>
      <c r="P12" s="157">
        <f>IFERROR(IF(B12="","",IF(INDEX(ACTUALS!$L$4:$L$100,MATCH($B12,ACTUALS!$B$4:$B$100,0),1)=W12,CorrectResult,0)),0)</f>
        <v>3</v>
      </c>
      <c r="Q12" s="157"/>
      <c r="R12" s="157"/>
      <c r="S12" s="157" t="str">
        <f t="shared" si="0"/>
        <v/>
      </c>
      <c r="T12" s="157"/>
      <c r="U12" s="157" t="str">
        <f t="shared" si="1"/>
        <v/>
      </c>
      <c r="V12" s="157" t="str">
        <f t="shared" si="2"/>
        <v/>
      </c>
      <c r="W12" s="119" t="str">
        <f>IF(tblActuals3541519[[#This Row],[SCORE]]="","",IF(AB12=AC12,"Draw",IF(AB12&gt;AC12,X12,Y12)))</f>
        <v/>
      </c>
      <c r="X12" s="120" t="str">
        <f>IF(tblActuals3541519[[#This Row],[TEAMS]]="","",LEFT(H12,FIND(" -",H12,1)-1))</f>
        <v>Belgium</v>
      </c>
      <c r="Y12" s="120" t="str">
        <f>IF(tblActuals3541519[[#This Row],[TEAMS]]="","",MID(H12,FIND("-",H12,1)+2,LEN(H12)-FIND("-",H12,1)+2))</f>
        <v>Slovakia</v>
      </c>
      <c r="Z12" s="120" t="str">
        <f>IF(tblActuals3541519[[#This Row],[Team 1 Goals]]&gt;tblActuals3541519[[#This Row],[Team 2 Goals]],tblActuals3541519[[#This Row],[Team 1]],IF(tblActuals3541519[[#This Row],[Team 2 Goals]]&gt;tblActuals3541519[[#This Row],[Team 1 Goals]],tblActuals3541519[[#This Row],[Team 2]],""))</f>
        <v/>
      </c>
      <c r="AA12" s="120" t="str">
        <f>IF(tblActuals3541519[[#This Row],[Winner]]=tblActuals3541519[[#This Row],[Team 1]],tblActuals3541519[[#This Row],[Team 2]],IF(tblActuals3541519[[#This Row],[Winner]]=tblActuals3541519[[#This Row],[Team 2]],tblActuals3541519[[#This Row],[Team 1]],""))</f>
        <v/>
      </c>
      <c r="AB12" s="120" t="str">
        <f>IF(tblActuals3541519[[#This Row],[SCORE]]="","",LEFT(I12,FIND(":",I12,1)-1)*1)</f>
        <v/>
      </c>
      <c r="AC12" s="120" t="str">
        <f>IF(tblActuals3541519[[#This Row],[SCORE]]="","",MID(I12,FIND(":",I12,1)+1,LEN(I12)-FIND(":",I12,1)+1)*1)</f>
        <v/>
      </c>
      <c r="AD12" s="120" t="str">
        <f>IF(OR(tblActuals3541519[[#This Row],[Team 1 Goals]]="",tblActuals3541519[[#This Row],[Team 2 Goals]]=""),"",tblActuals3541519[[#This Row],[Team 1 Goals]]-tblActuals3541519[[#This Row],[Team 2 Goals]])</f>
        <v/>
      </c>
      <c r="AE12" s="120" t="str">
        <f>IF(OR(tblActuals3541519[[#This Row],[Team 1 Goals]]="",tblActuals3541519[[#This Row],[Team 2 Goals]]=""),"",tblActuals3541519[[#This Row],[Team 2 Goals]]-tblActuals3541519[[#This Row],[Team 1 Goals]])</f>
        <v/>
      </c>
      <c r="AF12" s="120" t="str">
        <f>IF(tblActuals3541519[[#This Row],[SCORE]]="","",IF(tblActuals3541519[[#This Row],[WINNER / RESULT]]="Draw",1,IF(tblActuals3541519[[#This Row],[WINNER / RESULT]]=tblActuals3541519[[#This Row],[Team 1]],3,0)))</f>
        <v/>
      </c>
      <c r="AG12" s="120" t="str">
        <f>IF(tblActuals3541519[[#This Row],[SCORE]]="","",IF(tblActuals3541519[[#This Row],[WINNER / RESULT]]="Draw",1,IF(tblActuals3541519[[#This Row],[WINNER / RESULT]]=tblActuals3541519[[#This Row],[Team 2]],3,0)))</f>
        <v/>
      </c>
      <c r="AH12" s="121"/>
      <c r="AI12" s="121"/>
      <c r="AJ12" s="121"/>
      <c r="AK12" s="121"/>
      <c r="AL12" s="120" t="e">
        <f>tblActuals3541519[[#This Row],[Team 1 Goals]]+tblActuals3541519[[#This Row],[Team 1 ET Goals]]&amp;":"&amp;tblActuals3541519[[#This Row],[Team 2 Goals]]+tblActuals3541519[[#This Row],[Team 2 ET Goals]]</f>
        <v>#VALUE!</v>
      </c>
      <c r="AM12" s="120" t="e">
        <f>+tblActuals3541519[[#This Row],[Team 1 Goals]]+tblActuals3541519[[#This Row],[Team 2 Goals]]</f>
        <v>#VALUE!</v>
      </c>
      <c r="AN12" s="161">
        <f t="shared" si="3"/>
        <v>45460</v>
      </c>
      <c r="AP12" s="38" t="s">
        <v>87</v>
      </c>
      <c r="AT12" s="77" t="s">
        <v>5</v>
      </c>
      <c r="AU12" s="136">
        <v>1</v>
      </c>
      <c r="AV12" s="137" t="str">
        <f ca="1">IFERROR(INDEX(BD:BD,MATCH("1"&amp;AT12,BN:BN,0),1),"")</f>
        <v>Albania</v>
      </c>
      <c r="AW12" s="137" t="str">
        <f ca="1">IF(AV12="","",VLOOKUP(AV12,BD:BI,2,FALSE)&amp;"-"&amp;VLOOKUP(AV12,BD:BI,3,FALSE)&amp;"-"&amp;VLOOKUP(AV12,BD:BI,4,FALSE))</f>
        <v>0-0-0</v>
      </c>
      <c r="AX12" s="137">
        <f ca="1">IF(AV12="","",VLOOKUP(AV12,BD:BK,8,FALSE))</f>
        <v>0</v>
      </c>
      <c r="AY12" s="138">
        <f ca="1">IF(AV12="","",VLOOKUP(AV12,BD:BN,5,FALSE))</f>
        <v>0</v>
      </c>
      <c r="AZ12" s="75"/>
      <c r="BA12" s="42"/>
      <c r="BB12" s="4"/>
      <c r="BC12" s="4" t="s">
        <v>5</v>
      </c>
      <c r="BD12" s="4" t="s">
        <v>28</v>
      </c>
      <c r="BE12" s="4">
        <f>COUNTIF(tblActuals3541519[Winner],BD12)</f>
        <v>0</v>
      </c>
      <c r="BF12" s="4">
        <f>COUNTIFS(tblActuals3541519[Team 2],BD12,tblActuals3541519[WINNER / RESULT],"Draw")+COUNTIFS(tblActuals3541519[Team 1],BD12,tblActuals3541519[WINNER / RESULT],"Draw")</f>
        <v>0</v>
      </c>
      <c r="BG12" s="4">
        <f>COUNTIF(tblActuals3541519[Loser],BD12)</f>
        <v>0</v>
      </c>
      <c r="BH12" s="4">
        <f>BF12+(3*BE12)</f>
        <v>0</v>
      </c>
      <c r="BI12" s="4">
        <f>SUMIFS(tblActuals3541519[Team 1 Goals],tblActuals3541519[Team 1],BD12)+SUMIFS(tblActuals3541519[Team 2 Goals],tblActuals3541519[Team 2],BD12)</f>
        <v>0</v>
      </c>
      <c r="BJ12" s="4">
        <f>SUMIFS(tblActuals3541519[Team 2 Goals],tblActuals3541519[Team 1],BD12)+SUMIFS(tblActuals3541519[Team 1 Goals],tblActuals3541519[Team 2],BD12)</f>
        <v>0</v>
      </c>
      <c r="BK12" s="4">
        <f>BI12-BJ12</f>
        <v>0</v>
      </c>
      <c r="BL12" s="4">
        <f ca="1">RANK(BY12,$BY$9:$BY$12,1)</f>
        <v>4</v>
      </c>
      <c r="BM12" s="4" t="str">
        <f t="shared" si="4"/>
        <v/>
      </c>
      <c r="BN12" s="4" t="str">
        <f ca="1">IF(BM12="",BL12&amp;BC12,BM12&amp;BC12)</f>
        <v>4B</v>
      </c>
      <c r="BO12" s="4">
        <f>RANK(BH12,$BH$9:$BH$12,0)</f>
        <v>1</v>
      </c>
      <c r="BP12" s="4" cm="1">
        <f t="array" aca="1" ref="BP12" ca="1">SUMPRODUCT((OFFSET($CV$3:$EA$3,MATCH($BD12,$CU$4:$CU$35,0),0))*((IF($BO10=$BO12,$CV$3:$EA$3=$BD10,0))+(IF($BO9=$BO12,$CV$3:$EA$3=$BD9,0))+(IF($BO11=$BO12,$CV$3:$EA$3=$BD11,0))))</f>
        <v>0</v>
      </c>
      <c r="BQ12" s="4" cm="1">
        <f t="array" aca="1" ref="BQ12" ca="1">SUMPRODUCT((OFFSET($ED$3:$FI$3,MATCH($BD12,$EC$4:$EC$35,0),0))*((IF($BO10=$BO12,$ED$3:$FI$3=$BD10,0))+(IF($BO9=$BO12,$ED$3:$FI$3=$BD9,0))+(IF($BO11=$BO12,$ED$3:$FI$3=$BD11,0))))</f>
        <v>0</v>
      </c>
      <c r="BR12" s="4" cm="1">
        <f t="array" aca="1" ref="BR12" ca="1">SUMPRODUCT((OFFSET($FL$3:$GQ$3,MATCH($BD12,$FK$4:$FK$35,0),0))*((IF($BO10=$BO12,$FL$3:$GQ$3=$BD10,0))+(IF($BO9=$BO12,$FL$3:$GQ$3=$BD9,0))+(IF($BO11=$BO12,$FL$3:$GQ$3=$BD11,0))))</f>
        <v>0</v>
      </c>
      <c r="BS12" s="4" cm="1">
        <f t="array" aca="1" ref="BS12" ca="1">SUMPRODUCT((OFFSET($CV$3:$EA$3,MATCH($BD12,$CU$4:$CU$35,0),0))*((IF($BO10&lt;&gt;$BO12,$CV$3:$EA$3=$BD10,0))+(IF($BO9&lt;&gt;$BO12,$CV$3:$EA$3=$BD9,0))+(IF($BO11&lt;&gt;$BO12,$CV$3:$EA$3=$BD11,0))))</f>
        <v>0</v>
      </c>
      <c r="BT12" s="4" cm="1">
        <f t="array" aca="1" ref="BT12" ca="1">SUMPRODUCT((OFFSET($ED$3:$FI$3,MATCH($BD12,$EC$4:$EC$35,0),0))*((IF($BO10&lt;&gt;$BO12,$ED$3:$FI$3=$BD10,0))+(IF($BO9&lt;&gt;$BO12,$ED$3:$FI$3=$BD9,0))+(IF($BO11&lt;&gt;$BO12,$ED$3:$FI$3=$BD11,0))))</f>
        <v>0</v>
      </c>
      <c r="BU12" s="4" cm="1">
        <f t="array" aca="1" ref="BU12" ca="1">SUMPRODUCT((OFFSET($FL$3:$GQ$3,MATCH($BD12,$FK$4:$FK$35,0),0))*((IF($BO10&lt;&gt;$BO12,$FL$3:$GQ$3=$BD10,0))+(IF($BO9&lt;&gt;$BO12,$FL$3:$GQ$3=$BD9,0))+(IF($BO11&lt;&gt;$BO12,$FL$3:$GQ$3=$BD11,0))))</f>
        <v>0</v>
      </c>
      <c r="BV12" s="4">
        <f>BK12</f>
        <v>0</v>
      </c>
      <c r="BW12" s="4">
        <f>BI12</f>
        <v>0</v>
      </c>
      <c r="BX12" s="4">
        <f ca="1">(BP12/10)+(BQ12/100)+(BR12/1000)+(BT12/10000)+(BU12/100000)+(BV12/1000000)+(BW12/10000000)+(ROW(BS9)/100000000)</f>
        <v>8.9999999999999999E-8</v>
      </c>
      <c r="BY12" s="4">
        <f ca="1">+BO12-BX12</f>
        <v>0.99999990999999999</v>
      </c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U12" s="4" t="s">
        <v>128</v>
      </c>
      <c r="CV12" s="56">
        <f>SUMIFS(tblActuals3541519[Team 2 Points],tblActuals3541519[Team 2],$CU12,tblActuals3541519[Team 1],CV$3)+SUMIFS(tblActuals3541519[Team 1 Points],tblActuals3541519[Team 1],$CU12,tblActuals3541519[Team 2],CV$3)</f>
        <v>0</v>
      </c>
      <c r="CW12" s="56">
        <f>SUMIFS(tblActuals3541519[Team 2 Points],tblActuals3541519[Team 2],$CU12,tblActuals3541519[Team 1],CW$3)+SUMIFS(tblActuals3541519[Team 1 Points],tblActuals3541519[Team 1],$CU12,tblActuals3541519[Team 2],CW$3)</f>
        <v>0</v>
      </c>
      <c r="CX12" s="56">
        <f>SUMIFS(tblActuals3541519[Team 2 Points],tblActuals3541519[Team 2],$CU12,tblActuals3541519[Team 1],CX$3)+SUMIFS(tblActuals3541519[Team 1 Points],tblActuals3541519[Team 1],$CU12,tblActuals3541519[Team 2],CX$3)</f>
        <v>0</v>
      </c>
      <c r="CY12" s="56">
        <f>SUMIFS(tblActuals3541519[Team 2 Points],tblActuals3541519[Team 2],$CU12,tblActuals3541519[Team 1],CY$3)+SUMIFS(tblActuals3541519[Team 1 Points],tblActuals3541519[Team 1],$CU12,tblActuals3541519[Team 2],CY$3)</f>
        <v>0</v>
      </c>
      <c r="CZ12" s="56">
        <f>SUMIFS(tblActuals3541519[Team 2 Points],tblActuals3541519[Team 2],$CU12,tblActuals3541519[Team 1],CZ$3)+SUMIFS(tblActuals3541519[Team 1 Points],tblActuals3541519[Team 1],$CU12,tblActuals3541519[Team 2],CZ$3)</f>
        <v>0</v>
      </c>
      <c r="DA12" s="56">
        <f>SUMIFS(tblActuals3541519[Team 2 Points],tblActuals3541519[Team 2],$CU12,tblActuals3541519[Team 1],DA$3)+SUMIFS(tblActuals3541519[Team 1 Points],tblActuals3541519[Team 1],$CU12,tblActuals3541519[Team 2],DA$3)</f>
        <v>0</v>
      </c>
      <c r="DB12" s="56">
        <f>SUMIFS(tblActuals3541519[Team 2 Points],tblActuals3541519[Team 2],$CU12,tblActuals3541519[Team 1],DB$3)+SUMIFS(tblActuals3541519[Team 1 Points],tblActuals3541519[Team 1],$CU12,tblActuals3541519[Team 2],DB$3)</f>
        <v>0</v>
      </c>
      <c r="DC12" s="56">
        <f>SUMIFS(tblActuals3541519[Team 2 Points],tblActuals3541519[Team 2],$CU12,tblActuals3541519[Team 1],DC$3)+SUMIFS(tblActuals3541519[Team 1 Points],tblActuals3541519[Team 1],$CU12,tblActuals3541519[Team 2],DC$3)</f>
        <v>0</v>
      </c>
      <c r="DD12" s="56">
        <f>SUMIFS(tblActuals3541519[Team 2 Points],tblActuals3541519[Team 2],$CU12,tblActuals3541519[Team 1],DD$3)+SUMIFS(tblActuals3541519[Team 1 Points],tblActuals3541519[Team 1],$CU12,tblActuals3541519[Team 2],DD$3)</f>
        <v>0</v>
      </c>
      <c r="DE12" s="56">
        <f>SUMIFS(tblActuals3541519[Team 2 Points],tblActuals3541519[Team 2],$CU12,tblActuals3541519[Team 1],DE$3)+SUMIFS(tblActuals3541519[Team 1 Points],tblActuals3541519[Team 1],$CU12,tblActuals3541519[Team 2],DE$3)</f>
        <v>0</v>
      </c>
      <c r="DF12" s="56">
        <f>SUMIFS(tblActuals3541519[Team 2 Points],tblActuals3541519[Team 2],$CU12,tblActuals3541519[Team 1],DF$3)+SUMIFS(tblActuals3541519[Team 1 Points],tblActuals3541519[Team 1],$CU12,tblActuals3541519[Team 2],DF$3)</f>
        <v>0</v>
      </c>
      <c r="DG12" s="56">
        <f>SUMIFS(tblActuals3541519[Team 2 Points],tblActuals3541519[Team 2],$CU12,tblActuals3541519[Team 1],DG$3)+SUMIFS(tblActuals3541519[Team 1 Points],tblActuals3541519[Team 1],$CU12,tblActuals3541519[Team 2],DG$3)</f>
        <v>0</v>
      </c>
      <c r="DH12" s="56">
        <f>SUMIFS(tblActuals3541519[Team 2 Points],tblActuals3541519[Team 2],$CU12,tblActuals3541519[Team 1],DH$3)+SUMIFS(tblActuals3541519[Team 1 Points],tblActuals3541519[Team 1],$CU12,tblActuals3541519[Team 2],DH$3)</f>
        <v>0</v>
      </c>
      <c r="DI12" s="56">
        <f>SUMIFS(tblActuals3541519[Team 2 Points],tblActuals3541519[Team 2],$CU12,tblActuals3541519[Team 1],DI$3)+SUMIFS(tblActuals3541519[Team 1 Points],tblActuals3541519[Team 1],$CU12,tblActuals3541519[Team 2],DI$3)</f>
        <v>0</v>
      </c>
      <c r="DJ12" s="56">
        <f>SUMIFS(tblActuals3541519[Team 2 Points],tblActuals3541519[Team 2],$CU12,tblActuals3541519[Team 1],DJ$3)+SUMIFS(tblActuals3541519[Team 1 Points],tblActuals3541519[Team 1],$CU12,tblActuals3541519[Team 2],DJ$3)</f>
        <v>0</v>
      </c>
      <c r="DK12" s="56">
        <f>SUMIFS(tblActuals3541519[Team 2 Points],tblActuals3541519[Team 2],$CU12,tblActuals3541519[Team 1],DK$3)+SUMIFS(tblActuals3541519[Team 1 Points],tblActuals3541519[Team 1],$CU12,tblActuals3541519[Team 2],DK$3)</f>
        <v>0</v>
      </c>
      <c r="DL12" s="56">
        <f>SUMIFS(tblActuals3541519[Team 2 Points],tblActuals3541519[Team 2],$CU12,tblActuals3541519[Team 1],DL$3)+SUMIFS(tblActuals3541519[Team 1 Points],tblActuals3541519[Team 1],$CU12,tblActuals3541519[Team 2],DL$3)</f>
        <v>0</v>
      </c>
      <c r="DM12" s="56">
        <f>SUMIFS(tblActuals3541519[Team 2 Points],tblActuals3541519[Team 2],$CU12,tblActuals3541519[Team 1],DM$3)+SUMIFS(tblActuals3541519[Team 1 Points],tblActuals3541519[Team 1],$CU12,tblActuals3541519[Team 2],DM$3)</f>
        <v>0</v>
      </c>
      <c r="DN12" s="56">
        <f>SUMIFS(tblActuals3541519[Team 2 Points],tblActuals3541519[Team 2],$CU12,tblActuals3541519[Team 1],DN$3)+SUMIFS(tblActuals3541519[Team 1 Points],tblActuals3541519[Team 1],$CU12,tblActuals3541519[Team 2],DN$3)</f>
        <v>0</v>
      </c>
      <c r="DO12" s="56">
        <f>SUMIFS(tblActuals3541519[Team 2 Points],tblActuals3541519[Team 2],$CU12,tblActuals3541519[Team 1],DO$3)+SUMIFS(tblActuals3541519[Team 1 Points],tblActuals3541519[Team 1],$CU12,tblActuals3541519[Team 2],DO$3)</f>
        <v>0</v>
      </c>
      <c r="DP12" s="56">
        <f>SUMIFS(tblActuals3541519[Team 2 Points],tblActuals3541519[Team 2],$CU12,tblActuals3541519[Team 1],DP$3)+SUMIFS(tblActuals3541519[Team 1 Points],tblActuals3541519[Team 1],$CU12,tblActuals3541519[Team 2],DP$3)</f>
        <v>0</v>
      </c>
      <c r="DQ12" s="56">
        <f>SUMIFS(tblActuals3541519[Team 2 Points],tblActuals3541519[Team 2],$CU12,tblActuals3541519[Team 1],DQ$3)+SUMIFS(tblActuals3541519[Team 1 Points],tblActuals3541519[Team 1],$CU12,tblActuals3541519[Team 2],DQ$3)</f>
        <v>0</v>
      </c>
      <c r="DR12" s="56">
        <f>SUMIFS(tblActuals3541519[Team 2 Points],tblActuals3541519[Team 2],$CU12,tblActuals3541519[Team 1],DR$3)+SUMIFS(tblActuals3541519[Team 1 Points],tblActuals3541519[Team 1],$CU12,tblActuals3541519[Team 2],DR$3)</f>
        <v>0</v>
      </c>
      <c r="DS12" s="56">
        <f>SUMIFS(tblActuals3541519[Team 2 Points],tblActuals3541519[Team 2],$CU12,tblActuals3541519[Team 1],DS$3)+SUMIFS(tblActuals3541519[Team 1 Points],tblActuals3541519[Team 1],$CU12,tblActuals3541519[Team 2],DS$3)</f>
        <v>0</v>
      </c>
      <c r="DT12" s="57"/>
      <c r="DU12" s="57"/>
      <c r="DV12" s="57"/>
      <c r="DW12" s="57"/>
      <c r="DX12" s="57"/>
      <c r="DY12" s="57"/>
      <c r="DZ12" s="57"/>
      <c r="EA12" s="57"/>
      <c r="EB12" s="4"/>
      <c r="EC12" s="4" t="s">
        <v>128</v>
      </c>
      <c r="ED12" s="56">
        <f>SUMIFS(tblActuals3541519[Team 2 GD],tblActuals3541519[Team 2],$CU12,tblActuals3541519[Team 1],ED$3)+SUMIFS(tblActuals3541519[Team 1 GD],tblActuals3541519[Team 1],$CU12,tblActuals3541519[Team 2],ED$3)</f>
        <v>0</v>
      </c>
      <c r="EE12" s="56">
        <f>SUMIFS(tblActuals3541519[Team 2 GD],tblActuals3541519[Team 2],$CU12,tblActuals3541519[Team 1],EE$3)+SUMIFS(tblActuals3541519[Team 1 GD],tblActuals3541519[Team 1],$CU12,tblActuals3541519[Team 2],EE$3)</f>
        <v>0</v>
      </c>
      <c r="EF12" s="56">
        <f>SUMIFS(tblActuals3541519[Team 2 GD],tblActuals3541519[Team 2],$CU12,tblActuals3541519[Team 1],EF$3)+SUMIFS(tblActuals3541519[Team 1 GD],tblActuals3541519[Team 1],$CU12,tblActuals3541519[Team 2],EF$3)</f>
        <v>0</v>
      </c>
      <c r="EG12" s="56">
        <f>SUMIFS(tblActuals3541519[Team 2 GD],tblActuals3541519[Team 2],$CU12,tblActuals3541519[Team 1],EG$3)+SUMIFS(tblActuals3541519[Team 1 GD],tblActuals3541519[Team 1],$CU12,tblActuals3541519[Team 2],EG$3)</f>
        <v>0</v>
      </c>
      <c r="EH12" s="56">
        <f>SUMIFS(tblActuals3541519[Team 2 GD],tblActuals3541519[Team 2],$CU12,tblActuals3541519[Team 1],EH$3)+SUMIFS(tblActuals3541519[Team 1 GD],tblActuals3541519[Team 1],$CU12,tblActuals3541519[Team 2],EH$3)</f>
        <v>0</v>
      </c>
      <c r="EI12" s="56">
        <f>SUMIFS(tblActuals3541519[Team 2 GD],tblActuals3541519[Team 2],$CU12,tblActuals3541519[Team 1],EI$3)+SUMIFS(tblActuals3541519[Team 1 GD],tblActuals3541519[Team 1],$CU12,tblActuals3541519[Team 2],EI$3)</f>
        <v>0</v>
      </c>
      <c r="EJ12" s="56">
        <f>SUMIFS(tblActuals3541519[Team 2 GD],tblActuals3541519[Team 2],$CU12,tblActuals3541519[Team 1],EJ$3)+SUMIFS(tblActuals3541519[Team 1 GD],tblActuals3541519[Team 1],$CU12,tblActuals3541519[Team 2],EJ$3)</f>
        <v>0</v>
      </c>
      <c r="EK12" s="56">
        <f>SUMIFS(tblActuals3541519[Team 2 GD],tblActuals3541519[Team 2],$CU12,tblActuals3541519[Team 1],EK$3)+SUMIFS(tblActuals3541519[Team 1 GD],tblActuals3541519[Team 1],$CU12,tblActuals3541519[Team 2],EK$3)</f>
        <v>0</v>
      </c>
      <c r="EL12" s="56">
        <f>SUMIFS(tblActuals3541519[Team 2 GD],tblActuals3541519[Team 2],$CU12,tblActuals3541519[Team 1],EL$3)+SUMIFS(tblActuals3541519[Team 1 GD],tblActuals3541519[Team 1],$CU12,tblActuals3541519[Team 2],EL$3)</f>
        <v>0</v>
      </c>
      <c r="EM12" s="56">
        <f>SUMIFS(tblActuals3541519[Team 2 GD],tblActuals3541519[Team 2],$CU12,tblActuals3541519[Team 1],EM$3)+SUMIFS(tblActuals3541519[Team 1 GD],tblActuals3541519[Team 1],$CU12,tblActuals3541519[Team 2],EM$3)</f>
        <v>0</v>
      </c>
      <c r="EN12" s="56">
        <f>SUMIFS(tblActuals3541519[Team 2 GD],tblActuals3541519[Team 2],$CU12,tblActuals3541519[Team 1],EN$3)+SUMIFS(tblActuals3541519[Team 1 GD],tblActuals3541519[Team 1],$CU12,tblActuals3541519[Team 2],EN$3)</f>
        <v>0</v>
      </c>
      <c r="EO12" s="56">
        <f>SUMIFS(tblActuals3541519[Team 2 GD],tblActuals3541519[Team 2],$CU12,tblActuals3541519[Team 1],EO$3)+SUMIFS(tblActuals3541519[Team 1 GD],tblActuals3541519[Team 1],$CU12,tblActuals3541519[Team 2],EO$3)</f>
        <v>0</v>
      </c>
      <c r="EP12" s="56">
        <f>SUMIFS(tblActuals3541519[Team 2 GD],tblActuals3541519[Team 2],$CU12,tblActuals3541519[Team 1],EP$3)+SUMIFS(tblActuals3541519[Team 1 GD],tblActuals3541519[Team 1],$CU12,tblActuals3541519[Team 2],EP$3)</f>
        <v>0</v>
      </c>
      <c r="EQ12" s="56">
        <f>SUMIFS(tblActuals3541519[Team 2 GD],tblActuals3541519[Team 2],$CU12,tblActuals3541519[Team 1],EQ$3)+SUMIFS(tblActuals3541519[Team 1 GD],tblActuals3541519[Team 1],$CU12,tblActuals3541519[Team 2],EQ$3)</f>
        <v>0</v>
      </c>
      <c r="ER12" s="56">
        <f>SUMIFS(tblActuals3541519[Team 2 GD],tblActuals3541519[Team 2],$CU12,tblActuals3541519[Team 1],ER$3)+SUMIFS(tblActuals3541519[Team 1 GD],tblActuals3541519[Team 1],$CU12,tblActuals3541519[Team 2],ER$3)</f>
        <v>0</v>
      </c>
      <c r="ES12" s="56">
        <f>SUMIFS(tblActuals3541519[Team 2 GD],tblActuals3541519[Team 2],$CU12,tblActuals3541519[Team 1],ES$3)+SUMIFS(tblActuals3541519[Team 1 GD],tblActuals3541519[Team 1],$CU12,tblActuals3541519[Team 2],ES$3)</f>
        <v>0</v>
      </c>
      <c r="ET12" s="56">
        <f>SUMIFS(tblActuals3541519[Team 2 GD],tblActuals3541519[Team 2],$CU12,tblActuals3541519[Team 1],ET$3)+SUMIFS(tblActuals3541519[Team 1 GD],tblActuals3541519[Team 1],$CU12,tblActuals3541519[Team 2],ET$3)</f>
        <v>0</v>
      </c>
      <c r="EU12" s="56">
        <f>SUMIFS(tblActuals3541519[Team 2 GD],tblActuals3541519[Team 2],$CU12,tblActuals3541519[Team 1],EU$3)+SUMIFS(tblActuals3541519[Team 1 GD],tblActuals3541519[Team 1],$CU12,tblActuals3541519[Team 2],EU$3)</f>
        <v>0</v>
      </c>
      <c r="EV12" s="56">
        <f>SUMIFS(tblActuals3541519[Team 2 GD],tblActuals3541519[Team 2],$CU12,tblActuals3541519[Team 1],EV$3)+SUMIFS(tblActuals3541519[Team 1 GD],tblActuals3541519[Team 1],$CU12,tblActuals3541519[Team 2],EV$3)</f>
        <v>0</v>
      </c>
      <c r="EW12" s="56">
        <f>SUMIFS(tblActuals3541519[Team 2 GD],tblActuals3541519[Team 2],$CU12,tblActuals3541519[Team 1],EW$3)+SUMIFS(tblActuals3541519[Team 1 GD],tblActuals3541519[Team 1],$CU12,tblActuals3541519[Team 2],EW$3)</f>
        <v>0</v>
      </c>
      <c r="EX12" s="56">
        <f>SUMIFS(tblActuals3541519[Team 2 GD],tblActuals3541519[Team 2],$CU12,tblActuals3541519[Team 1],EX$3)+SUMIFS(tblActuals3541519[Team 1 GD],tblActuals3541519[Team 1],$CU12,tblActuals3541519[Team 2],EX$3)</f>
        <v>0</v>
      </c>
      <c r="EY12" s="56">
        <f>SUMIFS(tblActuals3541519[Team 2 GD],tblActuals3541519[Team 2],$CU12,tblActuals3541519[Team 1],EY$3)+SUMIFS(tblActuals3541519[Team 1 GD],tblActuals3541519[Team 1],$CU12,tblActuals3541519[Team 2],EY$3)</f>
        <v>0</v>
      </c>
      <c r="EZ12" s="56">
        <f>SUMIFS(tblActuals3541519[Team 2 GD],tblActuals3541519[Team 2],$CU12,tblActuals3541519[Team 1],EZ$3)+SUMIFS(tblActuals3541519[Team 1 GD],tblActuals3541519[Team 1],$CU12,tblActuals3541519[Team 2],EZ$3)</f>
        <v>0</v>
      </c>
      <c r="FA12" s="56">
        <f>SUMIFS(tblActuals3541519[Team 2 GD],tblActuals3541519[Team 2],$CU12,tblActuals3541519[Team 1],FA$3)+SUMIFS(tblActuals3541519[Team 1 GD],tblActuals3541519[Team 1],$CU12,tblActuals3541519[Team 2],FA$3)</f>
        <v>0</v>
      </c>
      <c r="FB12" s="57"/>
      <c r="FC12" s="57"/>
      <c r="FD12" s="57"/>
      <c r="FE12" s="57"/>
      <c r="FF12" s="57"/>
      <c r="FG12" s="57"/>
      <c r="FH12" s="57"/>
      <c r="FI12" s="57"/>
      <c r="FJ12" s="4"/>
      <c r="FK12" s="4" t="s">
        <v>128</v>
      </c>
      <c r="FL12" s="56">
        <f>SUMIFS(tblActuals3541519[Team 2 Goals],tblActuals3541519[Team 2],$CU12,tblActuals3541519[Team 1],FL$3)+SUMIFS(tblActuals3541519[Team 1 Goals],tblActuals3541519[Team 1],$CU12,tblActuals3541519[Team 2],FL$3)</f>
        <v>0</v>
      </c>
      <c r="FM12" s="56">
        <f>SUMIFS(tblActuals3541519[Team 2 Goals],tblActuals3541519[Team 2],$CU12,tblActuals3541519[Team 1],FM$3)+SUMIFS(tblActuals3541519[Team 1 Goals],tblActuals3541519[Team 1],$CU12,tblActuals3541519[Team 2],FM$3)</f>
        <v>0</v>
      </c>
      <c r="FN12" s="56">
        <f>SUMIFS(tblActuals3541519[Team 2 Goals],tblActuals3541519[Team 2],$CU12,tblActuals3541519[Team 1],FN$3)+SUMIFS(tblActuals3541519[Team 1 Goals],tblActuals3541519[Team 1],$CU12,tblActuals3541519[Team 2],FN$3)</f>
        <v>0</v>
      </c>
      <c r="FO12" s="56">
        <f>SUMIFS(tblActuals3541519[Team 2 Goals],tblActuals3541519[Team 2],$CU12,tblActuals3541519[Team 1],FO$3)+SUMIFS(tblActuals3541519[Team 1 Goals],tblActuals3541519[Team 1],$CU12,tblActuals3541519[Team 2],FO$3)</f>
        <v>0</v>
      </c>
      <c r="FP12" s="56">
        <f>SUMIFS(tblActuals3541519[Team 2 Goals],tblActuals3541519[Team 2],$CU12,tblActuals3541519[Team 1],FP$3)+SUMIFS(tblActuals3541519[Team 1 Goals],tblActuals3541519[Team 1],$CU12,tblActuals3541519[Team 2],FP$3)</f>
        <v>0</v>
      </c>
      <c r="FQ12" s="56">
        <f>SUMIFS(tblActuals3541519[Team 2 Goals],tblActuals3541519[Team 2],$CU12,tblActuals3541519[Team 1],FQ$3)+SUMIFS(tblActuals3541519[Team 1 Goals],tblActuals3541519[Team 1],$CU12,tblActuals3541519[Team 2],FQ$3)</f>
        <v>0</v>
      </c>
      <c r="FR12" s="56">
        <f>SUMIFS(tblActuals3541519[Team 2 Goals],tblActuals3541519[Team 2],$CU12,tblActuals3541519[Team 1],FR$3)+SUMIFS(tblActuals3541519[Team 1 Goals],tblActuals3541519[Team 1],$CU12,tblActuals3541519[Team 2],FR$3)</f>
        <v>0</v>
      </c>
      <c r="FS12" s="56">
        <f>SUMIFS(tblActuals3541519[Team 2 Goals],tblActuals3541519[Team 2],$CU12,tblActuals3541519[Team 1],FS$3)+SUMIFS(tblActuals3541519[Team 1 Goals],tblActuals3541519[Team 1],$CU12,tblActuals3541519[Team 2],FS$3)</f>
        <v>0</v>
      </c>
      <c r="FT12" s="56">
        <f>SUMIFS(tblActuals3541519[Team 2 Goals],tblActuals3541519[Team 2],$CU12,tblActuals3541519[Team 1],FT$3)+SUMIFS(tblActuals3541519[Team 1 Goals],tblActuals3541519[Team 1],$CU12,tblActuals3541519[Team 2],FT$3)</f>
        <v>0</v>
      </c>
      <c r="FU12" s="56">
        <f>SUMIFS(tblActuals3541519[Team 2 Goals],tblActuals3541519[Team 2],$CU12,tblActuals3541519[Team 1],FU$3)+SUMIFS(tblActuals3541519[Team 1 Goals],tblActuals3541519[Team 1],$CU12,tblActuals3541519[Team 2],FU$3)</f>
        <v>0</v>
      </c>
      <c r="FV12" s="56">
        <f>SUMIFS(tblActuals3541519[Team 2 Goals],tblActuals3541519[Team 2],$CU12,tblActuals3541519[Team 1],FV$3)+SUMIFS(tblActuals3541519[Team 1 Goals],tblActuals3541519[Team 1],$CU12,tblActuals3541519[Team 2],FV$3)</f>
        <v>0</v>
      </c>
      <c r="FW12" s="56">
        <f>SUMIFS(tblActuals3541519[Team 2 Goals],tblActuals3541519[Team 2],$CU12,tblActuals3541519[Team 1],FW$3)+SUMIFS(tblActuals3541519[Team 1 Goals],tblActuals3541519[Team 1],$CU12,tblActuals3541519[Team 2],FW$3)</f>
        <v>0</v>
      </c>
      <c r="FX12" s="56">
        <f>SUMIFS(tblActuals3541519[Team 2 Goals],tblActuals3541519[Team 2],$CU12,tblActuals3541519[Team 1],FX$3)+SUMIFS(tblActuals3541519[Team 1 Goals],tblActuals3541519[Team 1],$CU12,tblActuals3541519[Team 2],FX$3)</f>
        <v>0</v>
      </c>
      <c r="FY12" s="56">
        <f>SUMIFS(tblActuals3541519[Team 2 Goals],tblActuals3541519[Team 2],$CU12,tblActuals3541519[Team 1],FY$3)+SUMIFS(tblActuals3541519[Team 1 Goals],tblActuals3541519[Team 1],$CU12,tblActuals3541519[Team 2],FY$3)</f>
        <v>0</v>
      </c>
      <c r="FZ12" s="56">
        <f>SUMIFS(tblActuals3541519[Team 2 Goals],tblActuals3541519[Team 2],$CU12,tblActuals3541519[Team 1],FZ$3)+SUMIFS(tblActuals3541519[Team 1 Goals],tblActuals3541519[Team 1],$CU12,tblActuals3541519[Team 2],FZ$3)</f>
        <v>0</v>
      </c>
      <c r="GA12" s="56">
        <f>SUMIFS(tblActuals3541519[Team 2 Goals],tblActuals3541519[Team 2],$CU12,tblActuals3541519[Team 1],GA$3)+SUMIFS(tblActuals3541519[Team 1 Goals],tblActuals3541519[Team 1],$CU12,tblActuals3541519[Team 2],GA$3)</f>
        <v>0</v>
      </c>
      <c r="GB12" s="56">
        <f>SUMIFS(tblActuals3541519[Team 2 Goals],tblActuals3541519[Team 2],$CU12,tblActuals3541519[Team 1],GB$3)+SUMIFS(tblActuals3541519[Team 1 Goals],tblActuals3541519[Team 1],$CU12,tblActuals3541519[Team 2],GB$3)</f>
        <v>0</v>
      </c>
      <c r="GC12" s="56">
        <f>SUMIFS(tblActuals3541519[Team 2 Goals],tblActuals3541519[Team 2],$CU12,tblActuals3541519[Team 1],GC$3)+SUMIFS(tblActuals3541519[Team 1 Goals],tblActuals3541519[Team 1],$CU12,tblActuals3541519[Team 2],GC$3)</f>
        <v>0</v>
      </c>
      <c r="GD12" s="56">
        <f>SUMIFS(tblActuals3541519[Team 2 Goals],tblActuals3541519[Team 2],$CU12,tblActuals3541519[Team 1],GD$3)+SUMIFS(tblActuals3541519[Team 1 Goals],tblActuals3541519[Team 1],$CU12,tblActuals3541519[Team 2],GD$3)</f>
        <v>0</v>
      </c>
      <c r="GE12" s="56">
        <f>SUMIFS(tblActuals3541519[Team 2 Goals],tblActuals3541519[Team 2],$CU12,tblActuals3541519[Team 1],GE$3)+SUMIFS(tblActuals3541519[Team 1 Goals],tblActuals3541519[Team 1],$CU12,tblActuals3541519[Team 2],GE$3)</f>
        <v>0</v>
      </c>
      <c r="GF12" s="56">
        <f>SUMIFS(tblActuals3541519[Team 2 Goals],tblActuals3541519[Team 2],$CU12,tblActuals3541519[Team 1],GF$3)+SUMIFS(tblActuals3541519[Team 1 Goals],tblActuals3541519[Team 1],$CU12,tblActuals3541519[Team 2],GF$3)</f>
        <v>0</v>
      </c>
      <c r="GG12" s="56">
        <f>SUMIFS(tblActuals3541519[Team 2 Goals],tblActuals3541519[Team 2],$CU12,tblActuals3541519[Team 1],GG$3)+SUMIFS(tblActuals3541519[Team 1 Goals],tblActuals3541519[Team 1],$CU12,tblActuals3541519[Team 2],GG$3)</f>
        <v>0</v>
      </c>
      <c r="GH12" s="56">
        <f>SUMIFS(tblActuals3541519[Team 2 Goals],tblActuals3541519[Team 2],$CU12,tblActuals3541519[Team 1],GH$3)+SUMIFS(tblActuals3541519[Team 1 Goals],tblActuals3541519[Team 1],$CU12,tblActuals3541519[Team 2],GH$3)</f>
        <v>0</v>
      </c>
      <c r="GI12" s="56">
        <f>SUMIFS(tblActuals3541519[Team 2 Goals],tblActuals3541519[Team 2],$CU12,tblActuals3541519[Team 1],GI$3)+SUMIFS(tblActuals3541519[Team 1 Goals],tblActuals3541519[Team 1],$CU12,tblActuals3541519[Team 2],GI$3)</f>
        <v>0</v>
      </c>
      <c r="GJ12" s="57"/>
      <c r="GK12" s="57"/>
      <c r="GL12" s="37"/>
      <c r="GM12" s="37"/>
      <c r="GN12" s="37"/>
      <c r="GO12" s="37"/>
      <c r="GP12" s="37"/>
      <c r="GQ12" s="37"/>
      <c r="GR12" s="75"/>
      <c r="GS12" s="156"/>
      <c r="GT12" s="156"/>
      <c r="GU12" s="75"/>
      <c r="GV12" s="75"/>
      <c r="GW12" s="75"/>
      <c r="GX12" s="75"/>
      <c r="GY12" s="75"/>
      <c r="GZ12" s="75"/>
      <c r="HB12" s="4" t="str">
        <f t="shared" si="12"/>
        <v>ACDF</v>
      </c>
      <c r="HC12" s="44" t="s">
        <v>1</v>
      </c>
      <c r="HD12" s="45"/>
      <c r="HE12" s="44" t="s">
        <v>6</v>
      </c>
      <c r="HF12" s="44" t="s">
        <v>7</v>
      </c>
      <c r="HG12" s="45"/>
      <c r="HH12" s="44" t="s">
        <v>45</v>
      </c>
      <c r="HI12" s="178"/>
      <c r="HJ12" s="45" t="s">
        <v>154</v>
      </c>
      <c r="HK12" s="45" t="s">
        <v>150</v>
      </c>
      <c r="HL12" s="45" t="s">
        <v>152</v>
      </c>
      <c r="HM12" s="45" t="s">
        <v>149</v>
      </c>
    </row>
    <row r="13" spans="1:221" s="11" customFormat="1" ht="30" customHeight="1" x14ac:dyDescent="0.2">
      <c r="A13" s="20"/>
      <c r="B13" s="122">
        <v>10</v>
      </c>
      <c r="C13" s="122" t="s">
        <v>12</v>
      </c>
      <c r="D13" s="123">
        <v>45460</v>
      </c>
      <c r="E13" s="122" t="s">
        <v>78</v>
      </c>
      <c r="F13" s="124">
        <v>0.625</v>
      </c>
      <c r="G13" s="125">
        <f t="shared" si="11"/>
        <v>45460.375</v>
      </c>
      <c r="H13" s="122" t="s">
        <v>98</v>
      </c>
      <c r="I13" s="126"/>
      <c r="J13" s="118"/>
      <c r="K13" s="118"/>
      <c r="L13" s="174">
        <f>IF(I13="",0,IFERROR(IF(SCORING.RULES!$C$8="No",1,((VLOOKUP($B13,ACTUALS!$B$4:$L$100,7,FALSE)=$H13)+(VLOOKUP($B13,ACTUALS!$B$4:$L$100,7,FALSE)=S13)))*(M13+N13+O13+P13+Q13),0))+$R13</f>
        <v>0</v>
      </c>
      <c r="M13" s="168">
        <f>IFERROR(IF($B13="","",IF(U13=INDEX(ACTUALS!$AA$4:$AA$100,MATCH($B13,ACTUALS!$B$4:$B$100,0),1),CorrectScore,0)),0)</f>
        <v>0</v>
      </c>
      <c r="N13" s="157" t="str">
        <f>IFERROR(IF(I13="","",IF(INDEX(ACTUALS!$AB$4:$AB$100,MATCH($B13,ACTUALS!$B$4:$B$100,0),1)=(AB13+AC13+AH13+AI13),CorrectNumberofGoals,0)),0)</f>
        <v/>
      </c>
      <c r="O13" s="157"/>
      <c r="P13" s="157">
        <f>IFERROR(IF(B13="","",IF(INDEX(ACTUALS!$L$4:$L$100,MATCH($B13,ACTUALS!$B$4:$B$100,0),1)=W13,CorrectResult,0)),0)</f>
        <v>3</v>
      </c>
      <c r="Q13" s="157"/>
      <c r="R13" s="157"/>
      <c r="S13" s="157" t="str">
        <f t="shared" si="0"/>
        <v/>
      </c>
      <c r="T13" s="157"/>
      <c r="U13" s="157" t="str">
        <f t="shared" si="1"/>
        <v/>
      </c>
      <c r="V13" s="157" t="str">
        <f t="shared" si="2"/>
        <v/>
      </c>
      <c r="W13" s="119" t="str">
        <f>IF(tblActuals3541519[[#This Row],[SCORE]]="","",IF(AB13=AC13,"Draw",IF(AB13&gt;AC13,X13,Y13)))</f>
        <v/>
      </c>
      <c r="X13" s="120" t="str">
        <f>IF(tblActuals3541519[[#This Row],[TEAMS]]="","",LEFT(H13,FIND(" -",H13,1)-1))</f>
        <v>Romania</v>
      </c>
      <c r="Y13" s="120" t="str">
        <f>IF(tblActuals3541519[[#This Row],[TEAMS]]="","",MID(H13,FIND("-",H13,1)+2,LEN(H13)-FIND("-",H13,1)+2))</f>
        <v>Ukraine</v>
      </c>
      <c r="Z13" s="120" t="str">
        <f>IF(tblActuals3541519[[#This Row],[Team 1 Goals]]&gt;tblActuals3541519[[#This Row],[Team 2 Goals]],tblActuals3541519[[#This Row],[Team 1]],IF(tblActuals3541519[[#This Row],[Team 2 Goals]]&gt;tblActuals3541519[[#This Row],[Team 1 Goals]],tblActuals3541519[[#This Row],[Team 2]],""))</f>
        <v/>
      </c>
      <c r="AA13" s="120" t="str">
        <f>IF(tblActuals3541519[[#This Row],[Winner]]=tblActuals3541519[[#This Row],[Team 1]],tblActuals3541519[[#This Row],[Team 2]],IF(tblActuals3541519[[#This Row],[Winner]]=tblActuals3541519[[#This Row],[Team 2]],tblActuals3541519[[#This Row],[Team 1]],""))</f>
        <v/>
      </c>
      <c r="AB13" s="120" t="str">
        <f>IF(tblActuals3541519[[#This Row],[SCORE]]="","",LEFT(I13,FIND(":",I13,1)-1)*1)</f>
        <v/>
      </c>
      <c r="AC13" s="120" t="str">
        <f>IF(tblActuals3541519[[#This Row],[SCORE]]="","",MID(I13,FIND(":",I13,1)+1,LEN(I13)-FIND(":",I13,1)+1)*1)</f>
        <v/>
      </c>
      <c r="AD13" s="120" t="str">
        <f>IF(OR(tblActuals3541519[[#This Row],[Team 1 Goals]]="",tblActuals3541519[[#This Row],[Team 2 Goals]]=""),"",tblActuals3541519[[#This Row],[Team 1 Goals]]-tblActuals3541519[[#This Row],[Team 2 Goals]])</f>
        <v/>
      </c>
      <c r="AE13" s="120" t="str">
        <f>IF(OR(tblActuals3541519[[#This Row],[Team 1 Goals]]="",tblActuals3541519[[#This Row],[Team 2 Goals]]=""),"",tblActuals3541519[[#This Row],[Team 2 Goals]]-tblActuals3541519[[#This Row],[Team 1 Goals]])</f>
        <v/>
      </c>
      <c r="AF13" s="120" t="str">
        <f>IF(tblActuals3541519[[#This Row],[SCORE]]="","",IF(tblActuals3541519[[#This Row],[WINNER / RESULT]]="Draw",1,IF(tblActuals3541519[[#This Row],[WINNER / RESULT]]=tblActuals3541519[[#This Row],[Team 1]],3,0)))</f>
        <v/>
      </c>
      <c r="AG13" s="120" t="str">
        <f>IF(tblActuals3541519[[#This Row],[SCORE]]="","",IF(tblActuals3541519[[#This Row],[WINNER / RESULT]]="Draw",1,IF(tblActuals3541519[[#This Row],[WINNER / RESULT]]=tblActuals3541519[[#This Row],[Team 2]],3,0)))</f>
        <v/>
      </c>
      <c r="AH13" s="121"/>
      <c r="AI13" s="121"/>
      <c r="AJ13" s="121"/>
      <c r="AK13" s="121"/>
      <c r="AL13" s="120" t="e">
        <f>tblActuals3541519[[#This Row],[Team 1 Goals]]+tblActuals3541519[[#This Row],[Team 1 ET Goals]]&amp;":"&amp;tblActuals3541519[[#This Row],[Team 2 Goals]]+tblActuals3541519[[#This Row],[Team 2 ET Goals]]</f>
        <v>#VALUE!</v>
      </c>
      <c r="AM13" s="120" t="e">
        <f>+tblActuals3541519[[#This Row],[Team 1 Goals]]+tblActuals3541519[[#This Row],[Team 2 Goals]]</f>
        <v>#VALUE!</v>
      </c>
      <c r="AN13" s="161">
        <f t="shared" si="3"/>
        <v>45460</v>
      </c>
      <c r="AP13" s="38" t="s">
        <v>78</v>
      </c>
      <c r="AT13" s="77" t="s">
        <v>5</v>
      </c>
      <c r="AU13" s="139">
        <v>2</v>
      </c>
      <c r="AV13" s="140" t="str">
        <f ca="1">IFERROR(INDEX(BD:BD,MATCH("2"&amp;AT13,BN:BN,0),1),"")</f>
        <v>Croatia</v>
      </c>
      <c r="AW13" s="140" t="str">
        <f ca="1">IF(AV13="","",VLOOKUP(AV13,BD:BI,2,FALSE)&amp;"-"&amp;VLOOKUP(AV13,BD:BI,3,FALSE)&amp;"-"&amp;VLOOKUP(AV13,BD:BI,4,FALSE))</f>
        <v>0-0-0</v>
      </c>
      <c r="AX13" s="140">
        <f ca="1">IF(AV13="","",VLOOKUP(AV13,BD:BK,8,FALSE))</f>
        <v>0</v>
      </c>
      <c r="AY13" s="141">
        <f ca="1">IF(AV13="","",VLOOKUP(AV13,BD:BN,5,FALSE))</f>
        <v>0</v>
      </c>
      <c r="AZ13" s="75"/>
      <c r="BA13" s="42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 t="str">
        <f t="shared" si="4"/>
        <v/>
      </c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U13" s="4" t="s">
        <v>25</v>
      </c>
      <c r="CV13" s="56">
        <f>SUMIFS(tblActuals3541519[Team 2 Points],tblActuals3541519[Team 2],$CU13,tblActuals3541519[Team 1],CV$3)+SUMIFS(tblActuals3541519[Team 1 Points],tblActuals3541519[Team 1],$CU13,tblActuals3541519[Team 2],CV$3)</f>
        <v>0</v>
      </c>
      <c r="CW13" s="56">
        <f>SUMIFS(tblActuals3541519[Team 2 Points],tblActuals3541519[Team 2],$CU13,tblActuals3541519[Team 1],CW$3)+SUMIFS(tblActuals3541519[Team 1 Points],tblActuals3541519[Team 1],$CU13,tblActuals3541519[Team 2],CW$3)</f>
        <v>0</v>
      </c>
      <c r="CX13" s="56">
        <f>SUMIFS(tblActuals3541519[Team 2 Points],tblActuals3541519[Team 2],$CU13,tblActuals3541519[Team 1],CX$3)+SUMIFS(tblActuals3541519[Team 1 Points],tblActuals3541519[Team 1],$CU13,tblActuals3541519[Team 2],CX$3)</f>
        <v>0</v>
      </c>
      <c r="CY13" s="56">
        <f>SUMIFS(tblActuals3541519[Team 2 Points],tblActuals3541519[Team 2],$CU13,tblActuals3541519[Team 1],CY$3)+SUMIFS(tblActuals3541519[Team 1 Points],tblActuals3541519[Team 1],$CU13,tblActuals3541519[Team 2],CY$3)</f>
        <v>0</v>
      </c>
      <c r="CZ13" s="56">
        <f>SUMIFS(tblActuals3541519[Team 2 Points],tblActuals3541519[Team 2],$CU13,tblActuals3541519[Team 1],CZ$3)+SUMIFS(tblActuals3541519[Team 1 Points],tblActuals3541519[Team 1],$CU13,tblActuals3541519[Team 2],CZ$3)</f>
        <v>0</v>
      </c>
      <c r="DA13" s="56">
        <f>SUMIFS(tblActuals3541519[Team 2 Points],tblActuals3541519[Team 2],$CU13,tblActuals3541519[Team 1],DA$3)+SUMIFS(tblActuals3541519[Team 1 Points],tblActuals3541519[Team 1],$CU13,tblActuals3541519[Team 2],DA$3)</f>
        <v>0</v>
      </c>
      <c r="DB13" s="56">
        <f>SUMIFS(tblActuals3541519[Team 2 Points],tblActuals3541519[Team 2],$CU13,tblActuals3541519[Team 1],DB$3)+SUMIFS(tblActuals3541519[Team 1 Points],tblActuals3541519[Team 1],$CU13,tblActuals3541519[Team 2],DB$3)</f>
        <v>0</v>
      </c>
      <c r="DC13" s="56">
        <f>SUMIFS(tblActuals3541519[Team 2 Points],tblActuals3541519[Team 2],$CU13,tblActuals3541519[Team 1],DC$3)+SUMIFS(tblActuals3541519[Team 1 Points],tblActuals3541519[Team 1],$CU13,tblActuals3541519[Team 2],DC$3)</f>
        <v>0</v>
      </c>
      <c r="DD13" s="56">
        <f>SUMIFS(tblActuals3541519[Team 2 Points],tblActuals3541519[Team 2],$CU13,tblActuals3541519[Team 1],DD$3)+SUMIFS(tblActuals3541519[Team 1 Points],tblActuals3541519[Team 1],$CU13,tblActuals3541519[Team 2],DD$3)</f>
        <v>0</v>
      </c>
      <c r="DE13" s="56">
        <f>SUMIFS(tblActuals3541519[Team 2 Points],tblActuals3541519[Team 2],$CU13,tblActuals3541519[Team 1],DE$3)+SUMIFS(tblActuals3541519[Team 1 Points],tblActuals3541519[Team 1],$CU13,tblActuals3541519[Team 2],DE$3)</f>
        <v>0</v>
      </c>
      <c r="DF13" s="56">
        <f>SUMIFS(tblActuals3541519[Team 2 Points],tblActuals3541519[Team 2],$CU13,tblActuals3541519[Team 1],DF$3)+SUMIFS(tblActuals3541519[Team 1 Points],tblActuals3541519[Team 1],$CU13,tblActuals3541519[Team 2],DF$3)</f>
        <v>0</v>
      </c>
      <c r="DG13" s="56">
        <f>SUMIFS(tblActuals3541519[Team 2 Points],tblActuals3541519[Team 2],$CU13,tblActuals3541519[Team 1],DG$3)+SUMIFS(tblActuals3541519[Team 1 Points],tblActuals3541519[Team 1],$CU13,tblActuals3541519[Team 2],DG$3)</f>
        <v>0</v>
      </c>
      <c r="DH13" s="56">
        <f>SUMIFS(tblActuals3541519[Team 2 Points],tblActuals3541519[Team 2],$CU13,tblActuals3541519[Team 1],DH$3)+SUMIFS(tblActuals3541519[Team 1 Points],tblActuals3541519[Team 1],$CU13,tblActuals3541519[Team 2],DH$3)</f>
        <v>0</v>
      </c>
      <c r="DI13" s="56">
        <f>SUMIFS(tblActuals3541519[Team 2 Points],tblActuals3541519[Team 2],$CU13,tblActuals3541519[Team 1],DI$3)+SUMIFS(tblActuals3541519[Team 1 Points],tblActuals3541519[Team 1],$CU13,tblActuals3541519[Team 2],DI$3)</f>
        <v>0</v>
      </c>
      <c r="DJ13" s="56">
        <f>SUMIFS(tblActuals3541519[Team 2 Points],tblActuals3541519[Team 2],$CU13,tblActuals3541519[Team 1],DJ$3)+SUMIFS(tblActuals3541519[Team 1 Points],tblActuals3541519[Team 1],$CU13,tblActuals3541519[Team 2],DJ$3)</f>
        <v>0</v>
      </c>
      <c r="DK13" s="56">
        <f>SUMIFS(tblActuals3541519[Team 2 Points],tblActuals3541519[Team 2],$CU13,tblActuals3541519[Team 1],DK$3)+SUMIFS(tblActuals3541519[Team 1 Points],tblActuals3541519[Team 1],$CU13,tblActuals3541519[Team 2],DK$3)</f>
        <v>0</v>
      </c>
      <c r="DL13" s="56">
        <f>SUMIFS(tblActuals3541519[Team 2 Points],tblActuals3541519[Team 2],$CU13,tblActuals3541519[Team 1],DL$3)+SUMIFS(tblActuals3541519[Team 1 Points],tblActuals3541519[Team 1],$CU13,tblActuals3541519[Team 2],DL$3)</f>
        <v>0</v>
      </c>
      <c r="DM13" s="56">
        <f>SUMIFS(tblActuals3541519[Team 2 Points],tblActuals3541519[Team 2],$CU13,tblActuals3541519[Team 1],DM$3)+SUMIFS(tblActuals3541519[Team 1 Points],tblActuals3541519[Team 1],$CU13,tblActuals3541519[Team 2],DM$3)</f>
        <v>0</v>
      </c>
      <c r="DN13" s="56">
        <f>SUMIFS(tblActuals3541519[Team 2 Points],tblActuals3541519[Team 2],$CU13,tblActuals3541519[Team 1],DN$3)+SUMIFS(tblActuals3541519[Team 1 Points],tblActuals3541519[Team 1],$CU13,tblActuals3541519[Team 2],DN$3)</f>
        <v>0</v>
      </c>
      <c r="DO13" s="56">
        <f>SUMIFS(tblActuals3541519[Team 2 Points],tblActuals3541519[Team 2],$CU13,tblActuals3541519[Team 1],DO$3)+SUMIFS(tblActuals3541519[Team 1 Points],tblActuals3541519[Team 1],$CU13,tblActuals3541519[Team 2],DO$3)</f>
        <v>0</v>
      </c>
      <c r="DP13" s="56">
        <f>SUMIFS(tblActuals3541519[Team 2 Points],tblActuals3541519[Team 2],$CU13,tblActuals3541519[Team 1],DP$3)+SUMIFS(tblActuals3541519[Team 1 Points],tblActuals3541519[Team 1],$CU13,tblActuals3541519[Team 2],DP$3)</f>
        <v>0</v>
      </c>
      <c r="DQ13" s="56">
        <f>SUMIFS(tblActuals3541519[Team 2 Points],tblActuals3541519[Team 2],$CU13,tblActuals3541519[Team 1],DQ$3)+SUMIFS(tblActuals3541519[Team 1 Points],tblActuals3541519[Team 1],$CU13,tblActuals3541519[Team 2],DQ$3)</f>
        <v>0</v>
      </c>
      <c r="DR13" s="56">
        <f>SUMIFS(tblActuals3541519[Team 2 Points],tblActuals3541519[Team 2],$CU13,tblActuals3541519[Team 1],DR$3)+SUMIFS(tblActuals3541519[Team 1 Points],tblActuals3541519[Team 1],$CU13,tblActuals3541519[Team 2],DR$3)</f>
        <v>0</v>
      </c>
      <c r="DS13" s="56">
        <f>SUMIFS(tblActuals3541519[Team 2 Points],tblActuals3541519[Team 2],$CU13,tblActuals3541519[Team 1],DS$3)+SUMIFS(tblActuals3541519[Team 1 Points],tblActuals3541519[Team 1],$CU13,tblActuals3541519[Team 2],DS$3)</f>
        <v>0</v>
      </c>
      <c r="DT13" s="57"/>
      <c r="DU13" s="57"/>
      <c r="DV13" s="57"/>
      <c r="DW13" s="57"/>
      <c r="DX13" s="57"/>
      <c r="DY13" s="57"/>
      <c r="DZ13" s="57"/>
      <c r="EA13" s="57"/>
      <c r="EB13" s="4"/>
      <c r="EC13" s="4" t="s">
        <v>25</v>
      </c>
      <c r="ED13" s="56">
        <f>SUMIFS(tblActuals3541519[Team 2 GD],tblActuals3541519[Team 2],$CU13,tblActuals3541519[Team 1],ED$3)+SUMIFS(tblActuals3541519[Team 1 GD],tblActuals3541519[Team 1],$CU13,tblActuals3541519[Team 2],ED$3)</f>
        <v>0</v>
      </c>
      <c r="EE13" s="56">
        <f>SUMIFS(tblActuals3541519[Team 2 GD],tblActuals3541519[Team 2],$CU13,tblActuals3541519[Team 1],EE$3)+SUMIFS(tblActuals3541519[Team 1 GD],tblActuals3541519[Team 1],$CU13,tblActuals3541519[Team 2],EE$3)</f>
        <v>0</v>
      </c>
      <c r="EF13" s="56">
        <f>SUMIFS(tblActuals3541519[Team 2 GD],tblActuals3541519[Team 2],$CU13,tblActuals3541519[Team 1],EF$3)+SUMIFS(tblActuals3541519[Team 1 GD],tblActuals3541519[Team 1],$CU13,tblActuals3541519[Team 2],EF$3)</f>
        <v>0</v>
      </c>
      <c r="EG13" s="56">
        <f>SUMIFS(tblActuals3541519[Team 2 GD],tblActuals3541519[Team 2],$CU13,tblActuals3541519[Team 1],EG$3)+SUMIFS(tblActuals3541519[Team 1 GD],tblActuals3541519[Team 1],$CU13,tblActuals3541519[Team 2],EG$3)</f>
        <v>0</v>
      </c>
      <c r="EH13" s="56">
        <f>SUMIFS(tblActuals3541519[Team 2 GD],tblActuals3541519[Team 2],$CU13,tblActuals3541519[Team 1],EH$3)+SUMIFS(tblActuals3541519[Team 1 GD],tblActuals3541519[Team 1],$CU13,tblActuals3541519[Team 2],EH$3)</f>
        <v>0</v>
      </c>
      <c r="EI13" s="56">
        <f>SUMIFS(tblActuals3541519[Team 2 GD],tblActuals3541519[Team 2],$CU13,tblActuals3541519[Team 1],EI$3)+SUMIFS(tblActuals3541519[Team 1 GD],tblActuals3541519[Team 1],$CU13,tblActuals3541519[Team 2],EI$3)</f>
        <v>0</v>
      </c>
      <c r="EJ13" s="56">
        <f>SUMIFS(tblActuals3541519[Team 2 GD],tblActuals3541519[Team 2],$CU13,tblActuals3541519[Team 1],EJ$3)+SUMIFS(tblActuals3541519[Team 1 GD],tblActuals3541519[Team 1],$CU13,tblActuals3541519[Team 2],EJ$3)</f>
        <v>0</v>
      </c>
      <c r="EK13" s="56">
        <f>SUMIFS(tblActuals3541519[Team 2 GD],tblActuals3541519[Team 2],$CU13,tblActuals3541519[Team 1],EK$3)+SUMIFS(tblActuals3541519[Team 1 GD],tblActuals3541519[Team 1],$CU13,tblActuals3541519[Team 2],EK$3)</f>
        <v>0</v>
      </c>
      <c r="EL13" s="56">
        <f>SUMIFS(tblActuals3541519[Team 2 GD],tblActuals3541519[Team 2],$CU13,tblActuals3541519[Team 1],EL$3)+SUMIFS(tblActuals3541519[Team 1 GD],tblActuals3541519[Team 1],$CU13,tblActuals3541519[Team 2],EL$3)</f>
        <v>0</v>
      </c>
      <c r="EM13" s="56">
        <f>SUMIFS(tblActuals3541519[Team 2 GD],tblActuals3541519[Team 2],$CU13,tblActuals3541519[Team 1],EM$3)+SUMIFS(tblActuals3541519[Team 1 GD],tblActuals3541519[Team 1],$CU13,tblActuals3541519[Team 2],EM$3)</f>
        <v>0</v>
      </c>
      <c r="EN13" s="56">
        <f>SUMIFS(tblActuals3541519[Team 2 GD],tblActuals3541519[Team 2],$CU13,tblActuals3541519[Team 1],EN$3)+SUMIFS(tblActuals3541519[Team 1 GD],tblActuals3541519[Team 1],$CU13,tblActuals3541519[Team 2],EN$3)</f>
        <v>0</v>
      </c>
      <c r="EO13" s="56">
        <f>SUMIFS(tblActuals3541519[Team 2 GD],tblActuals3541519[Team 2],$CU13,tblActuals3541519[Team 1],EO$3)+SUMIFS(tblActuals3541519[Team 1 GD],tblActuals3541519[Team 1],$CU13,tblActuals3541519[Team 2],EO$3)</f>
        <v>0</v>
      </c>
      <c r="EP13" s="56">
        <f>SUMIFS(tblActuals3541519[Team 2 GD],tblActuals3541519[Team 2],$CU13,tblActuals3541519[Team 1],EP$3)+SUMIFS(tblActuals3541519[Team 1 GD],tblActuals3541519[Team 1],$CU13,tblActuals3541519[Team 2],EP$3)</f>
        <v>0</v>
      </c>
      <c r="EQ13" s="56">
        <f>SUMIFS(tblActuals3541519[Team 2 GD],tblActuals3541519[Team 2],$CU13,tblActuals3541519[Team 1],EQ$3)+SUMIFS(tblActuals3541519[Team 1 GD],tblActuals3541519[Team 1],$CU13,tblActuals3541519[Team 2],EQ$3)</f>
        <v>0</v>
      </c>
      <c r="ER13" s="56">
        <f>SUMIFS(tblActuals3541519[Team 2 GD],tblActuals3541519[Team 2],$CU13,tblActuals3541519[Team 1],ER$3)+SUMIFS(tblActuals3541519[Team 1 GD],tblActuals3541519[Team 1],$CU13,tblActuals3541519[Team 2],ER$3)</f>
        <v>0</v>
      </c>
      <c r="ES13" s="56">
        <f>SUMIFS(tblActuals3541519[Team 2 GD],tblActuals3541519[Team 2],$CU13,tblActuals3541519[Team 1],ES$3)+SUMIFS(tblActuals3541519[Team 1 GD],tblActuals3541519[Team 1],$CU13,tblActuals3541519[Team 2],ES$3)</f>
        <v>0</v>
      </c>
      <c r="ET13" s="56">
        <f>SUMIFS(tblActuals3541519[Team 2 GD],tblActuals3541519[Team 2],$CU13,tblActuals3541519[Team 1],ET$3)+SUMIFS(tblActuals3541519[Team 1 GD],tblActuals3541519[Team 1],$CU13,tblActuals3541519[Team 2],ET$3)</f>
        <v>0</v>
      </c>
      <c r="EU13" s="56">
        <f>SUMIFS(tblActuals3541519[Team 2 GD],tblActuals3541519[Team 2],$CU13,tblActuals3541519[Team 1],EU$3)+SUMIFS(tblActuals3541519[Team 1 GD],tblActuals3541519[Team 1],$CU13,tblActuals3541519[Team 2],EU$3)</f>
        <v>0</v>
      </c>
      <c r="EV13" s="56">
        <f>SUMIFS(tblActuals3541519[Team 2 GD],tblActuals3541519[Team 2],$CU13,tblActuals3541519[Team 1],EV$3)+SUMIFS(tblActuals3541519[Team 1 GD],tblActuals3541519[Team 1],$CU13,tblActuals3541519[Team 2],EV$3)</f>
        <v>0</v>
      </c>
      <c r="EW13" s="56">
        <f>SUMIFS(tblActuals3541519[Team 2 GD],tblActuals3541519[Team 2],$CU13,tblActuals3541519[Team 1],EW$3)+SUMIFS(tblActuals3541519[Team 1 GD],tblActuals3541519[Team 1],$CU13,tblActuals3541519[Team 2],EW$3)</f>
        <v>0</v>
      </c>
      <c r="EX13" s="56">
        <f>SUMIFS(tblActuals3541519[Team 2 GD],tblActuals3541519[Team 2],$CU13,tblActuals3541519[Team 1],EX$3)+SUMIFS(tblActuals3541519[Team 1 GD],tblActuals3541519[Team 1],$CU13,tblActuals3541519[Team 2],EX$3)</f>
        <v>0</v>
      </c>
      <c r="EY13" s="56">
        <f>SUMIFS(tblActuals3541519[Team 2 GD],tblActuals3541519[Team 2],$CU13,tblActuals3541519[Team 1],EY$3)+SUMIFS(tblActuals3541519[Team 1 GD],tblActuals3541519[Team 1],$CU13,tblActuals3541519[Team 2],EY$3)</f>
        <v>0</v>
      </c>
      <c r="EZ13" s="56">
        <f>SUMIFS(tblActuals3541519[Team 2 GD],tblActuals3541519[Team 2],$CU13,tblActuals3541519[Team 1],EZ$3)+SUMIFS(tblActuals3541519[Team 1 GD],tblActuals3541519[Team 1],$CU13,tblActuals3541519[Team 2],EZ$3)</f>
        <v>0</v>
      </c>
      <c r="FA13" s="56">
        <f>SUMIFS(tblActuals3541519[Team 2 GD],tblActuals3541519[Team 2],$CU13,tblActuals3541519[Team 1],FA$3)+SUMIFS(tblActuals3541519[Team 1 GD],tblActuals3541519[Team 1],$CU13,tblActuals3541519[Team 2],FA$3)</f>
        <v>0</v>
      </c>
      <c r="FB13" s="57"/>
      <c r="FC13" s="57"/>
      <c r="FD13" s="57"/>
      <c r="FE13" s="57"/>
      <c r="FF13" s="57"/>
      <c r="FG13" s="57"/>
      <c r="FH13" s="57"/>
      <c r="FI13" s="57"/>
      <c r="FJ13" s="4"/>
      <c r="FK13" s="4" t="s">
        <v>25</v>
      </c>
      <c r="FL13" s="56">
        <f>SUMIFS(tblActuals3541519[Team 2 Goals],tblActuals3541519[Team 2],$CU13,tblActuals3541519[Team 1],FL$3)+SUMIFS(tblActuals3541519[Team 1 Goals],tblActuals3541519[Team 1],$CU13,tblActuals3541519[Team 2],FL$3)</f>
        <v>0</v>
      </c>
      <c r="FM13" s="56">
        <f>SUMIFS(tblActuals3541519[Team 2 Goals],tblActuals3541519[Team 2],$CU13,tblActuals3541519[Team 1],FM$3)+SUMIFS(tblActuals3541519[Team 1 Goals],tblActuals3541519[Team 1],$CU13,tblActuals3541519[Team 2],FM$3)</f>
        <v>0</v>
      </c>
      <c r="FN13" s="56">
        <f>SUMIFS(tblActuals3541519[Team 2 Goals],tblActuals3541519[Team 2],$CU13,tblActuals3541519[Team 1],FN$3)+SUMIFS(tblActuals3541519[Team 1 Goals],tblActuals3541519[Team 1],$CU13,tblActuals3541519[Team 2],FN$3)</f>
        <v>0</v>
      </c>
      <c r="FO13" s="56">
        <f>SUMIFS(tblActuals3541519[Team 2 Goals],tblActuals3541519[Team 2],$CU13,tblActuals3541519[Team 1],FO$3)+SUMIFS(tblActuals3541519[Team 1 Goals],tblActuals3541519[Team 1],$CU13,tblActuals3541519[Team 2],FO$3)</f>
        <v>0</v>
      </c>
      <c r="FP13" s="56">
        <f>SUMIFS(tblActuals3541519[Team 2 Goals],tblActuals3541519[Team 2],$CU13,tblActuals3541519[Team 1],FP$3)+SUMIFS(tblActuals3541519[Team 1 Goals],tblActuals3541519[Team 1],$CU13,tblActuals3541519[Team 2],FP$3)</f>
        <v>0</v>
      </c>
      <c r="FQ13" s="56">
        <f>SUMIFS(tblActuals3541519[Team 2 Goals],tblActuals3541519[Team 2],$CU13,tblActuals3541519[Team 1],FQ$3)+SUMIFS(tblActuals3541519[Team 1 Goals],tblActuals3541519[Team 1],$CU13,tblActuals3541519[Team 2],FQ$3)</f>
        <v>0</v>
      </c>
      <c r="FR13" s="56">
        <f>SUMIFS(tblActuals3541519[Team 2 Goals],tblActuals3541519[Team 2],$CU13,tblActuals3541519[Team 1],FR$3)+SUMIFS(tblActuals3541519[Team 1 Goals],tblActuals3541519[Team 1],$CU13,tblActuals3541519[Team 2],FR$3)</f>
        <v>0</v>
      </c>
      <c r="FS13" s="56">
        <f>SUMIFS(tblActuals3541519[Team 2 Goals],tblActuals3541519[Team 2],$CU13,tblActuals3541519[Team 1],FS$3)+SUMIFS(tblActuals3541519[Team 1 Goals],tblActuals3541519[Team 1],$CU13,tblActuals3541519[Team 2],FS$3)</f>
        <v>0</v>
      </c>
      <c r="FT13" s="56">
        <f>SUMIFS(tblActuals3541519[Team 2 Goals],tblActuals3541519[Team 2],$CU13,tblActuals3541519[Team 1],FT$3)+SUMIFS(tblActuals3541519[Team 1 Goals],tblActuals3541519[Team 1],$CU13,tblActuals3541519[Team 2],FT$3)</f>
        <v>0</v>
      </c>
      <c r="FU13" s="56">
        <f>SUMIFS(tblActuals3541519[Team 2 Goals],tblActuals3541519[Team 2],$CU13,tblActuals3541519[Team 1],FU$3)+SUMIFS(tblActuals3541519[Team 1 Goals],tblActuals3541519[Team 1],$CU13,tblActuals3541519[Team 2],FU$3)</f>
        <v>0</v>
      </c>
      <c r="FV13" s="56">
        <f>SUMIFS(tblActuals3541519[Team 2 Goals],tblActuals3541519[Team 2],$CU13,tblActuals3541519[Team 1],FV$3)+SUMIFS(tblActuals3541519[Team 1 Goals],tblActuals3541519[Team 1],$CU13,tblActuals3541519[Team 2],FV$3)</f>
        <v>0</v>
      </c>
      <c r="FW13" s="56">
        <f>SUMIFS(tblActuals3541519[Team 2 Goals],tblActuals3541519[Team 2],$CU13,tblActuals3541519[Team 1],FW$3)+SUMIFS(tblActuals3541519[Team 1 Goals],tblActuals3541519[Team 1],$CU13,tblActuals3541519[Team 2],FW$3)</f>
        <v>0</v>
      </c>
      <c r="FX13" s="56">
        <f>SUMIFS(tblActuals3541519[Team 2 Goals],tblActuals3541519[Team 2],$CU13,tblActuals3541519[Team 1],FX$3)+SUMIFS(tblActuals3541519[Team 1 Goals],tblActuals3541519[Team 1],$CU13,tblActuals3541519[Team 2],FX$3)</f>
        <v>0</v>
      </c>
      <c r="FY13" s="56">
        <f>SUMIFS(tblActuals3541519[Team 2 Goals],tblActuals3541519[Team 2],$CU13,tblActuals3541519[Team 1],FY$3)+SUMIFS(tblActuals3541519[Team 1 Goals],tblActuals3541519[Team 1],$CU13,tblActuals3541519[Team 2],FY$3)</f>
        <v>0</v>
      </c>
      <c r="FZ13" s="56">
        <f>SUMIFS(tblActuals3541519[Team 2 Goals],tblActuals3541519[Team 2],$CU13,tblActuals3541519[Team 1],FZ$3)+SUMIFS(tblActuals3541519[Team 1 Goals],tblActuals3541519[Team 1],$CU13,tblActuals3541519[Team 2],FZ$3)</f>
        <v>0</v>
      </c>
      <c r="GA13" s="56">
        <f>SUMIFS(tblActuals3541519[Team 2 Goals],tblActuals3541519[Team 2],$CU13,tblActuals3541519[Team 1],GA$3)+SUMIFS(tblActuals3541519[Team 1 Goals],tblActuals3541519[Team 1],$CU13,tblActuals3541519[Team 2],GA$3)</f>
        <v>0</v>
      </c>
      <c r="GB13" s="56">
        <f>SUMIFS(tblActuals3541519[Team 2 Goals],tblActuals3541519[Team 2],$CU13,tblActuals3541519[Team 1],GB$3)+SUMIFS(tblActuals3541519[Team 1 Goals],tblActuals3541519[Team 1],$CU13,tblActuals3541519[Team 2],GB$3)</f>
        <v>0</v>
      </c>
      <c r="GC13" s="56">
        <f>SUMIFS(tblActuals3541519[Team 2 Goals],tblActuals3541519[Team 2],$CU13,tblActuals3541519[Team 1],GC$3)+SUMIFS(tblActuals3541519[Team 1 Goals],tblActuals3541519[Team 1],$CU13,tblActuals3541519[Team 2],GC$3)</f>
        <v>0</v>
      </c>
      <c r="GD13" s="56">
        <f>SUMIFS(tblActuals3541519[Team 2 Goals],tblActuals3541519[Team 2],$CU13,tblActuals3541519[Team 1],GD$3)+SUMIFS(tblActuals3541519[Team 1 Goals],tblActuals3541519[Team 1],$CU13,tblActuals3541519[Team 2],GD$3)</f>
        <v>0</v>
      </c>
      <c r="GE13" s="56">
        <f>SUMIFS(tblActuals3541519[Team 2 Goals],tblActuals3541519[Team 2],$CU13,tblActuals3541519[Team 1],GE$3)+SUMIFS(tblActuals3541519[Team 1 Goals],tblActuals3541519[Team 1],$CU13,tblActuals3541519[Team 2],GE$3)</f>
        <v>0</v>
      </c>
      <c r="GF13" s="56">
        <f>SUMIFS(tblActuals3541519[Team 2 Goals],tblActuals3541519[Team 2],$CU13,tblActuals3541519[Team 1],GF$3)+SUMIFS(tblActuals3541519[Team 1 Goals],tblActuals3541519[Team 1],$CU13,tblActuals3541519[Team 2],GF$3)</f>
        <v>0</v>
      </c>
      <c r="GG13" s="56">
        <f>SUMIFS(tblActuals3541519[Team 2 Goals],tblActuals3541519[Team 2],$CU13,tblActuals3541519[Team 1],GG$3)+SUMIFS(tblActuals3541519[Team 1 Goals],tblActuals3541519[Team 1],$CU13,tblActuals3541519[Team 2],GG$3)</f>
        <v>0</v>
      </c>
      <c r="GH13" s="56">
        <f>SUMIFS(tblActuals3541519[Team 2 Goals],tblActuals3541519[Team 2],$CU13,tblActuals3541519[Team 1],GH$3)+SUMIFS(tblActuals3541519[Team 1 Goals],tblActuals3541519[Team 1],$CU13,tblActuals3541519[Team 2],GH$3)</f>
        <v>0</v>
      </c>
      <c r="GI13" s="56">
        <f>SUMIFS(tblActuals3541519[Team 2 Goals],tblActuals3541519[Team 2],$CU13,tblActuals3541519[Team 1],GI$3)+SUMIFS(tblActuals3541519[Team 1 Goals],tblActuals3541519[Team 1],$CU13,tblActuals3541519[Team 2],GI$3)</f>
        <v>0</v>
      </c>
      <c r="GJ13" s="57"/>
      <c r="GK13" s="57"/>
      <c r="GL13" s="37"/>
      <c r="GM13" s="37"/>
      <c r="GN13" s="37"/>
      <c r="GO13" s="37"/>
      <c r="GP13" s="37"/>
      <c r="GQ13" s="37"/>
      <c r="GR13" s="75"/>
      <c r="GS13" s="156"/>
      <c r="GT13" s="156"/>
      <c r="GU13" s="75"/>
      <c r="GV13" s="75"/>
      <c r="GW13" s="75"/>
      <c r="GX13" s="75"/>
      <c r="GY13" s="75"/>
      <c r="GZ13" s="75"/>
      <c r="HB13" s="4" t="str">
        <f t="shared" si="12"/>
        <v>ACEF</v>
      </c>
      <c r="HC13" s="44" t="s">
        <v>1</v>
      </c>
      <c r="HD13" s="45"/>
      <c r="HE13" s="44" t="s">
        <v>6</v>
      </c>
      <c r="HF13" s="45"/>
      <c r="HG13" s="44" t="s">
        <v>12</v>
      </c>
      <c r="HH13" s="44" t="s">
        <v>45</v>
      </c>
      <c r="HI13" s="178"/>
      <c r="HJ13" s="45" t="s">
        <v>153</v>
      </c>
      <c r="HK13" s="45" t="s">
        <v>154</v>
      </c>
      <c r="HL13" s="45" t="s">
        <v>152</v>
      </c>
      <c r="HM13" s="45" t="s">
        <v>149</v>
      </c>
    </row>
    <row r="14" spans="1:221" s="11" customFormat="1" ht="30" customHeight="1" x14ac:dyDescent="0.2">
      <c r="A14" s="20"/>
      <c r="B14" s="122">
        <v>11</v>
      </c>
      <c r="C14" s="122" t="s">
        <v>45</v>
      </c>
      <c r="D14" s="123">
        <v>45461</v>
      </c>
      <c r="E14" s="122" t="s">
        <v>81</v>
      </c>
      <c r="F14" s="124">
        <v>0.75</v>
      </c>
      <c r="G14" s="125">
        <f t="shared" si="11"/>
        <v>45461.5</v>
      </c>
      <c r="H14" s="122" t="s">
        <v>99</v>
      </c>
      <c r="I14" s="126"/>
      <c r="J14" s="118"/>
      <c r="K14" s="118"/>
      <c r="L14" s="174">
        <f>IF(I14="",0,IFERROR(IF(SCORING.RULES!$C$8="No",1,((VLOOKUP($B14,ACTUALS!$B$4:$L$100,7,FALSE)=$H14)+(VLOOKUP($B14,ACTUALS!$B$4:$L$100,7,FALSE)=S14)))*(M14+N14+O14+P14+Q14),0))+$R14</f>
        <v>0</v>
      </c>
      <c r="M14" s="168">
        <f>IFERROR(IF($B14="","",IF(U14=INDEX(ACTUALS!$AA$4:$AA$100,MATCH($B14,ACTUALS!$B$4:$B$100,0),1),CorrectScore,0)),0)</f>
        <v>0</v>
      </c>
      <c r="N14" s="157" t="str">
        <f>IFERROR(IF(I14="","",IF(INDEX(ACTUALS!$AB$4:$AB$100,MATCH($B14,ACTUALS!$B$4:$B$100,0),1)=(AB14+AC14+AH14+AI14),CorrectNumberofGoals,0)),0)</f>
        <v/>
      </c>
      <c r="O14" s="157"/>
      <c r="P14" s="157">
        <f>IFERROR(IF(B14="","",IF(INDEX(ACTUALS!$L$4:$L$100,MATCH($B14,ACTUALS!$B$4:$B$100,0),1)=W14,CorrectResult,0)),0)</f>
        <v>3</v>
      </c>
      <c r="Q14" s="157"/>
      <c r="R14" s="157"/>
      <c r="S14" s="157" t="str">
        <f t="shared" si="0"/>
        <v/>
      </c>
      <c r="T14" s="157"/>
      <c r="U14" s="157" t="str">
        <f t="shared" si="1"/>
        <v/>
      </c>
      <c r="V14" s="157" t="str">
        <f t="shared" si="2"/>
        <v/>
      </c>
      <c r="W14" s="119" t="str">
        <f>IF(tblActuals3541519[[#This Row],[SCORE]]="","",IF(AB14=AC14,"Draw",IF(AB14&gt;AC14,X14,Y14)))</f>
        <v/>
      </c>
      <c r="X14" s="120" t="str">
        <f>IF(tblActuals3541519[[#This Row],[TEAMS]]="","",LEFT(H14,FIND(" -",H14,1)-1))</f>
        <v>Turkey</v>
      </c>
      <c r="Y14" s="120" t="str">
        <f>IF(tblActuals3541519[[#This Row],[TEAMS]]="","",MID(H14,FIND("-",H14,1)+2,LEN(H14)-FIND("-",H14,1)+2))</f>
        <v>Georgia</v>
      </c>
      <c r="Z14" s="120" t="str">
        <f>IF(tblActuals3541519[[#This Row],[Team 1 Goals]]&gt;tblActuals3541519[[#This Row],[Team 2 Goals]],tblActuals3541519[[#This Row],[Team 1]],IF(tblActuals3541519[[#This Row],[Team 2 Goals]]&gt;tblActuals3541519[[#This Row],[Team 1 Goals]],tblActuals3541519[[#This Row],[Team 2]],""))</f>
        <v/>
      </c>
      <c r="AA14" s="120" t="str">
        <f>IF(tblActuals3541519[[#This Row],[Winner]]=tblActuals3541519[[#This Row],[Team 1]],tblActuals3541519[[#This Row],[Team 2]],IF(tblActuals3541519[[#This Row],[Winner]]=tblActuals3541519[[#This Row],[Team 2]],tblActuals3541519[[#This Row],[Team 1]],""))</f>
        <v/>
      </c>
      <c r="AB14" s="120" t="str">
        <f>IF(tblActuals3541519[[#This Row],[SCORE]]="","",LEFT(I14,FIND(":",I14,1)-1)*1)</f>
        <v/>
      </c>
      <c r="AC14" s="120" t="str">
        <f>IF(tblActuals3541519[[#This Row],[SCORE]]="","",MID(I14,FIND(":",I14,1)+1,LEN(I14)-FIND(":",I14,1)+1)*1)</f>
        <v/>
      </c>
      <c r="AD14" s="120" t="str">
        <f>IF(OR(tblActuals3541519[[#This Row],[Team 1 Goals]]="",tblActuals3541519[[#This Row],[Team 2 Goals]]=""),"",tblActuals3541519[[#This Row],[Team 1 Goals]]-tblActuals3541519[[#This Row],[Team 2 Goals]])</f>
        <v/>
      </c>
      <c r="AE14" s="120" t="str">
        <f>IF(OR(tblActuals3541519[[#This Row],[Team 1 Goals]]="",tblActuals3541519[[#This Row],[Team 2 Goals]]=""),"",tblActuals3541519[[#This Row],[Team 2 Goals]]-tblActuals3541519[[#This Row],[Team 1 Goals]])</f>
        <v/>
      </c>
      <c r="AF14" s="120" t="str">
        <f>IF(tblActuals3541519[[#This Row],[SCORE]]="","",IF(tblActuals3541519[[#This Row],[WINNER / RESULT]]="Draw",1,IF(tblActuals3541519[[#This Row],[WINNER / RESULT]]=tblActuals3541519[[#This Row],[Team 1]],3,0)))</f>
        <v/>
      </c>
      <c r="AG14" s="120" t="str">
        <f>IF(tblActuals3541519[[#This Row],[SCORE]]="","",IF(tblActuals3541519[[#This Row],[WINNER / RESULT]]="Draw",1,IF(tblActuals3541519[[#This Row],[WINNER / RESULT]]=tblActuals3541519[[#This Row],[Team 2]],3,0)))</f>
        <v/>
      </c>
      <c r="AH14" s="121"/>
      <c r="AI14" s="121"/>
      <c r="AJ14" s="121"/>
      <c r="AK14" s="121"/>
      <c r="AL14" s="120" t="e">
        <f>tblActuals3541519[[#This Row],[Team 1 Goals]]+tblActuals3541519[[#This Row],[Team 1 ET Goals]]&amp;":"&amp;tblActuals3541519[[#This Row],[Team 2 Goals]]+tblActuals3541519[[#This Row],[Team 2 ET Goals]]</f>
        <v>#VALUE!</v>
      </c>
      <c r="AM14" s="120" t="e">
        <f>+tblActuals3541519[[#This Row],[Team 1 Goals]]+tblActuals3541519[[#This Row],[Team 2 Goals]]</f>
        <v>#VALUE!</v>
      </c>
      <c r="AN14" s="161">
        <f t="shared" si="3"/>
        <v>45461</v>
      </c>
      <c r="AP14" s="38" t="s">
        <v>83</v>
      </c>
      <c r="AT14" s="77" t="s">
        <v>5</v>
      </c>
      <c r="AU14" s="142">
        <v>3</v>
      </c>
      <c r="AV14" s="143" t="str">
        <f ca="1">IFERROR(INDEX(BD:BD,MATCH("3"&amp;AT14,BN:BN,0),1),"")</f>
        <v>Italy</v>
      </c>
      <c r="AW14" s="143" t="str">
        <f ca="1">IF(AV14="","",VLOOKUP(AV14,BD:BI,2,FALSE)&amp;"-"&amp;VLOOKUP(AV14,BD:BI,3,FALSE)&amp;"-"&amp;VLOOKUP(AV14,BD:BI,4,FALSE))</f>
        <v>0-0-0</v>
      </c>
      <c r="AX14" s="143">
        <f ca="1">IF(AV14="","",VLOOKUP(AV14,BD:BK,8,FALSE))</f>
        <v>0</v>
      </c>
      <c r="AY14" s="144">
        <f ca="1">IF(AV14="","",VLOOKUP(AV14,BD:BN,5,FALSE))</f>
        <v>0</v>
      </c>
      <c r="AZ14" s="75" t="str">
        <f ca="1">IF(INDEX($AU$43:$AU$48,MATCH(AV14,$AV$43:$AV$48,0),1)&lt;=4,"X","")</f>
        <v/>
      </c>
      <c r="BA14" s="4"/>
      <c r="BB14" s="4"/>
      <c r="BC14" s="4" t="s">
        <v>6</v>
      </c>
      <c r="BD14" s="4" t="s">
        <v>25</v>
      </c>
      <c r="BE14" s="4">
        <f>COUNTIF(tblActuals3541519[Winner],BD14)</f>
        <v>0</v>
      </c>
      <c r="BF14" s="4">
        <f>COUNTIFS(tblActuals3541519[Team 2],BD14,tblActuals3541519[WINNER / RESULT],"Draw")+COUNTIFS(tblActuals3541519[Team 1],BD14,tblActuals3541519[WINNER / RESULT],"Draw")</f>
        <v>0</v>
      </c>
      <c r="BG14" s="4">
        <f>COUNTIF(tblActuals3541519[Loser],BD14)</f>
        <v>0</v>
      </c>
      <c r="BH14" s="4">
        <f>BF14+(3*BE14)</f>
        <v>0</v>
      </c>
      <c r="BI14" s="4">
        <f>SUMIFS(tblActuals3541519[Team 1 Goals],tblActuals3541519[Team 1],BD14)+SUMIFS(tblActuals3541519[Team 2 Goals],tblActuals3541519[Team 2],BD14)</f>
        <v>0</v>
      </c>
      <c r="BJ14" s="4">
        <f>SUMIFS(tblActuals3541519[Team 2 Goals],tblActuals3541519[Team 1],BD14)+SUMIFS(tblActuals3541519[Team 1 Goals],tblActuals3541519[Team 2],BD14)</f>
        <v>0</v>
      </c>
      <c r="BK14" s="4">
        <f>BI14-BJ14</f>
        <v>0</v>
      </c>
      <c r="BL14" s="4">
        <f ca="1">RANK(BY14,$BY$14:$BY$17,1)</f>
        <v>1</v>
      </c>
      <c r="BM14" s="4" t="str">
        <f t="shared" si="4"/>
        <v/>
      </c>
      <c r="BN14" s="4" t="str">
        <f ca="1">IF(BM14="",BL14&amp;BC14,BM14&amp;BC14)</f>
        <v>1C</v>
      </c>
      <c r="BO14" s="4">
        <f>RANK(BH14,$BH$14:$BH$17,0)</f>
        <v>1</v>
      </c>
      <c r="BP14" s="4" cm="1">
        <f t="array" aca="1" ref="BP14" ca="1">SUMPRODUCT((OFFSET($CV$3:$EA$3,MATCH($BD14,$CU$4:$CU$35,0),0))*((IF($BO16=$BO14,$CV$3:$EA$3=$BD16,0))+(IF($BO17=$BO14,$CV$3:$EA$3=$BD17,0))+(IF($BO15=$BO14,$CV$3:$EA$3=$BD15,0))))</f>
        <v>0</v>
      </c>
      <c r="BQ14" s="4" cm="1">
        <f t="array" aca="1" ref="BQ14" ca="1">SUMPRODUCT((OFFSET($ED$3:$FI$3,MATCH($BD14,$EC$4:$EC$35,0),0))*((IF($BO16=$BO14,$ED$3:$FI$3=$BD16,0))+(IF($BO17=$BO14,$ED$3:$FI$3=$BD17,0))+(IF($BO15=$BO14,$ED$3:$FI$3=$BD15,0))))</f>
        <v>0</v>
      </c>
      <c r="BR14" s="4" cm="1">
        <f t="array" aca="1" ref="BR14" ca="1">SUMPRODUCT((OFFSET($FL$3:$GQ$3,MATCH($BD14,$FK$4:$FK$35,0),0))*((IF($BO16=$BO14,$FL$3:$GQ$3=$BD16,0))+(IF($BO17=$BO14,$FL$3:$GQ$3=$BD17,0))+(IF($BO15=$BO14,$FL$3:$GQ$3=$BD15,0))))</f>
        <v>0</v>
      </c>
      <c r="BS14" s="4" cm="1">
        <f t="array" aca="1" ref="BS14" ca="1">SUMPRODUCT((OFFSET($CV$3:$EA$3,MATCH($BD14,$CU$4:$CU$35,0),0))*((IF($BO16&lt;&gt;$BO14,$CV$3:$EA$3=$BD16,0))+(IF($BO17&lt;&gt;$BO14,$CV$3:$EA$3=$BD17,0))+(IF($BO15&lt;&gt;$BO14,$CV$3:$EA$3=$BD15,0))))</f>
        <v>0</v>
      </c>
      <c r="BT14" s="4" cm="1">
        <f t="array" aca="1" ref="BT14" ca="1">SUMPRODUCT((OFFSET($ED$3:$FI$3,MATCH($BD14,$EC$4:$EC$35,0),0))*((IF($BO16&lt;&gt;$BO14,$ED$3:$FI$3=$BD16,0))+(IF($BO17&lt;&gt;$BO14,$ED$3:$FI$3=$BD17,0))+(IF($BO15&lt;&gt;$BO14,$ED$3:$FI$3=$BD15,0))))</f>
        <v>0</v>
      </c>
      <c r="BU14" s="4" cm="1">
        <f t="array" aca="1" ref="BU14" ca="1">SUMPRODUCT((OFFSET($FL$3:$GQ$3,MATCH($BD14,$FK$4:$FK$35,0),0))*((IF($BO16&lt;&gt;$BO14,$FL$3:$GQ$3=$BD16,0))+(IF($BO17&lt;&gt;$BO14,$FL$3:$GQ$3=$BD17,0))+(IF($BO15&lt;&gt;$BO14,$FL$3:$GQ$3=$BD15,0))))</f>
        <v>0</v>
      </c>
      <c r="BV14" s="4">
        <f>BK14</f>
        <v>0</v>
      </c>
      <c r="BW14" s="4">
        <f>BI14</f>
        <v>0</v>
      </c>
      <c r="BX14" s="4">
        <f ca="1">(BP14/10)+(BQ14/100)+(BR14/1000)+(BT14/10000)+(BU14/100000)+(BV14/1000000)+(BW14/10000000)+(ROW(BS17)/100000000)</f>
        <v>1.6999999999999999E-7</v>
      </c>
      <c r="BY14" s="4">
        <f ca="1">+BO14-BX14</f>
        <v>0.99999983000000003</v>
      </c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U14" s="4" t="s">
        <v>34</v>
      </c>
      <c r="CV14" s="56">
        <f>SUMIFS(tblActuals3541519[Team 2 Points],tblActuals3541519[Team 2],$CU14,tblActuals3541519[Team 1],CV$3)+SUMIFS(tblActuals3541519[Team 1 Points],tblActuals3541519[Team 1],$CU14,tblActuals3541519[Team 2],CV$3)</f>
        <v>0</v>
      </c>
      <c r="CW14" s="56">
        <f>SUMIFS(tblActuals3541519[Team 2 Points],tblActuals3541519[Team 2],$CU14,tblActuals3541519[Team 1],CW$3)+SUMIFS(tblActuals3541519[Team 1 Points],tblActuals3541519[Team 1],$CU14,tblActuals3541519[Team 2],CW$3)</f>
        <v>0</v>
      </c>
      <c r="CX14" s="56">
        <f>SUMIFS(tblActuals3541519[Team 2 Points],tblActuals3541519[Team 2],$CU14,tblActuals3541519[Team 1],CX$3)+SUMIFS(tblActuals3541519[Team 1 Points],tblActuals3541519[Team 1],$CU14,tblActuals3541519[Team 2],CX$3)</f>
        <v>0</v>
      </c>
      <c r="CY14" s="56">
        <f>SUMIFS(tblActuals3541519[Team 2 Points],tblActuals3541519[Team 2],$CU14,tblActuals3541519[Team 1],CY$3)+SUMIFS(tblActuals3541519[Team 1 Points],tblActuals3541519[Team 1],$CU14,tblActuals3541519[Team 2],CY$3)</f>
        <v>0</v>
      </c>
      <c r="CZ14" s="56">
        <f>SUMIFS(tblActuals3541519[Team 2 Points],tblActuals3541519[Team 2],$CU14,tblActuals3541519[Team 1],CZ$3)+SUMIFS(tblActuals3541519[Team 1 Points],tblActuals3541519[Team 1],$CU14,tblActuals3541519[Team 2],CZ$3)</f>
        <v>0</v>
      </c>
      <c r="DA14" s="56">
        <f>SUMIFS(tblActuals3541519[Team 2 Points],tblActuals3541519[Team 2],$CU14,tblActuals3541519[Team 1],DA$3)+SUMIFS(tblActuals3541519[Team 1 Points],tblActuals3541519[Team 1],$CU14,tblActuals3541519[Team 2],DA$3)</f>
        <v>0</v>
      </c>
      <c r="DB14" s="56">
        <f>SUMIFS(tblActuals3541519[Team 2 Points],tblActuals3541519[Team 2],$CU14,tblActuals3541519[Team 1],DB$3)+SUMIFS(tblActuals3541519[Team 1 Points],tblActuals3541519[Team 1],$CU14,tblActuals3541519[Team 2],DB$3)</f>
        <v>0</v>
      </c>
      <c r="DC14" s="56">
        <f>SUMIFS(tblActuals3541519[Team 2 Points],tblActuals3541519[Team 2],$CU14,tblActuals3541519[Team 1],DC$3)+SUMIFS(tblActuals3541519[Team 1 Points],tblActuals3541519[Team 1],$CU14,tblActuals3541519[Team 2],DC$3)</f>
        <v>0</v>
      </c>
      <c r="DD14" s="56">
        <f>SUMIFS(tblActuals3541519[Team 2 Points],tblActuals3541519[Team 2],$CU14,tblActuals3541519[Team 1],DD$3)+SUMIFS(tblActuals3541519[Team 1 Points],tblActuals3541519[Team 1],$CU14,tblActuals3541519[Team 2],DD$3)</f>
        <v>0</v>
      </c>
      <c r="DE14" s="56">
        <f>SUMIFS(tblActuals3541519[Team 2 Points],tblActuals3541519[Team 2],$CU14,tblActuals3541519[Team 1],DE$3)+SUMIFS(tblActuals3541519[Team 1 Points],tblActuals3541519[Team 1],$CU14,tblActuals3541519[Team 2],DE$3)</f>
        <v>0</v>
      </c>
      <c r="DF14" s="56">
        <f>SUMIFS(tblActuals3541519[Team 2 Points],tblActuals3541519[Team 2],$CU14,tblActuals3541519[Team 1],DF$3)+SUMIFS(tblActuals3541519[Team 1 Points],tblActuals3541519[Team 1],$CU14,tblActuals3541519[Team 2],DF$3)</f>
        <v>0</v>
      </c>
      <c r="DG14" s="56">
        <f>SUMIFS(tblActuals3541519[Team 2 Points],tblActuals3541519[Team 2],$CU14,tblActuals3541519[Team 1],DG$3)+SUMIFS(tblActuals3541519[Team 1 Points],tblActuals3541519[Team 1],$CU14,tblActuals3541519[Team 2],DG$3)</f>
        <v>0</v>
      </c>
      <c r="DH14" s="56">
        <f>SUMIFS(tblActuals3541519[Team 2 Points],tblActuals3541519[Team 2],$CU14,tblActuals3541519[Team 1],DH$3)+SUMIFS(tblActuals3541519[Team 1 Points],tblActuals3541519[Team 1],$CU14,tblActuals3541519[Team 2],DH$3)</f>
        <v>0</v>
      </c>
      <c r="DI14" s="56">
        <f>SUMIFS(tblActuals3541519[Team 2 Points],tblActuals3541519[Team 2],$CU14,tblActuals3541519[Team 1],DI$3)+SUMIFS(tblActuals3541519[Team 1 Points],tblActuals3541519[Team 1],$CU14,tblActuals3541519[Team 2],DI$3)</f>
        <v>0</v>
      </c>
      <c r="DJ14" s="56">
        <f>SUMIFS(tblActuals3541519[Team 2 Points],tblActuals3541519[Team 2],$CU14,tblActuals3541519[Team 1],DJ$3)+SUMIFS(tblActuals3541519[Team 1 Points],tblActuals3541519[Team 1],$CU14,tblActuals3541519[Team 2],DJ$3)</f>
        <v>0</v>
      </c>
      <c r="DK14" s="56">
        <f>SUMIFS(tblActuals3541519[Team 2 Points],tblActuals3541519[Team 2],$CU14,tblActuals3541519[Team 1],DK$3)+SUMIFS(tblActuals3541519[Team 1 Points],tblActuals3541519[Team 1],$CU14,tblActuals3541519[Team 2],DK$3)</f>
        <v>0</v>
      </c>
      <c r="DL14" s="56">
        <f>SUMIFS(tblActuals3541519[Team 2 Points],tblActuals3541519[Team 2],$CU14,tblActuals3541519[Team 1],DL$3)+SUMIFS(tblActuals3541519[Team 1 Points],tblActuals3541519[Team 1],$CU14,tblActuals3541519[Team 2],DL$3)</f>
        <v>0</v>
      </c>
      <c r="DM14" s="56">
        <f>SUMIFS(tblActuals3541519[Team 2 Points],tblActuals3541519[Team 2],$CU14,tblActuals3541519[Team 1],DM$3)+SUMIFS(tblActuals3541519[Team 1 Points],tblActuals3541519[Team 1],$CU14,tblActuals3541519[Team 2],DM$3)</f>
        <v>0</v>
      </c>
      <c r="DN14" s="56">
        <f>SUMIFS(tblActuals3541519[Team 2 Points],tblActuals3541519[Team 2],$CU14,tblActuals3541519[Team 1],DN$3)+SUMIFS(tblActuals3541519[Team 1 Points],tblActuals3541519[Team 1],$CU14,tblActuals3541519[Team 2],DN$3)</f>
        <v>0</v>
      </c>
      <c r="DO14" s="56">
        <f>SUMIFS(tblActuals3541519[Team 2 Points],tblActuals3541519[Team 2],$CU14,tblActuals3541519[Team 1],DO$3)+SUMIFS(tblActuals3541519[Team 1 Points],tblActuals3541519[Team 1],$CU14,tblActuals3541519[Team 2],DO$3)</f>
        <v>0</v>
      </c>
      <c r="DP14" s="56">
        <f>SUMIFS(tblActuals3541519[Team 2 Points],tblActuals3541519[Team 2],$CU14,tblActuals3541519[Team 1],DP$3)+SUMIFS(tblActuals3541519[Team 1 Points],tblActuals3541519[Team 1],$CU14,tblActuals3541519[Team 2],DP$3)</f>
        <v>0</v>
      </c>
      <c r="DQ14" s="56">
        <f>SUMIFS(tblActuals3541519[Team 2 Points],tblActuals3541519[Team 2],$CU14,tblActuals3541519[Team 1],DQ$3)+SUMIFS(tblActuals3541519[Team 1 Points],tblActuals3541519[Team 1],$CU14,tblActuals3541519[Team 2],DQ$3)</f>
        <v>0</v>
      </c>
      <c r="DR14" s="56">
        <f>SUMIFS(tblActuals3541519[Team 2 Points],tblActuals3541519[Team 2],$CU14,tblActuals3541519[Team 1],DR$3)+SUMIFS(tblActuals3541519[Team 1 Points],tblActuals3541519[Team 1],$CU14,tblActuals3541519[Team 2],DR$3)</f>
        <v>0</v>
      </c>
      <c r="DS14" s="56">
        <f>SUMIFS(tblActuals3541519[Team 2 Points],tblActuals3541519[Team 2],$CU14,tblActuals3541519[Team 1],DS$3)+SUMIFS(tblActuals3541519[Team 1 Points],tblActuals3541519[Team 1],$CU14,tblActuals3541519[Team 2],DS$3)</f>
        <v>0</v>
      </c>
      <c r="DT14" s="57"/>
      <c r="DU14" s="57"/>
      <c r="DV14" s="57"/>
      <c r="DW14" s="57"/>
      <c r="DX14" s="57"/>
      <c r="DY14" s="57"/>
      <c r="DZ14" s="57"/>
      <c r="EA14" s="57"/>
      <c r="EB14" s="4"/>
      <c r="EC14" s="4" t="s">
        <v>34</v>
      </c>
      <c r="ED14" s="56">
        <f>SUMIFS(tblActuals3541519[Team 2 GD],tblActuals3541519[Team 2],$CU14,tblActuals3541519[Team 1],ED$3)+SUMIFS(tblActuals3541519[Team 1 GD],tblActuals3541519[Team 1],$CU14,tblActuals3541519[Team 2],ED$3)</f>
        <v>0</v>
      </c>
      <c r="EE14" s="56">
        <f>SUMIFS(tblActuals3541519[Team 2 GD],tblActuals3541519[Team 2],$CU14,tblActuals3541519[Team 1],EE$3)+SUMIFS(tblActuals3541519[Team 1 GD],tblActuals3541519[Team 1],$CU14,tblActuals3541519[Team 2],EE$3)</f>
        <v>0</v>
      </c>
      <c r="EF14" s="56">
        <f>SUMIFS(tblActuals3541519[Team 2 GD],tblActuals3541519[Team 2],$CU14,tblActuals3541519[Team 1],EF$3)+SUMIFS(tblActuals3541519[Team 1 GD],tblActuals3541519[Team 1],$CU14,tblActuals3541519[Team 2],EF$3)</f>
        <v>0</v>
      </c>
      <c r="EG14" s="56">
        <f>SUMIFS(tblActuals3541519[Team 2 GD],tblActuals3541519[Team 2],$CU14,tblActuals3541519[Team 1],EG$3)+SUMIFS(tblActuals3541519[Team 1 GD],tblActuals3541519[Team 1],$CU14,tblActuals3541519[Team 2],EG$3)</f>
        <v>0</v>
      </c>
      <c r="EH14" s="56">
        <f>SUMIFS(tblActuals3541519[Team 2 GD],tblActuals3541519[Team 2],$CU14,tblActuals3541519[Team 1],EH$3)+SUMIFS(tblActuals3541519[Team 1 GD],tblActuals3541519[Team 1],$CU14,tblActuals3541519[Team 2],EH$3)</f>
        <v>0</v>
      </c>
      <c r="EI14" s="56">
        <f>SUMIFS(tblActuals3541519[Team 2 GD],tblActuals3541519[Team 2],$CU14,tblActuals3541519[Team 1],EI$3)+SUMIFS(tblActuals3541519[Team 1 GD],tblActuals3541519[Team 1],$CU14,tblActuals3541519[Team 2],EI$3)</f>
        <v>0</v>
      </c>
      <c r="EJ14" s="56">
        <f>SUMIFS(tblActuals3541519[Team 2 GD],tblActuals3541519[Team 2],$CU14,tblActuals3541519[Team 1],EJ$3)+SUMIFS(tblActuals3541519[Team 1 GD],tblActuals3541519[Team 1],$CU14,tblActuals3541519[Team 2],EJ$3)</f>
        <v>0</v>
      </c>
      <c r="EK14" s="56">
        <f>SUMIFS(tblActuals3541519[Team 2 GD],tblActuals3541519[Team 2],$CU14,tblActuals3541519[Team 1],EK$3)+SUMIFS(tblActuals3541519[Team 1 GD],tblActuals3541519[Team 1],$CU14,tblActuals3541519[Team 2],EK$3)</f>
        <v>0</v>
      </c>
      <c r="EL14" s="56">
        <f>SUMIFS(tblActuals3541519[Team 2 GD],tblActuals3541519[Team 2],$CU14,tblActuals3541519[Team 1],EL$3)+SUMIFS(tblActuals3541519[Team 1 GD],tblActuals3541519[Team 1],$CU14,tblActuals3541519[Team 2],EL$3)</f>
        <v>0</v>
      </c>
      <c r="EM14" s="56">
        <f>SUMIFS(tblActuals3541519[Team 2 GD],tblActuals3541519[Team 2],$CU14,tblActuals3541519[Team 1],EM$3)+SUMIFS(tblActuals3541519[Team 1 GD],tblActuals3541519[Team 1],$CU14,tblActuals3541519[Team 2],EM$3)</f>
        <v>0</v>
      </c>
      <c r="EN14" s="56">
        <f>SUMIFS(tblActuals3541519[Team 2 GD],tblActuals3541519[Team 2],$CU14,tblActuals3541519[Team 1],EN$3)+SUMIFS(tblActuals3541519[Team 1 GD],tblActuals3541519[Team 1],$CU14,tblActuals3541519[Team 2],EN$3)</f>
        <v>0</v>
      </c>
      <c r="EO14" s="56">
        <f>SUMIFS(tblActuals3541519[Team 2 GD],tblActuals3541519[Team 2],$CU14,tblActuals3541519[Team 1],EO$3)+SUMIFS(tblActuals3541519[Team 1 GD],tblActuals3541519[Team 1],$CU14,tblActuals3541519[Team 2],EO$3)</f>
        <v>0</v>
      </c>
      <c r="EP14" s="56">
        <f>SUMIFS(tblActuals3541519[Team 2 GD],tblActuals3541519[Team 2],$CU14,tblActuals3541519[Team 1],EP$3)+SUMIFS(tblActuals3541519[Team 1 GD],tblActuals3541519[Team 1],$CU14,tblActuals3541519[Team 2],EP$3)</f>
        <v>0</v>
      </c>
      <c r="EQ14" s="56">
        <f>SUMIFS(tblActuals3541519[Team 2 GD],tblActuals3541519[Team 2],$CU14,tblActuals3541519[Team 1],EQ$3)+SUMIFS(tblActuals3541519[Team 1 GD],tblActuals3541519[Team 1],$CU14,tblActuals3541519[Team 2],EQ$3)</f>
        <v>0</v>
      </c>
      <c r="ER14" s="56">
        <f>SUMIFS(tblActuals3541519[Team 2 GD],tblActuals3541519[Team 2],$CU14,tblActuals3541519[Team 1],ER$3)+SUMIFS(tblActuals3541519[Team 1 GD],tblActuals3541519[Team 1],$CU14,tblActuals3541519[Team 2],ER$3)</f>
        <v>0</v>
      </c>
      <c r="ES14" s="56">
        <f>SUMIFS(tblActuals3541519[Team 2 GD],tblActuals3541519[Team 2],$CU14,tblActuals3541519[Team 1],ES$3)+SUMIFS(tblActuals3541519[Team 1 GD],tblActuals3541519[Team 1],$CU14,tblActuals3541519[Team 2],ES$3)</f>
        <v>0</v>
      </c>
      <c r="ET14" s="56">
        <f>SUMIFS(tblActuals3541519[Team 2 GD],tblActuals3541519[Team 2],$CU14,tblActuals3541519[Team 1],ET$3)+SUMIFS(tblActuals3541519[Team 1 GD],tblActuals3541519[Team 1],$CU14,tblActuals3541519[Team 2],ET$3)</f>
        <v>0</v>
      </c>
      <c r="EU14" s="56">
        <f>SUMIFS(tblActuals3541519[Team 2 GD],tblActuals3541519[Team 2],$CU14,tblActuals3541519[Team 1],EU$3)+SUMIFS(tblActuals3541519[Team 1 GD],tblActuals3541519[Team 1],$CU14,tblActuals3541519[Team 2],EU$3)</f>
        <v>0</v>
      </c>
      <c r="EV14" s="56">
        <f>SUMIFS(tblActuals3541519[Team 2 GD],tblActuals3541519[Team 2],$CU14,tblActuals3541519[Team 1],EV$3)+SUMIFS(tblActuals3541519[Team 1 GD],tblActuals3541519[Team 1],$CU14,tblActuals3541519[Team 2],EV$3)</f>
        <v>0</v>
      </c>
      <c r="EW14" s="56">
        <f>SUMIFS(tblActuals3541519[Team 2 GD],tblActuals3541519[Team 2],$CU14,tblActuals3541519[Team 1],EW$3)+SUMIFS(tblActuals3541519[Team 1 GD],tblActuals3541519[Team 1],$CU14,tblActuals3541519[Team 2],EW$3)</f>
        <v>0</v>
      </c>
      <c r="EX14" s="56">
        <f>SUMIFS(tblActuals3541519[Team 2 GD],tblActuals3541519[Team 2],$CU14,tblActuals3541519[Team 1],EX$3)+SUMIFS(tblActuals3541519[Team 1 GD],tblActuals3541519[Team 1],$CU14,tblActuals3541519[Team 2],EX$3)</f>
        <v>0</v>
      </c>
      <c r="EY14" s="56">
        <f>SUMIFS(tblActuals3541519[Team 2 GD],tblActuals3541519[Team 2],$CU14,tblActuals3541519[Team 1],EY$3)+SUMIFS(tblActuals3541519[Team 1 GD],tblActuals3541519[Team 1],$CU14,tblActuals3541519[Team 2],EY$3)</f>
        <v>0</v>
      </c>
      <c r="EZ14" s="56">
        <f>SUMIFS(tblActuals3541519[Team 2 GD],tblActuals3541519[Team 2],$CU14,tblActuals3541519[Team 1],EZ$3)+SUMIFS(tblActuals3541519[Team 1 GD],tblActuals3541519[Team 1],$CU14,tblActuals3541519[Team 2],EZ$3)</f>
        <v>0</v>
      </c>
      <c r="FA14" s="56">
        <f>SUMIFS(tblActuals3541519[Team 2 GD],tblActuals3541519[Team 2],$CU14,tblActuals3541519[Team 1],FA$3)+SUMIFS(tblActuals3541519[Team 1 GD],tblActuals3541519[Team 1],$CU14,tblActuals3541519[Team 2],FA$3)</f>
        <v>0</v>
      </c>
      <c r="FB14" s="57"/>
      <c r="FC14" s="57"/>
      <c r="FD14" s="57"/>
      <c r="FE14" s="57"/>
      <c r="FF14" s="57"/>
      <c r="FG14" s="57"/>
      <c r="FH14" s="57"/>
      <c r="FI14" s="57"/>
      <c r="FJ14" s="4"/>
      <c r="FK14" s="4" t="s">
        <v>34</v>
      </c>
      <c r="FL14" s="56">
        <f>SUMIFS(tblActuals3541519[Team 2 Goals],tblActuals3541519[Team 2],$CU14,tblActuals3541519[Team 1],FL$3)+SUMIFS(tblActuals3541519[Team 1 Goals],tblActuals3541519[Team 1],$CU14,tblActuals3541519[Team 2],FL$3)</f>
        <v>0</v>
      </c>
      <c r="FM14" s="56">
        <f>SUMIFS(tblActuals3541519[Team 2 Goals],tblActuals3541519[Team 2],$CU14,tblActuals3541519[Team 1],FM$3)+SUMIFS(tblActuals3541519[Team 1 Goals],tblActuals3541519[Team 1],$CU14,tblActuals3541519[Team 2],FM$3)</f>
        <v>0</v>
      </c>
      <c r="FN14" s="56">
        <f>SUMIFS(tblActuals3541519[Team 2 Goals],tblActuals3541519[Team 2],$CU14,tblActuals3541519[Team 1],FN$3)+SUMIFS(tblActuals3541519[Team 1 Goals],tblActuals3541519[Team 1],$CU14,tblActuals3541519[Team 2],FN$3)</f>
        <v>0</v>
      </c>
      <c r="FO14" s="56">
        <f>SUMIFS(tblActuals3541519[Team 2 Goals],tblActuals3541519[Team 2],$CU14,tblActuals3541519[Team 1],FO$3)+SUMIFS(tblActuals3541519[Team 1 Goals],tblActuals3541519[Team 1],$CU14,tblActuals3541519[Team 2],FO$3)</f>
        <v>0</v>
      </c>
      <c r="FP14" s="56">
        <f>SUMIFS(tblActuals3541519[Team 2 Goals],tblActuals3541519[Team 2],$CU14,tblActuals3541519[Team 1],FP$3)+SUMIFS(tblActuals3541519[Team 1 Goals],tblActuals3541519[Team 1],$CU14,tblActuals3541519[Team 2],FP$3)</f>
        <v>0</v>
      </c>
      <c r="FQ14" s="56">
        <f>SUMIFS(tblActuals3541519[Team 2 Goals],tblActuals3541519[Team 2],$CU14,tblActuals3541519[Team 1],FQ$3)+SUMIFS(tblActuals3541519[Team 1 Goals],tblActuals3541519[Team 1],$CU14,tblActuals3541519[Team 2],FQ$3)</f>
        <v>0</v>
      </c>
      <c r="FR14" s="56">
        <f>SUMIFS(tblActuals3541519[Team 2 Goals],tblActuals3541519[Team 2],$CU14,tblActuals3541519[Team 1],FR$3)+SUMIFS(tblActuals3541519[Team 1 Goals],tblActuals3541519[Team 1],$CU14,tblActuals3541519[Team 2],FR$3)</f>
        <v>0</v>
      </c>
      <c r="FS14" s="56">
        <f>SUMIFS(tblActuals3541519[Team 2 Goals],tblActuals3541519[Team 2],$CU14,tblActuals3541519[Team 1],FS$3)+SUMIFS(tblActuals3541519[Team 1 Goals],tblActuals3541519[Team 1],$CU14,tblActuals3541519[Team 2],FS$3)</f>
        <v>0</v>
      </c>
      <c r="FT14" s="56">
        <f>SUMIFS(tblActuals3541519[Team 2 Goals],tblActuals3541519[Team 2],$CU14,tblActuals3541519[Team 1],FT$3)+SUMIFS(tblActuals3541519[Team 1 Goals],tblActuals3541519[Team 1],$CU14,tblActuals3541519[Team 2],FT$3)</f>
        <v>0</v>
      </c>
      <c r="FU14" s="56">
        <f>SUMIFS(tblActuals3541519[Team 2 Goals],tblActuals3541519[Team 2],$CU14,tblActuals3541519[Team 1],FU$3)+SUMIFS(tblActuals3541519[Team 1 Goals],tblActuals3541519[Team 1],$CU14,tblActuals3541519[Team 2],FU$3)</f>
        <v>0</v>
      </c>
      <c r="FV14" s="56">
        <f>SUMIFS(tblActuals3541519[Team 2 Goals],tblActuals3541519[Team 2],$CU14,tblActuals3541519[Team 1],FV$3)+SUMIFS(tblActuals3541519[Team 1 Goals],tblActuals3541519[Team 1],$CU14,tblActuals3541519[Team 2],FV$3)</f>
        <v>0</v>
      </c>
      <c r="FW14" s="56">
        <f>SUMIFS(tblActuals3541519[Team 2 Goals],tblActuals3541519[Team 2],$CU14,tblActuals3541519[Team 1],FW$3)+SUMIFS(tblActuals3541519[Team 1 Goals],tblActuals3541519[Team 1],$CU14,tblActuals3541519[Team 2],FW$3)</f>
        <v>0</v>
      </c>
      <c r="FX14" s="56">
        <f>SUMIFS(tblActuals3541519[Team 2 Goals],tblActuals3541519[Team 2],$CU14,tblActuals3541519[Team 1],FX$3)+SUMIFS(tblActuals3541519[Team 1 Goals],tblActuals3541519[Team 1],$CU14,tblActuals3541519[Team 2],FX$3)</f>
        <v>0</v>
      </c>
      <c r="FY14" s="56">
        <f>SUMIFS(tblActuals3541519[Team 2 Goals],tblActuals3541519[Team 2],$CU14,tblActuals3541519[Team 1],FY$3)+SUMIFS(tblActuals3541519[Team 1 Goals],tblActuals3541519[Team 1],$CU14,tblActuals3541519[Team 2],FY$3)</f>
        <v>0</v>
      </c>
      <c r="FZ14" s="56">
        <f>SUMIFS(tblActuals3541519[Team 2 Goals],tblActuals3541519[Team 2],$CU14,tblActuals3541519[Team 1],FZ$3)+SUMIFS(tblActuals3541519[Team 1 Goals],tblActuals3541519[Team 1],$CU14,tblActuals3541519[Team 2],FZ$3)</f>
        <v>0</v>
      </c>
      <c r="GA14" s="56">
        <f>SUMIFS(tblActuals3541519[Team 2 Goals],tblActuals3541519[Team 2],$CU14,tblActuals3541519[Team 1],GA$3)+SUMIFS(tblActuals3541519[Team 1 Goals],tblActuals3541519[Team 1],$CU14,tblActuals3541519[Team 2],GA$3)</f>
        <v>0</v>
      </c>
      <c r="GB14" s="56">
        <f>SUMIFS(tblActuals3541519[Team 2 Goals],tblActuals3541519[Team 2],$CU14,tblActuals3541519[Team 1],GB$3)+SUMIFS(tblActuals3541519[Team 1 Goals],tblActuals3541519[Team 1],$CU14,tblActuals3541519[Team 2],GB$3)</f>
        <v>0</v>
      </c>
      <c r="GC14" s="56">
        <f>SUMIFS(tblActuals3541519[Team 2 Goals],tblActuals3541519[Team 2],$CU14,tblActuals3541519[Team 1],GC$3)+SUMIFS(tblActuals3541519[Team 1 Goals],tblActuals3541519[Team 1],$CU14,tblActuals3541519[Team 2],GC$3)</f>
        <v>0</v>
      </c>
      <c r="GD14" s="56">
        <f>SUMIFS(tblActuals3541519[Team 2 Goals],tblActuals3541519[Team 2],$CU14,tblActuals3541519[Team 1],GD$3)+SUMIFS(tblActuals3541519[Team 1 Goals],tblActuals3541519[Team 1],$CU14,tblActuals3541519[Team 2],GD$3)</f>
        <v>0</v>
      </c>
      <c r="GE14" s="56">
        <f>SUMIFS(tblActuals3541519[Team 2 Goals],tblActuals3541519[Team 2],$CU14,tblActuals3541519[Team 1],GE$3)+SUMIFS(tblActuals3541519[Team 1 Goals],tblActuals3541519[Team 1],$CU14,tblActuals3541519[Team 2],GE$3)</f>
        <v>0</v>
      </c>
      <c r="GF14" s="56">
        <f>SUMIFS(tblActuals3541519[Team 2 Goals],tblActuals3541519[Team 2],$CU14,tblActuals3541519[Team 1],GF$3)+SUMIFS(tblActuals3541519[Team 1 Goals],tblActuals3541519[Team 1],$CU14,tblActuals3541519[Team 2],GF$3)</f>
        <v>0</v>
      </c>
      <c r="GG14" s="56">
        <f>SUMIFS(tblActuals3541519[Team 2 Goals],tblActuals3541519[Team 2],$CU14,tblActuals3541519[Team 1],GG$3)+SUMIFS(tblActuals3541519[Team 1 Goals],tblActuals3541519[Team 1],$CU14,tblActuals3541519[Team 2],GG$3)</f>
        <v>0</v>
      </c>
      <c r="GH14" s="56">
        <f>SUMIFS(tblActuals3541519[Team 2 Goals],tblActuals3541519[Team 2],$CU14,tblActuals3541519[Team 1],GH$3)+SUMIFS(tblActuals3541519[Team 1 Goals],tblActuals3541519[Team 1],$CU14,tblActuals3541519[Team 2],GH$3)</f>
        <v>0</v>
      </c>
      <c r="GI14" s="56">
        <f>SUMIFS(tblActuals3541519[Team 2 Goals],tblActuals3541519[Team 2],$CU14,tblActuals3541519[Team 1],GI$3)+SUMIFS(tblActuals3541519[Team 1 Goals],tblActuals3541519[Team 1],$CU14,tblActuals3541519[Team 2],GI$3)</f>
        <v>0</v>
      </c>
      <c r="GJ14" s="57"/>
      <c r="GK14" s="57"/>
      <c r="GL14" s="37"/>
      <c r="GM14" s="37"/>
      <c r="GN14" s="37"/>
      <c r="GO14" s="37"/>
      <c r="GP14" s="37"/>
      <c r="GQ14" s="37"/>
      <c r="GR14" s="75"/>
      <c r="GS14" s="156"/>
      <c r="GT14" s="156"/>
      <c r="GU14" s="75"/>
      <c r="GV14" s="75"/>
      <c r="GW14" s="75"/>
      <c r="GX14" s="75"/>
      <c r="GY14" s="75"/>
      <c r="GZ14" s="75"/>
      <c r="HB14" s="4" t="str">
        <f t="shared" si="12"/>
        <v>ADEF</v>
      </c>
      <c r="HC14" s="44" t="s">
        <v>1</v>
      </c>
      <c r="HD14" s="45"/>
      <c r="HE14" s="45"/>
      <c r="HF14" s="44" t="s">
        <v>7</v>
      </c>
      <c r="HG14" s="44" t="s">
        <v>12</v>
      </c>
      <c r="HH14" s="44" t="s">
        <v>45</v>
      </c>
      <c r="HI14" s="178"/>
      <c r="HJ14" s="45" t="s">
        <v>153</v>
      </c>
      <c r="HK14" s="45" t="s">
        <v>154</v>
      </c>
      <c r="HL14" s="45" t="s">
        <v>150</v>
      </c>
      <c r="HM14" s="45" t="s">
        <v>149</v>
      </c>
    </row>
    <row r="15" spans="1:221" s="11" customFormat="1" ht="30" customHeight="1" thickBot="1" x14ac:dyDescent="0.3">
      <c r="A15" s="20"/>
      <c r="B15" s="122">
        <v>12</v>
      </c>
      <c r="C15" s="122" t="s">
        <v>45</v>
      </c>
      <c r="D15" s="123">
        <v>45461</v>
      </c>
      <c r="E15" s="122" t="s">
        <v>87</v>
      </c>
      <c r="F15" s="124">
        <v>0.875</v>
      </c>
      <c r="G15" s="125">
        <f t="shared" si="11"/>
        <v>45461.625</v>
      </c>
      <c r="H15" s="122" t="s">
        <v>100</v>
      </c>
      <c r="I15" s="126"/>
      <c r="J15" s="118"/>
      <c r="K15" s="118"/>
      <c r="L15" s="174">
        <f>IF(I15="",0,IFERROR(IF(SCORING.RULES!$C$8="No",1,((VLOOKUP($B15,ACTUALS!$B$4:$L$100,7,FALSE)=$H15)+(VLOOKUP($B15,ACTUALS!$B$4:$L$100,7,FALSE)=S15)))*(M15+N15+O15+P15+Q15),0))+$R15</f>
        <v>0</v>
      </c>
      <c r="M15" s="168">
        <f>IFERROR(IF($B15="","",IF(U15=INDEX(ACTUALS!$AA$4:$AA$100,MATCH($B15,ACTUALS!$B$4:$B$100,0),1),CorrectScore,0)),0)</f>
        <v>0</v>
      </c>
      <c r="N15" s="157" t="str">
        <f>IFERROR(IF(I15="","",IF(INDEX(ACTUALS!$AB$4:$AB$100,MATCH($B15,ACTUALS!$B$4:$B$100,0),1)=(AB15+AC15+AH15+AI15),CorrectNumberofGoals,0)),0)</f>
        <v/>
      </c>
      <c r="O15" s="157"/>
      <c r="P15" s="157">
        <f>IFERROR(IF(B15="","",IF(INDEX(ACTUALS!$L$4:$L$100,MATCH($B15,ACTUALS!$B$4:$B$100,0),1)=W15,CorrectResult,0)),0)</f>
        <v>3</v>
      </c>
      <c r="Q15" s="157"/>
      <c r="R15" s="157"/>
      <c r="S15" s="157" t="str">
        <f t="shared" si="0"/>
        <v/>
      </c>
      <c r="T15" s="157"/>
      <c r="U15" s="157" t="str">
        <f t="shared" si="1"/>
        <v/>
      </c>
      <c r="V15" s="157" t="str">
        <f t="shared" si="2"/>
        <v/>
      </c>
      <c r="W15" s="119" t="str">
        <f>IF(tblActuals3541519[[#This Row],[SCORE]]="","",IF(AB15=AC15,"Draw",IF(AB15&gt;AC15,X15,Y15)))</f>
        <v/>
      </c>
      <c r="X15" s="120" t="str">
        <f>IF(tblActuals3541519[[#This Row],[TEAMS]]="","",LEFT(H15,FIND(" -",H15,1)-1))</f>
        <v>Portugal</v>
      </c>
      <c r="Y15" s="120" t="str">
        <f>IF(tblActuals3541519[[#This Row],[TEAMS]]="","",MID(H15,FIND("-",H15,1)+2,LEN(H15)-FIND("-",H15,1)+2))</f>
        <v>Czechia</v>
      </c>
      <c r="Z15" s="120" t="str">
        <f>IF(tblActuals3541519[[#This Row],[Team 1 Goals]]&gt;tblActuals3541519[[#This Row],[Team 2 Goals]],tblActuals3541519[[#This Row],[Team 1]],IF(tblActuals3541519[[#This Row],[Team 2 Goals]]&gt;tblActuals3541519[[#This Row],[Team 1 Goals]],tblActuals3541519[[#This Row],[Team 2]],""))</f>
        <v/>
      </c>
      <c r="AA15" s="120" t="str">
        <f>IF(tblActuals3541519[[#This Row],[Winner]]=tblActuals3541519[[#This Row],[Team 1]],tblActuals3541519[[#This Row],[Team 2]],IF(tblActuals3541519[[#This Row],[Winner]]=tblActuals3541519[[#This Row],[Team 2]],tblActuals3541519[[#This Row],[Team 1]],""))</f>
        <v/>
      </c>
      <c r="AB15" s="120" t="str">
        <f>IF(tblActuals3541519[[#This Row],[SCORE]]="","",LEFT(I15,FIND(":",I15,1)-1)*1)</f>
        <v/>
      </c>
      <c r="AC15" s="120" t="str">
        <f>IF(tblActuals3541519[[#This Row],[SCORE]]="","",MID(I15,FIND(":",I15,1)+1,LEN(I15)-FIND(":",I15,1)+1)*1)</f>
        <v/>
      </c>
      <c r="AD15" s="120" t="str">
        <f>IF(OR(tblActuals3541519[[#This Row],[Team 1 Goals]]="",tblActuals3541519[[#This Row],[Team 2 Goals]]=""),"",tblActuals3541519[[#This Row],[Team 1 Goals]]-tblActuals3541519[[#This Row],[Team 2 Goals]])</f>
        <v/>
      </c>
      <c r="AE15" s="120" t="str">
        <f>IF(OR(tblActuals3541519[[#This Row],[Team 1 Goals]]="",tblActuals3541519[[#This Row],[Team 2 Goals]]=""),"",tblActuals3541519[[#This Row],[Team 2 Goals]]-tblActuals3541519[[#This Row],[Team 1 Goals]])</f>
        <v/>
      </c>
      <c r="AF15" s="120" t="str">
        <f>IF(tblActuals3541519[[#This Row],[SCORE]]="","",IF(tblActuals3541519[[#This Row],[WINNER / RESULT]]="Draw",1,IF(tblActuals3541519[[#This Row],[WINNER / RESULT]]=tblActuals3541519[[#This Row],[Team 1]],3,0)))</f>
        <v/>
      </c>
      <c r="AG15" s="120" t="str">
        <f>IF(tblActuals3541519[[#This Row],[SCORE]]="","",IF(tblActuals3541519[[#This Row],[WINNER / RESULT]]="Draw",1,IF(tblActuals3541519[[#This Row],[WINNER / RESULT]]=tblActuals3541519[[#This Row],[Team 2]],3,0)))</f>
        <v/>
      </c>
      <c r="AH15" s="121"/>
      <c r="AI15" s="121"/>
      <c r="AJ15" s="121"/>
      <c r="AK15" s="121"/>
      <c r="AL15" s="120" t="e">
        <f>tblActuals3541519[[#This Row],[Team 1 Goals]]+tblActuals3541519[[#This Row],[Team 1 ET Goals]]&amp;":"&amp;tblActuals3541519[[#This Row],[Team 2 Goals]]+tblActuals3541519[[#This Row],[Team 2 ET Goals]]</f>
        <v>#VALUE!</v>
      </c>
      <c r="AM15" s="120" t="e">
        <f>+tblActuals3541519[[#This Row],[Team 1 Goals]]+tblActuals3541519[[#This Row],[Team 2 Goals]]</f>
        <v>#VALUE!</v>
      </c>
      <c r="AN15" s="161">
        <f t="shared" si="3"/>
        <v>45461</v>
      </c>
      <c r="AT15" s="77" t="s">
        <v>5</v>
      </c>
      <c r="AU15" s="145">
        <v>4</v>
      </c>
      <c r="AV15" s="146" t="str">
        <f ca="1">IFERROR(INDEX(BD:BD,MATCH("4"&amp;AT15,BN:BN,0),1),"")</f>
        <v>Spain</v>
      </c>
      <c r="AW15" s="146" t="str">
        <f ca="1">IF(AV15="","",VLOOKUP(AV15,BD:BI,2,FALSE)&amp;"-"&amp;VLOOKUP(AV15,BD:BI,3,FALSE)&amp;"-"&amp;VLOOKUP(AV15,BD:BI,4,FALSE))</f>
        <v>0-0-0</v>
      </c>
      <c r="AX15" s="146">
        <f ca="1">IF(AV15="","",VLOOKUP(AV15,BD:BK,8,FALSE))</f>
        <v>0</v>
      </c>
      <c r="AY15" s="147">
        <f ca="1">IF(AV15="","",VLOOKUP(AV15,BD:BN,5,FALSE))</f>
        <v>0</v>
      </c>
      <c r="AZ15" s="75"/>
      <c r="BA15" s="4"/>
      <c r="BB15" s="4"/>
      <c r="BC15" s="4" t="s">
        <v>6</v>
      </c>
      <c r="BD15" s="4" t="s">
        <v>24</v>
      </c>
      <c r="BE15" s="4">
        <f>COUNTIF(tblActuals3541519[Winner],BD15)</f>
        <v>0</v>
      </c>
      <c r="BF15" s="4">
        <f>COUNTIFS(tblActuals3541519[Team 2],BD15,tblActuals3541519[WINNER / RESULT],"Draw")+COUNTIFS(tblActuals3541519[Team 1],BD15,tblActuals3541519[WINNER / RESULT],"Draw")</f>
        <v>0</v>
      </c>
      <c r="BG15" s="4">
        <f>COUNTIF(tblActuals3541519[Loser],BD15)</f>
        <v>0</v>
      </c>
      <c r="BH15" s="4">
        <f>BF15+(3*BE15)</f>
        <v>0</v>
      </c>
      <c r="BI15" s="4">
        <f>SUMIFS(tblActuals3541519[Team 1 Goals],tblActuals3541519[Team 1],BD15)+SUMIFS(tblActuals3541519[Team 2 Goals],tblActuals3541519[Team 2],BD15)</f>
        <v>0</v>
      </c>
      <c r="BJ15" s="4">
        <f>SUMIFS(tblActuals3541519[Team 2 Goals],tblActuals3541519[Team 1],BD15)+SUMIFS(tblActuals3541519[Team 1 Goals],tblActuals3541519[Team 2],BD15)</f>
        <v>0</v>
      </c>
      <c r="BK15" s="4">
        <f>BI15-BJ15</f>
        <v>0</v>
      </c>
      <c r="BL15" s="4">
        <f ca="1">RANK(BY15,$BY$14:$BY$17,1)</f>
        <v>2</v>
      </c>
      <c r="BM15" s="4" t="str">
        <f t="shared" si="4"/>
        <v/>
      </c>
      <c r="BN15" s="4" t="str">
        <f ca="1">IF(BM15="",BL15&amp;BC15,BM15&amp;BC15)</f>
        <v>2C</v>
      </c>
      <c r="BO15" s="4">
        <f>RANK(BH15,$BH$14:$BH$17,0)</f>
        <v>1</v>
      </c>
      <c r="BP15" s="4" cm="1">
        <f t="array" aca="1" ref="BP15" ca="1">SUMPRODUCT((OFFSET($CV$3:$EA$3,MATCH($BD15,$CU$4:$CU$35,0),0))*((IF($BO16=$BO15,$CV$3:$EA$3=$BD16,0))+(IF($BO17=$BO15,$CV$3:$EA$3=$BD17,0))+(IF($BO14=$BO15,$CV$3:$EA$3=$BD14,0))))</f>
        <v>0</v>
      </c>
      <c r="BQ15" s="4" cm="1">
        <f t="array" aca="1" ref="BQ15" ca="1">SUMPRODUCT((OFFSET($ED$3:$FI$3,MATCH($BD15,$EC$4:$EC$35,0),0))*((IF($BO16=$BO15,$ED$3:$FI$3=$BD16,0))+(IF($BO17=$BO15,$ED$3:$FI$3=$BD17,0))+(IF($BO14=$BO15,$ED$3:$FI$3=$BD14,0))))</f>
        <v>0</v>
      </c>
      <c r="BR15" s="4" cm="1">
        <f t="array" aca="1" ref="BR15" ca="1">SUMPRODUCT((OFFSET($FL$3:$GQ$3,MATCH($BD15,$FK$4:$FK$35,0),0))*((IF($BO16=$BO15,$FL$3:$GQ$3=$BD16,0))+(IF($BO17=$BO15,$FL$3:$GQ$3=$BD17,0))+(IF($BO14=$BO15,$FL$3:$GQ$3=$BD14,0))))</f>
        <v>0</v>
      </c>
      <c r="BS15" s="4" cm="1">
        <f t="array" aca="1" ref="BS15" ca="1">SUMPRODUCT((OFFSET($CV$3:$EA$3,MATCH($BD15,$CU$4:$CU$35,0),0))*((IF($BO16&lt;&gt;$BO15,$CV$3:$EA$3=$BD16,0))+(IF($BO17&lt;&gt;$BO15,$CV$3:$EA$3=$BD17,0))+(IF($BO14&lt;&gt;$BO15,$CV$3:$EA$3=$BD14,0))))</f>
        <v>0</v>
      </c>
      <c r="BT15" s="4" cm="1">
        <f t="array" aca="1" ref="BT15" ca="1">SUMPRODUCT((OFFSET($ED$3:$FI$3,MATCH($BD15,$EC$4:$EC$35,0),0))*((IF($BO16&lt;&gt;$BO15,$ED$3:$FI$3=$BD16,0))+(IF($BO17&lt;&gt;$BO15,$ED$3:$FI$3=$BD17,0))+(IF($BO14&lt;&gt;$BO15,$ED$3:$FI$3=$BD14,0))))</f>
        <v>0</v>
      </c>
      <c r="BU15" s="4" cm="1">
        <f t="array" aca="1" ref="BU15" ca="1">SUMPRODUCT((OFFSET($FL$3:$GQ$3,MATCH($BD15,$FK$4:$FK$35,0),0))*((IF($BO16&lt;&gt;$BO15,$FL$3:$GQ$3=$BD16,0))+(IF($BO17&lt;&gt;$BO15,$FL$3:$GQ$3=$BD17,0))+(IF($BO14&lt;&gt;$BO15,$FL$3:$GQ$3=$BD14,0))))</f>
        <v>0</v>
      </c>
      <c r="BV15" s="4">
        <f>BK15</f>
        <v>0</v>
      </c>
      <c r="BW15" s="4">
        <f>BI15</f>
        <v>0</v>
      </c>
      <c r="BX15" s="4">
        <f ca="1">(BP15/10)+(BQ15/100)+(BR15/1000)+(BT15/10000)+(BU15/100000)+(BV15/1000000)+(BW15/10000000)+(ROW(BS16)/100000000)</f>
        <v>1.6E-7</v>
      </c>
      <c r="BY15" s="4">
        <f ca="1">+BO15-BX15</f>
        <v>0.99999983999999997</v>
      </c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U15" s="4" t="s">
        <v>24</v>
      </c>
      <c r="CV15" s="56">
        <f>SUMIFS(tblActuals3541519[Team 2 Points],tblActuals3541519[Team 2],$CU15,tblActuals3541519[Team 1],CV$3)+SUMIFS(tblActuals3541519[Team 1 Points],tblActuals3541519[Team 1],$CU15,tblActuals3541519[Team 2],CV$3)</f>
        <v>0</v>
      </c>
      <c r="CW15" s="56">
        <f>SUMIFS(tblActuals3541519[Team 2 Points],tblActuals3541519[Team 2],$CU15,tblActuals3541519[Team 1],CW$3)+SUMIFS(tblActuals3541519[Team 1 Points],tblActuals3541519[Team 1],$CU15,tblActuals3541519[Team 2],CW$3)</f>
        <v>0</v>
      </c>
      <c r="CX15" s="56">
        <f>SUMIFS(tblActuals3541519[Team 2 Points],tblActuals3541519[Team 2],$CU15,tblActuals3541519[Team 1],CX$3)+SUMIFS(tblActuals3541519[Team 1 Points],tblActuals3541519[Team 1],$CU15,tblActuals3541519[Team 2],CX$3)</f>
        <v>0</v>
      </c>
      <c r="CY15" s="56">
        <f>SUMIFS(tblActuals3541519[Team 2 Points],tblActuals3541519[Team 2],$CU15,tblActuals3541519[Team 1],CY$3)+SUMIFS(tblActuals3541519[Team 1 Points],tblActuals3541519[Team 1],$CU15,tblActuals3541519[Team 2],CY$3)</f>
        <v>0</v>
      </c>
      <c r="CZ15" s="56">
        <f>SUMIFS(tblActuals3541519[Team 2 Points],tblActuals3541519[Team 2],$CU15,tblActuals3541519[Team 1],CZ$3)+SUMIFS(tblActuals3541519[Team 1 Points],tblActuals3541519[Team 1],$CU15,tblActuals3541519[Team 2],CZ$3)</f>
        <v>0</v>
      </c>
      <c r="DA15" s="56">
        <f>SUMIFS(tblActuals3541519[Team 2 Points],tblActuals3541519[Team 2],$CU15,tblActuals3541519[Team 1],DA$3)+SUMIFS(tblActuals3541519[Team 1 Points],tblActuals3541519[Team 1],$CU15,tblActuals3541519[Team 2],DA$3)</f>
        <v>0</v>
      </c>
      <c r="DB15" s="56">
        <f>SUMIFS(tblActuals3541519[Team 2 Points],tblActuals3541519[Team 2],$CU15,tblActuals3541519[Team 1],DB$3)+SUMIFS(tblActuals3541519[Team 1 Points],tblActuals3541519[Team 1],$CU15,tblActuals3541519[Team 2],DB$3)</f>
        <v>0</v>
      </c>
      <c r="DC15" s="56">
        <f>SUMIFS(tblActuals3541519[Team 2 Points],tblActuals3541519[Team 2],$CU15,tblActuals3541519[Team 1],DC$3)+SUMIFS(tblActuals3541519[Team 1 Points],tblActuals3541519[Team 1],$CU15,tblActuals3541519[Team 2],DC$3)</f>
        <v>0</v>
      </c>
      <c r="DD15" s="56">
        <f>SUMIFS(tblActuals3541519[Team 2 Points],tblActuals3541519[Team 2],$CU15,tblActuals3541519[Team 1],DD$3)+SUMIFS(tblActuals3541519[Team 1 Points],tblActuals3541519[Team 1],$CU15,tblActuals3541519[Team 2],DD$3)</f>
        <v>0</v>
      </c>
      <c r="DE15" s="56">
        <f>SUMIFS(tblActuals3541519[Team 2 Points],tblActuals3541519[Team 2],$CU15,tblActuals3541519[Team 1],DE$3)+SUMIFS(tblActuals3541519[Team 1 Points],tblActuals3541519[Team 1],$CU15,tblActuals3541519[Team 2],DE$3)</f>
        <v>0</v>
      </c>
      <c r="DF15" s="56">
        <f>SUMIFS(tblActuals3541519[Team 2 Points],tblActuals3541519[Team 2],$CU15,tblActuals3541519[Team 1],DF$3)+SUMIFS(tblActuals3541519[Team 1 Points],tblActuals3541519[Team 1],$CU15,tblActuals3541519[Team 2],DF$3)</f>
        <v>0</v>
      </c>
      <c r="DG15" s="56">
        <f>SUMIFS(tblActuals3541519[Team 2 Points],tblActuals3541519[Team 2],$CU15,tblActuals3541519[Team 1],DG$3)+SUMIFS(tblActuals3541519[Team 1 Points],tblActuals3541519[Team 1],$CU15,tblActuals3541519[Team 2],DG$3)</f>
        <v>0</v>
      </c>
      <c r="DH15" s="56">
        <f>SUMIFS(tblActuals3541519[Team 2 Points],tblActuals3541519[Team 2],$CU15,tblActuals3541519[Team 1],DH$3)+SUMIFS(tblActuals3541519[Team 1 Points],tblActuals3541519[Team 1],$CU15,tblActuals3541519[Team 2],DH$3)</f>
        <v>0</v>
      </c>
      <c r="DI15" s="56">
        <f>SUMIFS(tblActuals3541519[Team 2 Points],tblActuals3541519[Team 2],$CU15,tblActuals3541519[Team 1],DI$3)+SUMIFS(tblActuals3541519[Team 1 Points],tblActuals3541519[Team 1],$CU15,tblActuals3541519[Team 2],DI$3)</f>
        <v>0</v>
      </c>
      <c r="DJ15" s="56">
        <f>SUMIFS(tblActuals3541519[Team 2 Points],tblActuals3541519[Team 2],$CU15,tblActuals3541519[Team 1],DJ$3)+SUMIFS(tblActuals3541519[Team 1 Points],tblActuals3541519[Team 1],$CU15,tblActuals3541519[Team 2],DJ$3)</f>
        <v>0</v>
      </c>
      <c r="DK15" s="56">
        <f>SUMIFS(tblActuals3541519[Team 2 Points],tblActuals3541519[Team 2],$CU15,tblActuals3541519[Team 1],DK$3)+SUMIFS(tblActuals3541519[Team 1 Points],tblActuals3541519[Team 1],$CU15,tblActuals3541519[Team 2],DK$3)</f>
        <v>0</v>
      </c>
      <c r="DL15" s="56">
        <f>SUMIFS(tblActuals3541519[Team 2 Points],tblActuals3541519[Team 2],$CU15,tblActuals3541519[Team 1],DL$3)+SUMIFS(tblActuals3541519[Team 1 Points],tblActuals3541519[Team 1],$CU15,tblActuals3541519[Team 2],DL$3)</f>
        <v>0</v>
      </c>
      <c r="DM15" s="56">
        <f>SUMIFS(tblActuals3541519[Team 2 Points],tblActuals3541519[Team 2],$CU15,tblActuals3541519[Team 1],DM$3)+SUMIFS(tblActuals3541519[Team 1 Points],tblActuals3541519[Team 1],$CU15,tblActuals3541519[Team 2],DM$3)</f>
        <v>0</v>
      </c>
      <c r="DN15" s="56">
        <f>SUMIFS(tblActuals3541519[Team 2 Points],tblActuals3541519[Team 2],$CU15,tblActuals3541519[Team 1],DN$3)+SUMIFS(tblActuals3541519[Team 1 Points],tblActuals3541519[Team 1],$CU15,tblActuals3541519[Team 2],DN$3)</f>
        <v>0</v>
      </c>
      <c r="DO15" s="56">
        <f>SUMIFS(tblActuals3541519[Team 2 Points],tblActuals3541519[Team 2],$CU15,tblActuals3541519[Team 1],DO$3)+SUMIFS(tblActuals3541519[Team 1 Points],tblActuals3541519[Team 1],$CU15,tblActuals3541519[Team 2],DO$3)</f>
        <v>0</v>
      </c>
      <c r="DP15" s="56">
        <f>SUMIFS(tblActuals3541519[Team 2 Points],tblActuals3541519[Team 2],$CU15,tblActuals3541519[Team 1],DP$3)+SUMIFS(tblActuals3541519[Team 1 Points],tblActuals3541519[Team 1],$CU15,tblActuals3541519[Team 2],DP$3)</f>
        <v>0</v>
      </c>
      <c r="DQ15" s="56">
        <f>SUMIFS(tblActuals3541519[Team 2 Points],tblActuals3541519[Team 2],$CU15,tblActuals3541519[Team 1],DQ$3)+SUMIFS(tblActuals3541519[Team 1 Points],tblActuals3541519[Team 1],$CU15,tblActuals3541519[Team 2],DQ$3)</f>
        <v>0</v>
      </c>
      <c r="DR15" s="56">
        <f>SUMIFS(tblActuals3541519[Team 2 Points],tblActuals3541519[Team 2],$CU15,tblActuals3541519[Team 1],DR$3)+SUMIFS(tblActuals3541519[Team 1 Points],tblActuals3541519[Team 1],$CU15,tblActuals3541519[Team 2],DR$3)</f>
        <v>0</v>
      </c>
      <c r="DS15" s="56">
        <f>SUMIFS(tblActuals3541519[Team 2 Points],tblActuals3541519[Team 2],$CU15,tblActuals3541519[Team 1],DS$3)+SUMIFS(tblActuals3541519[Team 1 Points],tblActuals3541519[Team 1],$CU15,tblActuals3541519[Team 2],DS$3)</f>
        <v>0</v>
      </c>
      <c r="DT15" s="57"/>
      <c r="DU15" s="57"/>
      <c r="DV15" s="57"/>
      <c r="DW15" s="57"/>
      <c r="DX15" s="57"/>
      <c r="DY15" s="57"/>
      <c r="DZ15" s="57"/>
      <c r="EA15" s="57"/>
      <c r="EB15" s="4"/>
      <c r="EC15" s="4" t="s">
        <v>24</v>
      </c>
      <c r="ED15" s="56">
        <f>SUMIFS(tblActuals3541519[Team 2 GD],tblActuals3541519[Team 2],$CU15,tblActuals3541519[Team 1],ED$3)+SUMIFS(tblActuals3541519[Team 1 GD],tblActuals3541519[Team 1],$CU15,tblActuals3541519[Team 2],ED$3)</f>
        <v>0</v>
      </c>
      <c r="EE15" s="56">
        <f>SUMIFS(tblActuals3541519[Team 2 GD],tblActuals3541519[Team 2],$CU15,tblActuals3541519[Team 1],EE$3)+SUMIFS(tblActuals3541519[Team 1 GD],tblActuals3541519[Team 1],$CU15,tblActuals3541519[Team 2],EE$3)</f>
        <v>0</v>
      </c>
      <c r="EF15" s="56">
        <f>SUMIFS(tblActuals3541519[Team 2 GD],tblActuals3541519[Team 2],$CU15,tblActuals3541519[Team 1],EF$3)+SUMIFS(tblActuals3541519[Team 1 GD],tblActuals3541519[Team 1],$CU15,tblActuals3541519[Team 2],EF$3)</f>
        <v>0</v>
      </c>
      <c r="EG15" s="56">
        <f>SUMIFS(tblActuals3541519[Team 2 GD],tblActuals3541519[Team 2],$CU15,tblActuals3541519[Team 1],EG$3)+SUMIFS(tblActuals3541519[Team 1 GD],tblActuals3541519[Team 1],$CU15,tblActuals3541519[Team 2],EG$3)</f>
        <v>0</v>
      </c>
      <c r="EH15" s="56">
        <f>SUMIFS(tblActuals3541519[Team 2 GD],tblActuals3541519[Team 2],$CU15,tblActuals3541519[Team 1],EH$3)+SUMIFS(tblActuals3541519[Team 1 GD],tblActuals3541519[Team 1],$CU15,tblActuals3541519[Team 2],EH$3)</f>
        <v>0</v>
      </c>
      <c r="EI15" s="56">
        <f>SUMIFS(tblActuals3541519[Team 2 GD],tblActuals3541519[Team 2],$CU15,tblActuals3541519[Team 1],EI$3)+SUMIFS(tblActuals3541519[Team 1 GD],tblActuals3541519[Team 1],$CU15,tblActuals3541519[Team 2],EI$3)</f>
        <v>0</v>
      </c>
      <c r="EJ15" s="56">
        <f>SUMIFS(tblActuals3541519[Team 2 GD],tblActuals3541519[Team 2],$CU15,tblActuals3541519[Team 1],EJ$3)+SUMIFS(tblActuals3541519[Team 1 GD],tblActuals3541519[Team 1],$CU15,tblActuals3541519[Team 2],EJ$3)</f>
        <v>0</v>
      </c>
      <c r="EK15" s="56">
        <f>SUMIFS(tblActuals3541519[Team 2 GD],tblActuals3541519[Team 2],$CU15,tblActuals3541519[Team 1],EK$3)+SUMIFS(tblActuals3541519[Team 1 GD],tblActuals3541519[Team 1],$CU15,tblActuals3541519[Team 2],EK$3)</f>
        <v>0</v>
      </c>
      <c r="EL15" s="56">
        <f>SUMIFS(tblActuals3541519[Team 2 GD],tblActuals3541519[Team 2],$CU15,tblActuals3541519[Team 1],EL$3)+SUMIFS(tblActuals3541519[Team 1 GD],tblActuals3541519[Team 1],$CU15,tblActuals3541519[Team 2],EL$3)</f>
        <v>0</v>
      </c>
      <c r="EM15" s="56">
        <f>SUMIFS(tblActuals3541519[Team 2 GD],tblActuals3541519[Team 2],$CU15,tblActuals3541519[Team 1],EM$3)+SUMIFS(tblActuals3541519[Team 1 GD],tblActuals3541519[Team 1],$CU15,tblActuals3541519[Team 2],EM$3)</f>
        <v>0</v>
      </c>
      <c r="EN15" s="56">
        <f>SUMIFS(tblActuals3541519[Team 2 GD],tblActuals3541519[Team 2],$CU15,tblActuals3541519[Team 1],EN$3)+SUMIFS(tblActuals3541519[Team 1 GD],tblActuals3541519[Team 1],$CU15,tblActuals3541519[Team 2],EN$3)</f>
        <v>0</v>
      </c>
      <c r="EO15" s="56">
        <f>SUMIFS(tblActuals3541519[Team 2 GD],tblActuals3541519[Team 2],$CU15,tblActuals3541519[Team 1],EO$3)+SUMIFS(tblActuals3541519[Team 1 GD],tblActuals3541519[Team 1],$CU15,tblActuals3541519[Team 2],EO$3)</f>
        <v>0</v>
      </c>
      <c r="EP15" s="56">
        <f>SUMIFS(tblActuals3541519[Team 2 GD],tblActuals3541519[Team 2],$CU15,tblActuals3541519[Team 1],EP$3)+SUMIFS(tblActuals3541519[Team 1 GD],tblActuals3541519[Team 1],$CU15,tblActuals3541519[Team 2],EP$3)</f>
        <v>0</v>
      </c>
      <c r="EQ15" s="56">
        <f>SUMIFS(tblActuals3541519[Team 2 GD],tblActuals3541519[Team 2],$CU15,tblActuals3541519[Team 1],EQ$3)+SUMIFS(tblActuals3541519[Team 1 GD],tblActuals3541519[Team 1],$CU15,tblActuals3541519[Team 2],EQ$3)</f>
        <v>0</v>
      </c>
      <c r="ER15" s="56">
        <f>SUMIFS(tblActuals3541519[Team 2 GD],tblActuals3541519[Team 2],$CU15,tblActuals3541519[Team 1],ER$3)+SUMIFS(tblActuals3541519[Team 1 GD],tblActuals3541519[Team 1],$CU15,tblActuals3541519[Team 2],ER$3)</f>
        <v>0</v>
      </c>
      <c r="ES15" s="56">
        <f>SUMIFS(tblActuals3541519[Team 2 GD],tblActuals3541519[Team 2],$CU15,tblActuals3541519[Team 1],ES$3)+SUMIFS(tblActuals3541519[Team 1 GD],tblActuals3541519[Team 1],$CU15,tblActuals3541519[Team 2],ES$3)</f>
        <v>0</v>
      </c>
      <c r="ET15" s="56">
        <f>SUMIFS(tblActuals3541519[Team 2 GD],tblActuals3541519[Team 2],$CU15,tblActuals3541519[Team 1],ET$3)+SUMIFS(tblActuals3541519[Team 1 GD],tblActuals3541519[Team 1],$CU15,tblActuals3541519[Team 2],ET$3)</f>
        <v>0</v>
      </c>
      <c r="EU15" s="56">
        <f>SUMIFS(tblActuals3541519[Team 2 GD],tblActuals3541519[Team 2],$CU15,tblActuals3541519[Team 1],EU$3)+SUMIFS(tblActuals3541519[Team 1 GD],tblActuals3541519[Team 1],$CU15,tblActuals3541519[Team 2],EU$3)</f>
        <v>0</v>
      </c>
      <c r="EV15" s="56">
        <f>SUMIFS(tblActuals3541519[Team 2 GD],tblActuals3541519[Team 2],$CU15,tblActuals3541519[Team 1],EV$3)+SUMIFS(tblActuals3541519[Team 1 GD],tblActuals3541519[Team 1],$CU15,tblActuals3541519[Team 2],EV$3)</f>
        <v>0</v>
      </c>
      <c r="EW15" s="56">
        <f>SUMIFS(tblActuals3541519[Team 2 GD],tblActuals3541519[Team 2],$CU15,tblActuals3541519[Team 1],EW$3)+SUMIFS(tblActuals3541519[Team 1 GD],tblActuals3541519[Team 1],$CU15,tblActuals3541519[Team 2],EW$3)</f>
        <v>0</v>
      </c>
      <c r="EX15" s="56">
        <f>SUMIFS(tblActuals3541519[Team 2 GD],tblActuals3541519[Team 2],$CU15,tblActuals3541519[Team 1],EX$3)+SUMIFS(tblActuals3541519[Team 1 GD],tblActuals3541519[Team 1],$CU15,tblActuals3541519[Team 2],EX$3)</f>
        <v>0</v>
      </c>
      <c r="EY15" s="56">
        <f>SUMIFS(tblActuals3541519[Team 2 GD],tblActuals3541519[Team 2],$CU15,tblActuals3541519[Team 1],EY$3)+SUMIFS(tblActuals3541519[Team 1 GD],tblActuals3541519[Team 1],$CU15,tblActuals3541519[Team 2],EY$3)</f>
        <v>0</v>
      </c>
      <c r="EZ15" s="56">
        <f>SUMIFS(tblActuals3541519[Team 2 GD],tblActuals3541519[Team 2],$CU15,tblActuals3541519[Team 1],EZ$3)+SUMIFS(tblActuals3541519[Team 1 GD],tblActuals3541519[Team 1],$CU15,tblActuals3541519[Team 2],EZ$3)</f>
        <v>0</v>
      </c>
      <c r="FA15" s="56">
        <f>SUMIFS(tblActuals3541519[Team 2 GD],tblActuals3541519[Team 2],$CU15,tblActuals3541519[Team 1],FA$3)+SUMIFS(tblActuals3541519[Team 1 GD],tblActuals3541519[Team 1],$CU15,tblActuals3541519[Team 2],FA$3)</f>
        <v>0</v>
      </c>
      <c r="FB15" s="57"/>
      <c r="FC15" s="57"/>
      <c r="FD15" s="57"/>
      <c r="FE15" s="57"/>
      <c r="FF15" s="57"/>
      <c r="FG15" s="57"/>
      <c r="FH15" s="57"/>
      <c r="FI15" s="57"/>
      <c r="FJ15" s="4"/>
      <c r="FK15" s="4" t="s">
        <v>24</v>
      </c>
      <c r="FL15" s="56">
        <f>SUMIFS(tblActuals3541519[Team 2 Goals],tblActuals3541519[Team 2],$CU15,tblActuals3541519[Team 1],FL$3)+SUMIFS(tblActuals3541519[Team 1 Goals],tblActuals3541519[Team 1],$CU15,tblActuals3541519[Team 2],FL$3)</f>
        <v>0</v>
      </c>
      <c r="FM15" s="56">
        <f>SUMIFS(tblActuals3541519[Team 2 Goals],tblActuals3541519[Team 2],$CU15,tblActuals3541519[Team 1],FM$3)+SUMIFS(tblActuals3541519[Team 1 Goals],tblActuals3541519[Team 1],$CU15,tblActuals3541519[Team 2],FM$3)</f>
        <v>0</v>
      </c>
      <c r="FN15" s="56">
        <f>SUMIFS(tblActuals3541519[Team 2 Goals],tblActuals3541519[Team 2],$CU15,tblActuals3541519[Team 1],FN$3)+SUMIFS(tblActuals3541519[Team 1 Goals],tblActuals3541519[Team 1],$CU15,tblActuals3541519[Team 2],FN$3)</f>
        <v>0</v>
      </c>
      <c r="FO15" s="56">
        <f>SUMIFS(tblActuals3541519[Team 2 Goals],tblActuals3541519[Team 2],$CU15,tblActuals3541519[Team 1],FO$3)+SUMIFS(tblActuals3541519[Team 1 Goals],tblActuals3541519[Team 1],$CU15,tblActuals3541519[Team 2],FO$3)</f>
        <v>0</v>
      </c>
      <c r="FP15" s="56">
        <f>SUMIFS(tblActuals3541519[Team 2 Goals],tblActuals3541519[Team 2],$CU15,tblActuals3541519[Team 1],FP$3)+SUMIFS(tblActuals3541519[Team 1 Goals],tblActuals3541519[Team 1],$CU15,tblActuals3541519[Team 2],FP$3)</f>
        <v>0</v>
      </c>
      <c r="FQ15" s="56">
        <f>SUMIFS(tblActuals3541519[Team 2 Goals],tblActuals3541519[Team 2],$CU15,tblActuals3541519[Team 1],FQ$3)+SUMIFS(tblActuals3541519[Team 1 Goals],tblActuals3541519[Team 1],$CU15,tblActuals3541519[Team 2],FQ$3)</f>
        <v>0</v>
      </c>
      <c r="FR15" s="56">
        <f>SUMIFS(tblActuals3541519[Team 2 Goals],tblActuals3541519[Team 2],$CU15,tblActuals3541519[Team 1],FR$3)+SUMIFS(tblActuals3541519[Team 1 Goals],tblActuals3541519[Team 1],$CU15,tblActuals3541519[Team 2],FR$3)</f>
        <v>0</v>
      </c>
      <c r="FS15" s="56">
        <f>SUMIFS(tblActuals3541519[Team 2 Goals],tblActuals3541519[Team 2],$CU15,tblActuals3541519[Team 1],FS$3)+SUMIFS(tblActuals3541519[Team 1 Goals],tblActuals3541519[Team 1],$CU15,tblActuals3541519[Team 2],FS$3)</f>
        <v>0</v>
      </c>
      <c r="FT15" s="56">
        <f>SUMIFS(tblActuals3541519[Team 2 Goals],tblActuals3541519[Team 2],$CU15,tblActuals3541519[Team 1],FT$3)+SUMIFS(tblActuals3541519[Team 1 Goals],tblActuals3541519[Team 1],$CU15,tblActuals3541519[Team 2],FT$3)</f>
        <v>0</v>
      </c>
      <c r="FU15" s="56">
        <f>SUMIFS(tblActuals3541519[Team 2 Goals],tblActuals3541519[Team 2],$CU15,tblActuals3541519[Team 1],FU$3)+SUMIFS(tblActuals3541519[Team 1 Goals],tblActuals3541519[Team 1],$CU15,tblActuals3541519[Team 2],FU$3)</f>
        <v>0</v>
      </c>
      <c r="FV15" s="56">
        <f>SUMIFS(tblActuals3541519[Team 2 Goals],tblActuals3541519[Team 2],$CU15,tblActuals3541519[Team 1],FV$3)+SUMIFS(tblActuals3541519[Team 1 Goals],tblActuals3541519[Team 1],$CU15,tblActuals3541519[Team 2],FV$3)</f>
        <v>0</v>
      </c>
      <c r="FW15" s="56">
        <f>SUMIFS(tblActuals3541519[Team 2 Goals],tblActuals3541519[Team 2],$CU15,tblActuals3541519[Team 1],FW$3)+SUMIFS(tblActuals3541519[Team 1 Goals],tblActuals3541519[Team 1],$CU15,tblActuals3541519[Team 2],FW$3)</f>
        <v>0</v>
      </c>
      <c r="FX15" s="56">
        <f>SUMIFS(tblActuals3541519[Team 2 Goals],tblActuals3541519[Team 2],$CU15,tblActuals3541519[Team 1],FX$3)+SUMIFS(tblActuals3541519[Team 1 Goals],tblActuals3541519[Team 1],$CU15,tblActuals3541519[Team 2],FX$3)</f>
        <v>0</v>
      </c>
      <c r="FY15" s="56">
        <f>SUMIFS(tblActuals3541519[Team 2 Goals],tblActuals3541519[Team 2],$CU15,tblActuals3541519[Team 1],FY$3)+SUMIFS(tblActuals3541519[Team 1 Goals],tblActuals3541519[Team 1],$CU15,tblActuals3541519[Team 2],FY$3)</f>
        <v>0</v>
      </c>
      <c r="FZ15" s="56">
        <f>SUMIFS(tblActuals3541519[Team 2 Goals],tblActuals3541519[Team 2],$CU15,tblActuals3541519[Team 1],FZ$3)+SUMIFS(tblActuals3541519[Team 1 Goals],tblActuals3541519[Team 1],$CU15,tblActuals3541519[Team 2],FZ$3)</f>
        <v>0</v>
      </c>
      <c r="GA15" s="56">
        <f>SUMIFS(tblActuals3541519[Team 2 Goals],tblActuals3541519[Team 2],$CU15,tblActuals3541519[Team 1],GA$3)+SUMIFS(tblActuals3541519[Team 1 Goals],tblActuals3541519[Team 1],$CU15,tblActuals3541519[Team 2],GA$3)</f>
        <v>0</v>
      </c>
      <c r="GB15" s="56">
        <f>SUMIFS(tblActuals3541519[Team 2 Goals],tblActuals3541519[Team 2],$CU15,tblActuals3541519[Team 1],GB$3)+SUMIFS(tblActuals3541519[Team 1 Goals],tblActuals3541519[Team 1],$CU15,tblActuals3541519[Team 2],GB$3)</f>
        <v>0</v>
      </c>
      <c r="GC15" s="56">
        <f>SUMIFS(tblActuals3541519[Team 2 Goals],tblActuals3541519[Team 2],$CU15,tblActuals3541519[Team 1],GC$3)+SUMIFS(tblActuals3541519[Team 1 Goals],tblActuals3541519[Team 1],$CU15,tblActuals3541519[Team 2],GC$3)</f>
        <v>0</v>
      </c>
      <c r="GD15" s="56">
        <f>SUMIFS(tblActuals3541519[Team 2 Goals],tblActuals3541519[Team 2],$CU15,tblActuals3541519[Team 1],GD$3)+SUMIFS(tblActuals3541519[Team 1 Goals],tblActuals3541519[Team 1],$CU15,tblActuals3541519[Team 2],GD$3)</f>
        <v>0</v>
      </c>
      <c r="GE15" s="56">
        <f>SUMIFS(tblActuals3541519[Team 2 Goals],tblActuals3541519[Team 2],$CU15,tblActuals3541519[Team 1],GE$3)+SUMIFS(tblActuals3541519[Team 1 Goals],tblActuals3541519[Team 1],$CU15,tblActuals3541519[Team 2],GE$3)</f>
        <v>0</v>
      </c>
      <c r="GF15" s="56">
        <f>SUMIFS(tblActuals3541519[Team 2 Goals],tblActuals3541519[Team 2],$CU15,tblActuals3541519[Team 1],GF$3)+SUMIFS(tblActuals3541519[Team 1 Goals],tblActuals3541519[Team 1],$CU15,tblActuals3541519[Team 2],GF$3)</f>
        <v>0</v>
      </c>
      <c r="GG15" s="56">
        <f>SUMIFS(tblActuals3541519[Team 2 Goals],tblActuals3541519[Team 2],$CU15,tblActuals3541519[Team 1],GG$3)+SUMIFS(tblActuals3541519[Team 1 Goals],tblActuals3541519[Team 1],$CU15,tblActuals3541519[Team 2],GG$3)</f>
        <v>0</v>
      </c>
      <c r="GH15" s="56">
        <f>SUMIFS(tblActuals3541519[Team 2 Goals],tblActuals3541519[Team 2],$CU15,tblActuals3541519[Team 1],GH$3)+SUMIFS(tblActuals3541519[Team 1 Goals],tblActuals3541519[Team 1],$CU15,tblActuals3541519[Team 2],GH$3)</f>
        <v>0</v>
      </c>
      <c r="GI15" s="56">
        <f>SUMIFS(tblActuals3541519[Team 2 Goals],tblActuals3541519[Team 2],$CU15,tblActuals3541519[Team 1],GI$3)+SUMIFS(tblActuals3541519[Team 1 Goals],tblActuals3541519[Team 1],$CU15,tblActuals3541519[Team 2],GI$3)</f>
        <v>0</v>
      </c>
      <c r="GJ15" s="57"/>
      <c r="GK15" s="57"/>
      <c r="GL15" s="37"/>
      <c r="GM15" s="37"/>
      <c r="GN15" s="37"/>
      <c r="GO15" s="37"/>
      <c r="GP15" s="37"/>
      <c r="GQ15" s="37"/>
      <c r="GR15" s="75"/>
      <c r="GS15" s="156"/>
      <c r="GT15" s="156"/>
      <c r="GU15" s="75"/>
      <c r="GV15" s="75"/>
      <c r="GW15" s="75"/>
      <c r="GX15" s="75"/>
      <c r="GY15" s="75"/>
      <c r="GZ15" s="75"/>
      <c r="HB15" s="4" t="str">
        <f t="shared" si="12"/>
        <v>BCDE</v>
      </c>
      <c r="HC15" s="45"/>
      <c r="HD15" s="44" t="s">
        <v>5</v>
      </c>
      <c r="HE15" s="44" t="s">
        <v>6</v>
      </c>
      <c r="HF15" s="44" t="s">
        <v>7</v>
      </c>
      <c r="HG15" s="44" t="s">
        <v>12</v>
      </c>
      <c r="HH15" s="45"/>
      <c r="HI15" s="178"/>
      <c r="HJ15" s="45" t="s">
        <v>153</v>
      </c>
      <c r="HK15" s="45" t="s">
        <v>150</v>
      </c>
      <c r="HL15" s="45" t="s">
        <v>151</v>
      </c>
      <c r="HM15" s="45" t="s">
        <v>152</v>
      </c>
    </row>
    <row r="16" spans="1:221" s="11" customFormat="1" ht="30" customHeight="1" thickBot="1" x14ac:dyDescent="0.3">
      <c r="A16" s="20"/>
      <c r="B16" s="122">
        <v>13</v>
      </c>
      <c r="C16" s="122" t="s">
        <v>1</v>
      </c>
      <c r="D16" s="123">
        <v>45462</v>
      </c>
      <c r="E16" s="122" t="s">
        <v>79</v>
      </c>
      <c r="F16" s="124">
        <v>0.875</v>
      </c>
      <c r="G16" s="125">
        <f t="shared" si="11"/>
        <v>45462.625</v>
      </c>
      <c r="H16" s="122" t="s">
        <v>101</v>
      </c>
      <c r="I16" s="126"/>
      <c r="J16" s="118"/>
      <c r="K16" s="118"/>
      <c r="L16" s="174">
        <f>IF(I16="",0,IFERROR(IF(SCORING.RULES!$C$8="No",1,((VLOOKUP($B16,ACTUALS!$B$4:$L$100,7,FALSE)=$H16)+(VLOOKUP($B16,ACTUALS!$B$4:$L$100,7,FALSE)=S16)))*(M16+N16+O16+P16+Q16),0))+$R16</f>
        <v>0</v>
      </c>
      <c r="M16" s="168">
        <f>IFERROR(IF($B16="","",IF(U16=INDEX(ACTUALS!$AA$4:$AA$100,MATCH($B16,ACTUALS!$B$4:$B$100,0),1),CorrectScore,0)),0)</f>
        <v>0</v>
      </c>
      <c r="N16" s="157" t="str">
        <f>IFERROR(IF(I16="","",IF(INDEX(ACTUALS!$AB$4:$AB$100,MATCH($B16,ACTUALS!$B$4:$B$100,0),1)=(AB16+AC16+AH16+AI16),CorrectNumberofGoals,0)),0)</f>
        <v/>
      </c>
      <c r="O16" s="157"/>
      <c r="P16" s="157">
        <f>IFERROR(IF(B16="","",IF(INDEX(ACTUALS!$L$4:$L$100,MATCH($B16,ACTUALS!$B$4:$B$100,0),1)=W16,CorrectResult,0)),0)</f>
        <v>3</v>
      </c>
      <c r="Q16" s="157"/>
      <c r="R16" s="157"/>
      <c r="S16" s="157" t="str">
        <f t="shared" si="0"/>
        <v/>
      </c>
      <c r="T16" s="157"/>
      <c r="U16" s="157" t="str">
        <f t="shared" si="1"/>
        <v/>
      </c>
      <c r="V16" s="157" t="str">
        <f t="shared" si="2"/>
        <v/>
      </c>
      <c r="W16" s="119" t="str">
        <f>IF(tblActuals3541519[[#This Row],[SCORE]]="","",IF(AB16=AC16,"Draw",IF(AB16&gt;AC16,X16,Y16)))</f>
        <v/>
      </c>
      <c r="X16" s="120" t="str">
        <f>IF(tblActuals3541519[[#This Row],[TEAMS]]="","",LEFT(H16,FIND(" -",H16,1)-1))</f>
        <v>Scotland</v>
      </c>
      <c r="Y16" s="120" t="str">
        <f>IF(tblActuals3541519[[#This Row],[TEAMS]]="","",MID(H16,FIND("-",H16,1)+2,LEN(H16)-FIND("-",H16,1)+2))</f>
        <v>Switzerland</v>
      </c>
      <c r="Z16" s="120" t="str">
        <f>IF(tblActuals3541519[[#This Row],[Team 1 Goals]]&gt;tblActuals3541519[[#This Row],[Team 2 Goals]],tblActuals3541519[[#This Row],[Team 1]],IF(tblActuals3541519[[#This Row],[Team 2 Goals]]&gt;tblActuals3541519[[#This Row],[Team 1 Goals]],tblActuals3541519[[#This Row],[Team 2]],""))</f>
        <v/>
      </c>
      <c r="AA16" s="120" t="str">
        <f>IF(tblActuals3541519[[#This Row],[Winner]]=tblActuals3541519[[#This Row],[Team 1]],tblActuals3541519[[#This Row],[Team 2]],IF(tblActuals3541519[[#This Row],[Winner]]=tblActuals3541519[[#This Row],[Team 2]],tblActuals3541519[[#This Row],[Team 1]],""))</f>
        <v/>
      </c>
      <c r="AB16" s="120" t="str">
        <f>IF(tblActuals3541519[[#This Row],[SCORE]]="","",LEFT(I16,FIND(":",I16,1)-1)*1)</f>
        <v/>
      </c>
      <c r="AC16" s="120" t="str">
        <f>IF(tblActuals3541519[[#This Row],[SCORE]]="","",MID(I16,FIND(":",I16,1)+1,LEN(I16)-FIND(":",I16,1)+1)*1)</f>
        <v/>
      </c>
      <c r="AD16" s="120" t="str">
        <f>IF(OR(tblActuals3541519[[#This Row],[Team 1 Goals]]="",tblActuals3541519[[#This Row],[Team 2 Goals]]=""),"",tblActuals3541519[[#This Row],[Team 1 Goals]]-tblActuals3541519[[#This Row],[Team 2 Goals]])</f>
        <v/>
      </c>
      <c r="AE16" s="120" t="str">
        <f>IF(OR(tblActuals3541519[[#This Row],[Team 1 Goals]]="",tblActuals3541519[[#This Row],[Team 2 Goals]]=""),"",tblActuals3541519[[#This Row],[Team 2 Goals]]-tblActuals3541519[[#This Row],[Team 1 Goals]])</f>
        <v/>
      </c>
      <c r="AF16" s="120" t="str">
        <f>IF(tblActuals3541519[[#This Row],[SCORE]]="","",IF(tblActuals3541519[[#This Row],[WINNER / RESULT]]="Draw",1,IF(tblActuals3541519[[#This Row],[WINNER / RESULT]]=tblActuals3541519[[#This Row],[Team 1]],3,0)))</f>
        <v/>
      </c>
      <c r="AG16" s="120" t="str">
        <f>IF(tblActuals3541519[[#This Row],[SCORE]]="","",IF(tblActuals3541519[[#This Row],[WINNER / RESULT]]="Draw",1,IF(tblActuals3541519[[#This Row],[WINNER / RESULT]]=tblActuals3541519[[#This Row],[Team 2]],3,0)))</f>
        <v/>
      </c>
      <c r="AH16" s="121"/>
      <c r="AI16" s="121"/>
      <c r="AJ16" s="121"/>
      <c r="AK16" s="121"/>
      <c r="AL16" s="120" t="e">
        <f>tblActuals3541519[[#This Row],[Team 1 Goals]]+tblActuals3541519[[#This Row],[Team 1 ET Goals]]&amp;":"&amp;tblActuals3541519[[#This Row],[Team 2 Goals]]+tblActuals3541519[[#This Row],[Team 2 ET Goals]]</f>
        <v>#VALUE!</v>
      </c>
      <c r="AM16" s="120" t="e">
        <f>+tblActuals3541519[[#This Row],[Team 1 Goals]]+tblActuals3541519[[#This Row],[Team 2 Goals]]</f>
        <v>#VALUE!</v>
      </c>
      <c r="AN16" s="161">
        <f t="shared" si="3"/>
        <v>45462</v>
      </c>
      <c r="AT16" s="77"/>
      <c r="AU16" s="148"/>
      <c r="AV16" s="148"/>
      <c r="AW16" s="148"/>
      <c r="AX16" s="148"/>
      <c r="AY16" s="148"/>
      <c r="AZ16" s="75"/>
      <c r="BA16" s="4"/>
      <c r="BB16" s="4"/>
      <c r="BC16" s="4" t="s">
        <v>6</v>
      </c>
      <c r="BD16" s="4" t="s">
        <v>34</v>
      </c>
      <c r="BE16" s="4">
        <f>COUNTIF(tblActuals3541519[Winner],BD16)</f>
        <v>0</v>
      </c>
      <c r="BF16" s="4">
        <f>COUNTIFS(tblActuals3541519[Team 2],BD16,tblActuals3541519[WINNER / RESULT],"Draw")+COUNTIFS(tblActuals3541519[Team 1],BD16,tblActuals3541519[WINNER / RESULT],"Draw")</f>
        <v>0</v>
      </c>
      <c r="BG16" s="4">
        <f>COUNTIF(tblActuals3541519[Loser],BD16)</f>
        <v>0</v>
      </c>
      <c r="BH16" s="4">
        <f>BF16+(3*BE16)</f>
        <v>0</v>
      </c>
      <c r="BI16" s="4">
        <f>SUMIFS(tblActuals3541519[Team 1 Goals],tblActuals3541519[Team 1],BD16)+SUMIFS(tblActuals3541519[Team 2 Goals],tblActuals3541519[Team 2],BD16)</f>
        <v>0</v>
      </c>
      <c r="BJ16" s="4">
        <f>SUMIFS(tblActuals3541519[Team 2 Goals],tblActuals3541519[Team 1],BD16)+SUMIFS(tblActuals3541519[Team 1 Goals],tblActuals3541519[Team 2],BD16)</f>
        <v>0</v>
      </c>
      <c r="BK16" s="4">
        <f>BI16-BJ16</f>
        <v>0</v>
      </c>
      <c r="BL16" s="4">
        <f ca="1">RANK(BY16,$BY$14:$BY$17,1)</f>
        <v>3</v>
      </c>
      <c r="BM16" s="4" t="str">
        <f t="shared" si="4"/>
        <v/>
      </c>
      <c r="BN16" s="4" t="str">
        <f ca="1">IF(BM16="",BL16&amp;BC16,BM16&amp;BC16)</f>
        <v>3C</v>
      </c>
      <c r="BO16" s="4">
        <f>RANK(BH16,$BH$14:$BH$17,0)</f>
        <v>1</v>
      </c>
      <c r="BP16" s="4" cm="1">
        <f t="array" aca="1" ref="BP16" ca="1">SUMPRODUCT((OFFSET($CV$3:$EA$3,MATCH($BD16,$CU$4:$CU$35,0),0))*((IF($BO14=$BO16,$CV$3:$EA$3=$BD14,0))+(IF($BO17=$BO16,$CV$3:$EA$3=$BD17,0))+(IF($BO15=$BO16,$CV$3:$EA$3=$BD15,0))))</f>
        <v>0</v>
      </c>
      <c r="BQ16" s="4" cm="1">
        <f t="array" aca="1" ref="BQ16" ca="1">SUMPRODUCT((OFFSET($ED$3:$FI$3,MATCH($BD16,$EC$4:$EC$35,0),0))*((IF($BO14=$BO16,$ED$3:$FI$3=$BD14,0))+(IF($BO17=$BO16,$ED$3:$FI$3=$BD17,0))+(IF($BO15=$BO16,$ED$3:$FI$3=$BD15,0))))</f>
        <v>0</v>
      </c>
      <c r="BR16" s="4" cm="1">
        <f t="array" aca="1" ref="BR16" ca="1">SUMPRODUCT((OFFSET($FL$3:$GQ$3,MATCH($BD16,$FK$4:$FK$35,0),0))*((IF($BO14=$BO16,$FL$3:$GQ$3=$BD14,0))+(IF($BO17=$BO16,$FL$3:$GQ$3=$BD17,0))+(IF($BO15=$BO16,$FL$3:$GQ$3=$BD15,0))))</f>
        <v>0</v>
      </c>
      <c r="BS16" s="4" cm="1">
        <f t="array" aca="1" ref="BS16" ca="1">SUMPRODUCT((OFFSET($CV$3:$EA$3,MATCH($BD16,$CU$4:$CU$35,0),0))*((IF($BO14&lt;&gt;$BO16,$CV$3:$EA$3=$BD14,0))+(IF($BO17&lt;&gt;$BO16,$CV$3:$EA$3=$BD17,0))+(IF($BO15&lt;&gt;$BO16,$CV$3:$EA$3=$BD15,0))))</f>
        <v>0</v>
      </c>
      <c r="BT16" s="4" cm="1">
        <f t="array" aca="1" ref="BT16" ca="1">SUMPRODUCT((OFFSET($ED$3:$FI$3,MATCH($BD16,$EC$4:$EC$35,0),0))*((IF($BO14&lt;&gt;$BO16,$ED$3:$FI$3=$BD14,0))+(IF($BO17&lt;&gt;$BO16,$ED$3:$FI$3=$BD17,0))+(IF($BO15&lt;&gt;$BO16,$ED$3:$FI$3=$BD15,0))))</f>
        <v>0</v>
      </c>
      <c r="BU16" s="4" cm="1">
        <f t="array" aca="1" ref="BU16" ca="1">SUMPRODUCT((OFFSET($FL$3:$GQ$3,MATCH($BD16,$FK$4:$FK$35,0),0))*((IF($BO14&lt;&gt;$BO16,$FL$3:$GQ$3=$BD14,0))+(IF($BO17&lt;&gt;$BO16,$FL$3:$GQ$3=$BD17,0))+(IF($BO15&lt;&gt;$BO16,$FL$3:$GQ$3=$BD15,0))))</f>
        <v>0</v>
      </c>
      <c r="BV16" s="4">
        <f>BK16</f>
        <v>0</v>
      </c>
      <c r="BW16" s="4">
        <f>BI16</f>
        <v>0</v>
      </c>
      <c r="BX16" s="4">
        <f ca="1">(BP16/10)+(BQ16/100)+(BR16/1000)+(BT16/10000)+(BU16/100000)+(BV16/1000000)+(BW16/10000000)+(ROW(BS15)/100000000)</f>
        <v>1.4999999999999999E-7</v>
      </c>
      <c r="BY16" s="4">
        <f ca="1">+BO16-BX16</f>
        <v>0.99999985000000002</v>
      </c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U16" s="4" t="s">
        <v>32</v>
      </c>
      <c r="CV16" s="56">
        <f>SUMIFS(tblActuals3541519[Team 2 Points],tblActuals3541519[Team 2],$CU16,tblActuals3541519[Team 1],CV$3)+SUMIFS(tblActuals3541519[Team 1 Points],tblActuals3541519[Team 1],$CU16,tblActuals3541519[Team 2],CV$3)</f>
        <v>0</v>
      </c>
      <c r="CW16" s="56">
        <f>SUMIFS(tblActuals3541519[Team 2 Points],tblActuals3541519[Team 2],$CU16,tblActuals3541519[Team 1],CW$3)+SUMIFS(tblActuals3541519[Team 1 Points],tblActuals3541519[Team 1],$CU16,tblActuals3541519[Team 2],CW$3)</f>
        <v>0</v>
      </c>
      <c r="CX16" s="56">
        <f>SUMIFS(tblActuals3541519[Team 2 Points],tblActuals3541519[Team 2],$CU16,tblActuals3541519[Team 1],CX$3)+SUMIFS(tblActuals3541519[Team 1 Points],tblActuals3541519[Team 1],$CU16,tblActuals3541519[Team 2],CX$3)</f>
        <v>0</v>
      </c>
      <c r="CY16" s="56">
        <f>SUMIFS(tblActuals3541519[Team 2 Points],tblActuals3541519[Team 2],$CU16,tblActuals3541519[Team 1],CY$3)+SUMIFS(tblActuals3541519[Team 1 Points],tblActuals3541519[Team 1],$CU16,tblActuals3541519[Team 2],CY$3)</f>
        <v>0</v>
      </c>
      <c r="CZ16" s="56">
        <f>SUMIFS(tblActuals3541519[Team 2 Points],tblActuals3541519[Team 2],$CU16,tblActuals3541519[Team 1],CZ$3)+SUMIFS(tblActuals3541519[Team 1 Points],tblActuals3541519[Team 1],$CU16,tblActuals3541519[Team 2],CZ$3)</f>
        <v>0</v>
      </c>
      <c r="DA16" s="56">
        <f>SUMIFS(tblActuals3541519[Team 2 Points],tblActuals3541519[Team 2],$CU16,tblActuals3541519[Team 1],DA$3)+SUMIFS(tblActuals3541519[Team 1 Points],tblActuals3541519[Team 1],$CU16,tblActuals3541519[Team 2],DA$3)</f>
        <v>0</v>
      </c>
      <c r="DB16" s="56">
        <f>SUMIFS(tblActuals3541519[Team 2 Points],tblActuals3541519[Team 2],$CU16,tblActuals3541519[Team 1],DB$3)+SUMIFS(tblActuals3541519[Team 1 Points],tblActuals3541519[Team 1],$CU16,tblActuals3541519[Team 2],DB$3)</f>
        <v>0</v>
      </c>
      <c r="DC16" s="56">
        <f>SUMIFS(tblActuals3541519[Team 2 Points],tblActuals3541519[Team 2],$CU16,tblActuals3541519[Team 1],DC$3)+SUMIFS(tblActuals3541519[Team 1 Points],tblActuals3541519[Team 1],$CU16,tblActuals3541519[Team 2],DC$3)</f>
        <v>0</v>
      </c>
      <c r="DD16" s="56">
        <f>SUMIFS(tblActuals3541519[Team 2 Points],tblActuals3541519[Team 2],$CU16,tblActuals3541519[Team 1],DD$3)+SUMIFS(tblActuals3541519[Team 1 Points],tblActuals3541519[Team 1],$CU16,tblActuals3541519[Team 2],DD$3)</f>
        <v>0</v>
      </c>
      <c r="DE16" s="56">
        <f>SUMIFS(tblActuals3541519[Team 2 Points],tblActuals3541519[Team 2],$CU16,tblActuals3541519[Team 1],DE$3)+SUMIFS(tblActuals3541519[Team 1 Points],tblActuals3541519[Team 1],$CU16,tblActuals3541519[Team 2],DE$3)</f>
        <v>0</v>
      </c>
      <c r="DF16" s="56">
        <f>SUMIFS(tblActuals3541519[Team 2 Points],tblActuals3541519[Team 2],$CU16,tblActuals3541519[Team 1],DF$3)+SUMIFS(tblActuals3541519[Team 1 Points],tblActuals3541519[Team 1],$CU16,tblActuals3541519[Team 2],DF$3)</f>
        <v>0</v>
      </c>
      <c r="DG16" s="56">
        <f>SUMIFS(tblActuals3541519[Team 2 Points],tblActuals3541519[Team 2],$CU16,tblActuals3541519[Team 1],DG$3)+SUMIFS(tblActuals3541519[Team 1 Points],tblActuals3541519[Team 1],$CU16,tblActuals3541519[Team 2],DG$3)</f>
        <v>0</v>
      </c>
      <c r="DH16" s="56">
        <f>SUMIFS(tblActuals3541519[Team 2 Points],tblActuals3541519[Team 2],$CU16,tblActuals3541519[Team 1],DH$3)+SUMIFS(tblActuals3541519[Team 1 Points],tblActuals3541519[Team 1],$CU16,tblActuals3541519[Team 2],DH$3)</f>
        <v>0</v>
      </c>
      <c r="DI16" s="56">
        <f>SUMIFS(tblActuals3541519[Team 2 Points],tblActuals3541519[Team 2],$CU16,tblActuals3541519[Team 1],DI$3)+SUMIFS(tblActuals3541519[Team 1 Points],tblActuals3541519[Team 1],$CU16,tblActuals3541519[Team 2],DI$3)</f>
        <v>0</v>
      </c>
      <c r="DJ16" s="56">
        <f>SUMIFS(tblActuals3541519[Team 2 Points],tblActuals3541519[Team 2],$CU16,tblActuals3541519[Team 1],DJ$3)+SUMIFS(tblActuals3541519[Team 1 Points],tblActuals3541519[Team 1],$CU16,tblActuals3541519[Team 2],DJ$3)</f>
        <v>0</v>
      </c>
      <c r="DK16" s="56">
        <f>SUMIFS(tblActuals3541519[Team 2 Points],tblActuals3541519[Team 2],$CU16,tblActuals3541519[Team 1],DK$3)+SUMIFS(tblActuals3541519[Team 1 Points],tblActuals3541519[Team 1],$CU16,tblActuals3541519[Team 2],DK$3)</f>
        <v>0</v>
      </c>
      <c r="DL16" s="56">
        <f>SUMIFS(tblActuals3541519[Team 2 Points],tblActuals3541519[Team 2],$CU16,tblActuals3541519[Team 1],DL$3)+SUMIFS(tblActuals3541519[Team 1 Points],tblActuals3541519[Team 1],$CU16,tblActuals3541519[Team 2],DL$3)</f>
        <v>0</v>
      </c>
      <c r="DM16" s="56">
        <f>SUMIFS(tblActuals3541519[Team 2 Points],tblActuals3541519[Team 2],$CU16,tblActuals3541519[Team 1],DM$3)+SUMIFS(tblActuals3541519[Team 1 Points],tblActuals3541519[Team 1],$CU16,tblActuals3541519[Team 2],DM$3)</f>
        <v>0</v>
      </c>
      <c r="DN16" s="56">
        <f>SUMIFS(tblActuals3541519[Team 2 Points],tblActuals3541519[Team 2],$CU16,tblActuals3541519[Team 1],DN$3)+SUMIFS(tblActuals3541519[Team 1 Points],tblActuals3541519[Team 1],$CU16,tblActuals3541519[Team 2],DN$3)</f>
        <v>0</v>
      </c>
      <c r="DO16" s="56">
        <f>SUMIFS(tblActuals3541519[Team 2 Points],tblActuals3541519[Team 2],$CU16,tblActuals3541519[Team 1],DO$3)+SUMIFS(tblActuals3541519[Team 1 Points],tblActuals3541519[Team 1],$CU16,tblActuals3541519[Team 2],DO$3)</f>
        <v>0</v>
      </c>
      <c r="DP16" s="56">
        <f>SUMIFS(tblActuals3541519[Team 2 Points],tblActuals3541519[Team 2],$CU16,tblActuals3541519[Team 1],DP$3)+SUMIFS(tblActuals3541519[Team 1 Points],tblActuals3541519[Team 1],$CU16,tblActuals3541519[Team 2],DP$3)</f>
        <v>0</v>
      </c>
      <c r="DQ16" s="56">
        <f>SUMIFS(tblActuals3541519[Team 2 Points],tblActuals3541519[Team 2],$CU16,tblActuals3541519[Team 1],DQ$3)+SUMIFS(tblActuals3541519[Team 1 Points],tblActuals3541519[Team 1],$CU16,tblActuals3541519[Team 2],DQ$3)</f>
        <v>0</v>
      </c>
      <c r="DR16" s="56">
        <f>SUMIFS(tblActuals3541519[Team 2 Points],tblActuals3541519[Team 2],$CU16,tblActuals3541519[Team 1],DR$3)+SUMIFS(tblActuals3541519[Team 1 Points],tblActuals3541519[Team 1],$CU16,tblActuals3541519[Team 2],DR$3)</f>
        <v>0</v>
      </c>
      <c r="DS16" s="56">
        <f>SUMIFS(tblActuals3541519[Team 2 Points],tblActuals3541519[Team 2],$CU16,tblActuals3541519[Team 1],DS$3)+SUMIFS(tblActuals3541519[Team 1 Points],tblActuals3541519[Team 1],$CU16,tblActuals3541519[Team 2],DS$3)</f>
        <v>0</v>
      </c>
      <c r="DT16" s="57"/>
      <c r="DU16" s="57"/>
      <c r="DV16" s="57"/>
      <c r="DW16" s="57"/>
      <c r="DX16" s="57"/>
      <c r="DY16" s="57"/>
      <c r="DZ16" s="57"/>
      <c r="EA16" s="57"/>
      <c r="EB16" s="4"/>
      <c r="EC16" s="4" t="s">
        <v>32</v>
      </c>
      <c r="ED16" s="56">
        <f>SUMIFS(tblActuals3541519[Team 2 GD],tblActuals3541519[Team 2],$CU16,tblActuals3541519[Team 1],ED$3)+SUMIFS(tblActuals3541519[Team 1 GD],tblActuals3541519[Team 1],$CU16,tblActuals3541519[Team 2],ED$3)</f>
        <v>0</v>
      </c>
      <c r="EE16" s="56">
        <f>SUMIFS(tblActuals3541519[Team 2 GD],tblActuals3541519[Team 2],$CU16,tblActuals3541519[Team 1],EE$3)+SUMIFS(tblActuals3541519[Team 1 GD],tblActuals3541519[Team 1],$CU16,tblActuals3541519[Team 2],EE$3)</f>
        <v>0</v>
      </c>
      <c r="EF16" s="56">
        <f>SUMIFS(tblActuals3541519[Team 2 GD],tblActuals3541519[Team 2],$CU16,tblActuals3541519[Team 1],EF$3)+SUMIFS(tblActuals3541519[Team 1 GD],tblActuals3541519[Team 1],$CU16,tblActuals3541519[Team 2],EF$3)</f>
        <v>0</v>
      </c>
      <c r="EG16" s="56">
        <f>SUMIFS(tblActuals3541519[Team 2 GD],tblActuals3541519[Team 2],$CU16,tblActuals3541519[Team 1],EG$3)+SUMIFS(tblActuals3541519[Team 1 GD],tblActuals3541519[Team 1],$CU16,tblActuals3541519[Team 2],EG$3)</f>
        <v>0</v>
      </c>
      <c r="EH16" s="56">
        <f>SUMIFS(tblActuals3541519[Team 2 GD],tblActuals3541519[Team 2],$CU16,tblActuals3541519[Team 1],EH$3)+SUMIFS(tblActuals3541519[Team 1 GD],tblActuals3541519[Team 1],$CU16,tblActuals3541519[Team 2],EH$3)</f>
        <v>0</v>
      </c>
      <c r="EI16" s="56">
        <f>SUMIFS(tblActuals3541519[Team 2 GD],tblActuals3541519[Team 2],$CU16,tblActuals3541519[Team 1],EI$3)+SUMIFS(tblActuals3541519[Team 1 GD],tblActuals3541519[Team 1],$CU16,tblActuals3541519[Team 2],EI$3)</f>
        <v>0</v>
      </c>
      <c r="EJ16" s="56">
        <f>SUMIFS(tblActuals3541519[Team 2 GD],tblActuals3541519[Team 2],$CU16,tblActuals3541519[Team 1],EJ$3)+SUMIFS(tblActuals3541519[Team 1 GD],tblActuals3541519[Team 1],$CU16,tblActuals3541519[Team 2],EJ$3)</f>
        <v>0</v>
      </c>
      <c r="EK16" s="56">
        <f>SUMIFS(tblActuals3541519[Team 2 GD],tblActuals3541519[Team 2],$CU16,tblActuals3541519[Team 1],EK$3)+SUMIFS(tblActuals3541519[Team 1 GD],tblActuals3541519[Team 1],$CU16,tblActuals3541519[Team 2],EK$3)</f>
        <v>0</v>
      </c>
      <c r="EL16" s="56">
        <f>SUMIFS(tblActuals3541519[Team 2 GD],tblActuals3541519[Team 2],$CU16,tblActuals3541519[Team 1],EL$3)+SUMIFS(tblActuals3541519[Team 1 GD],tblActuals3541519[Team 1],$CU16,tblActuals3541519[Team 2],EL$3)</f>
        <v>0</v>
      </c>
      <c r="EM16" s="56">
        <f>SUMIFS(tblActuals3541519[Team 2 GD],tblActuals3541519[Team 2],$CU16,tblActuals3541519[Team 1],EM$3)+SUMIFS(tblActuals3541519[Team 1 GD],tblActuals3541519[Team 1],$CU16,tblActuals3541519[Team 2],EM$3)</f>
        <v>0</v>
      </c>
      <c r="EN16" s="56">
        <f>SUMIFS(tblActuals3541519[Team 2 GD],tblActuals3541519[Team 2],$CU16,tblActuals3541519[Team 1],EN$3)+SUMIFS(tblActuals3541519[Team 1 GD],tblActuals3541519[Team 1],$CU16,tblActuals3541519[Team 2],EN$3)</f>
        <v>0</v>
      </c>
      <c r="EO16" s="56">
        <f>SUMIFS(tblActuals3541519[Team 2 GD],tblActuals3541519[Team 2],$CU16,tblActuals3541519[Team 1],EO$3)+SUMIFS(tblActuals3541519[Team 1 GD],tblActuals3541519[Team 1],$CU16,tblActuals3541519[Team 2],EO$3)</f>
        <v>0</v>
      </c>
      <c r="EP16" s="56">
        <f>SUMIFS(tblActuals3541519[Team 2 GD],tblActuals3541519[Team 2],$CU16,tblActuals3541519[Team 1],EP$3)+SUMIFS(tblActuals3541519[Team 1 GD],tblActuals3541519[Team 1],$CU16,tblActuals3541519[Team 2],EP$3)</f>
        <v>0</v>
      </c>
      <c r="EQ16" s="56">
        <f>SUMIFS(tblActuals3541519[Team 2 GD],tblActuals3541519[Team 2],$CU16,tblActuals3541519[Team 1],EQ$3)+SUMIFS(tblActuals3541519[Team 1 GD],tblActuals3541519[Team 1],$CU16,tblActuals3541519[Team 2],EQ$3)</f>
        <v>0</v>
      </c>
      <c r="ER16" s="56">
        <f>SUMIFS(tblActuals3541519[Team 2 GD],tblActuals3541519[Team 2],$CU16,tblActuals3541519[Team 1],ER$3)+SUMIFS(tblActuals3541519[Team 1 GD],tblActuals3541519[Team 1],$CU16,tblActuals3541519[Team 2],ER$3)</f>
        <v>0</v>
      </c>
      <c r="ES16" s="56">
        <f>SUMIFS(tblActuals3541519[Team 2 GD],tblActuals3541519[Team 2],$CU16,tblActuals3541519[Team 1],ES$3)+SUMIFS(tblActuals3541519[Team 1 GD],tblActuals3541519[Team 1],$CU16,tblActuals3541519[Team 2],ES$3)</f>
        <v>0</v>
      </c>
      <c r="ET16" s="56">
        <f>SUMIFS(tblActuals3541519[Team 2 GD],tblActuals3541519[Team 2],$CU16,tblActuals3541519[Team 1],ET$3)+SUMIFS(tblActuals3541519[Team 1 GD],tblActuals3541519[Team 1],$CU16,tblActuals3541519[Team 2],ET$3)</f>
        <v>0</v>
      </c>
      <c r="EU16" s="56">
        <f>SUMIFS(tblActuals3541519[Team 2 GD],tblActuals3541519[Team 2],$CU16,tblActuals3541519[Team 1],EU$3)+SUMIFS(tblActuals3541519[Team 1 GD],tblActuals3541519[Team 1],$CU16,tblActuals3541519[Team 2],EU$3)</f>
        <v>0</v>
      </c>
      <c r="EV16" s="56">
        <f>SUMIFS(tblActuals3541519[Team 2 GD],tblActuals3541519[Team 2],$CU16,tblActuals3541519[Team 1],EV$3)+SUMIFS(tblActuals3541519[Team 1 GD],tblActuals3541519[Team 1],$CU16,tblActuals3541519[Team 2],EV$3)</f>
        <v>0</v>
      </c>
      <c r="EW16" s="56">
        <f>SUMIFS(tblActuals3541519[Team 2 GD],tblActuals3541519[Team 2],$CU16,tblActuals3541519[Team 1],EW$3)+SUMIFS(tblActuals3541519[Team 1 GD],tblActuals3541519[Team 1],$CU16,tblActuals3541519[Team 2],EW$3)</f>
        <v>0</v>
      </c>
      <c r="EX16" s="56">
        <f>SUMIFS(tblActuals3541519[Team 2 GD],tblActuals3541519[Team 2],$CU16,tblActuals3541519[Team 1],EX$3)+SUMIFS(tblActuals3541519[Team 1 GD],tblActuals3541519[Team 1],$CU16,tblActuals3541519[Team 2],EX$3)</f>
        <v>0</v>
      </c>
      <c r="EY16" s="56">
        <f>SUMIFS(tblActuals3541519[Team 2 GD],tblActuals3541519[Team 2],$CU16,tblActuals3541519[Team 1],EY$3)+SUMIFS(tblActuals3541519[Team 1 GD],tblActuals3541519[Team 1],$CU16,tblActuals3541519[Team 2],EY$3)</f>
        <v>0</v>
      </c>
      <c r="EZ16" s="56">
        <f>SUMIFS(tblActuals3541519[Team 2 GD],tblActuals3541519[Team 2],$CU16,tblActuals3541519[Team 1],EZ$3)+SUMIFS(tblActuals3541519[Team 1 GD],tblActuals3541519[Team 1],$CU16,tblActuals3541519[Team 2],EZ$3)</f>
        <v>0</v>
      </c>
      <c r="FA16" s="56">
        <f>SUMIFS(tblActuals3541519[Team 2 GD],tblActuals3541519[Team 2],$CU16,tblActuals3541519[Team 1],FA$3)+SUMIFS(tblActuals3541519[Team 1 GD],tblActuals3541519[Team 1],$CU16,tblActuals3541519[Team 2],FA$3)</f>
        <v>0</v>
      </c>
      <c r="FB16" s="57"/>
      <c r="FC16" s="57"/>
      <c r="FD16" s="57"/>
      <c r="FE16" s="57"/>
      <c r="FF16" s="57"/>
      <c r="FG16" s="57"/>
      <c r="FH16" s="57"/>
      <c r="FI16" s="57"/>
      <c r="FJ16" s="4"/>
      <c r="FK16" s="4" t="s">
        <v>32</v>
      </c>
      <c r="FL16" s="56">
        <f>SUMIFS(tblActuals3541519[Team 2 Goals],tblActuals3541519[Team 2],$CU16,tblActuals3541519[Team 1],FL$3)+SUMIFS(tblActuals3541519[Team 1 Goals],tblActuals3541519[Team 1],$CU16,tblActuals3541519[Team 2],FL$3)</f>
        <v>0</v>
      </c>
      <c r="FM16" s="56">
        <f>SUMIFS(tblActuals3541519[Team 2 Goals],tblActuals3541519[Team 2],$CU16,tblActuals3541519[Team 1],FM$3)+SUMIFS(tblActuals3541519[Team 1 Goals],tblActuals3541519[Team 1],$CU16,tblActuals3541519[Team 2],FM$3)</f>
        <v>0</v>
      </c>
      <c r="FN16" s="56">
        <f>SUMIFS(tblActuals3541519[Team 2 Goals],tblActuals3541519[Team 2],$CU16,tblActuals3541519[Team 1],FN$3)+SUMIFS(tblActuals3541519[Team 1 Goals],tblActuals3541519[Team 1],$CU16,tblActuals3541519[Team 2],FN$3)</f>
        <v>0</v>
      </c>
      <c r="FO16" s="56">
        <f>SUMIFS(tblActuals3541519[Team 2 Goals],tblActuals3541519[Team 2],$CU16,tblActuals3541519[Team 1],FO$3)+SUMIFS(tblActuals3541519[Team 1 Goals],tblActuals3541519[Team 1],$CU16,tblActuals3541519[Team 2],FO$3)</f>
        <v>0</v>
      </c>
      <c r="FP16" s="56">
        <f>SUMIFS(tblActuals3541519[Team 2 Goals],tblActuals3541519[Team 2],$CU16,tblActuals3541519[Team 1],FP$3)+SUMIFS(tblActuals3541519[Team 1 Goals],tblActuals3541519[Team 1],$CU16,tblActuals3541519[Team 2],FP$3)</f>
        <v>0</v>
      </c>
      <c r="FQ16" s="56">
        <f>SUMIFS(tblActuals3541519[Team 2 Goals],tblActuals3541519[Team 2],$CU16,tblActuals3541519[Team 1],FQ$3)+SUMIFS(tblActuals3541519[Team 1 Goals],tblActuals3541519[Team 1],$CU16,tblActuals3541519[Team 2],FQ$3)</f>
        <v>0</v>
      </c>
      <c r="FR16" s="56">
        <f>SUMIFS(tblActuals3541519[Team 2 Goals],tblActuals3541519[Team 2],$CU16,tblActuals3541519[Team 1],FR$3)+SUMIFS(tblActuals3541519[Team 1 Goals],tblActuals3541519[Team 1],$CU16,tblActuals3541519[Team 2],FR$3)</f>
        <v>0</v>
      </c>
      <c r="FS16" s="56">
        <f>SUMIFS(tblActuals3541519[Team 2 Goals],tblActuals3541519[Team 2],$CU16,tblActuals3541519[Team 1],FS$3)+SUMIFS(tblActuals3541519[Team 1 Goals],tblActuals3541519[Team 1],$CU16,tblActuals3541519[Team 2],FS$3)</f>
        <v>0</v>
      </c>
      <c r="FT16" s="56">
        <f>SUMIFS(tblActuals3541519[Team 2 Goals],tblActuals3541519[Team 2],$CU16,tblActuals3541519[Team 1],FT$3)+SUMIFS(tblActuals3541519[Team 1 Goals],tblActuals3541519[Team 1],$CU16,tblActuals3541519[Team 2],FT$3)</f>
        <v>0</v>
      </c>
      <c r="FU16" s="56">
        <f>SUMIFS(tblActuals3541519[Team 2 Goals],tblActuals3541519[Team 2],$CU16,tblActuals3541519[Team 1],FU$3)+SUMIFS(tblActuals3541519[Team 1 Goals],tblActuals3541519[Team 1],$CU16,tblActuals3541519[Team 2],FU$3)</f>
        <v>0</v>
      </c>
      <c r="FV16" s="56">
        <f>SUMIFS(tblActuals3541519[Team 2 Goals],tblActuals3541519[Team 2],$CU16,tblActuals3541519[Team 1],FV$3)+SUMIFS(tblActuals3541519[Team 1 Goals],tblActuals3541519[Team 1],$CU16,tblActuals3541519[Team 2],FV$3)</f>
        <v>0</v>
      </c>
      <c r="FW16" s="56">
        <f>SUMIFS(tblActuals3541519[Team 2 Goals],tblActuals3541519[Team 2],$CU16,tblActuals3541519[Team 1],FW$3)+SUMIFS(tblActuals3541519[Team 1 Goals],tblActuals3541519[Team 1],$CU16,tblActuals3541519[Team 2],FW$3)</f>
        <v>0</v>
      </c>
      <c r="FX16" s="56">
        <f>SUMIFS(tblActuals3541519[Team 2 Goals],tblActuals3541519[Team 2],$CU16,tblActuals3541519[Team 1],FX$3)+SUMIFS(tblActuals3541519[Team 1 Goals],tblActuals3541519[Team 1],$CU16,tblActuals3541519[Team 2],FX$3)</f>
        <v>0</v>
      </c>
      <c r="FY16" s="56">
        <f>SUMIFS(tblActuals3541519[Team 2 Goals],tblActuals3541519[Team 2],$CU16,tblActuals3541519[Team 1],FY$3)+SUMIFS(tblActuals3541519[Team 1 Goals],tblActuals3541519[Team 1],$CU16,tblActuals3541519[Team 2],FY$3)</f>
        <v>0</v>
      </c>
      <c r="FZ16" s="56">
        <f>SUMIFS(tblActuals3541519[Team 2 Goals],tblActuals3541519[Team 2],$CU16,tblActuals3541519[Team 1],FZ$3)+SUMIFS(tblActuals3541519[Team 1 Goals],tblActuals3541519[Team 1],$CU16,tblActuals3541519[Team 2],FZ$3)</f>
        <v>0</v>
      </c>
      <c r="GA16" s="56">
        <f>SUMIFS(tblActuals3541519[Team 2 Goals],tblActuals3541519[Team 2],$CU16,tblActuals3541519[Team 1],GA$3)+SUMIFS(tblActuals3541519[Team 1 Goals],tblActuals3541519[Team 1],$CU16,tblActuals3541519[Team 2],GA$3)</f>
        <v>0</v>
      </c>
      <c r="GB16" s="56">
        <f>SUMIFS(tblActuals3541519[Team 2 Goals],tblActuals3541519[Team 2],$CU16,tblActuals3541519[Team 1],GB$3)+SUMIFS(tblActuals3541519[Team 1 Goals],tblActuals3541519[Team 1],$CU16,tblActuals3541519[Team 2],GB$3)</f>
        <v>0</v>
      </c>
      <c r="GC16" s="56">
        <f>SUMIFS(tblActuals3541519[Team 2 Goals],tblActuals3541519[Team 2],$CU16,tblActuals3541519[Team 1],GC$3)+SUMIFS(tblActuals3541519[Team 1 Goals],tblActuals3541519[Team 1],$CU16,tblActuals3541519[Team 2],GC$3)</f>
        <v>0</v>
      </c>
      <c r="GD16" s="56">
        <f>SUMIFS(tblActuals3541519[Team 2 Goals],tblActuals3541519[Team 2],$CU16,tblActuals3541519[Team 1],GD$3)+SUMIFS(tblActuals3541519[Team 1 Goals],tblActuals3541519[Team 1],$CU16,tblActuals3541519[Team 2],GD$3)</f>
        <v>0</v>
      </c>
      <c r="GE16" s="56">
        <f>SUMIFS(tblActuals3541519[Team 2 Goals],tblActuals3541519[Team 2],$CU16,tblActuals3541519[Team 1],GE$3)+SUMIFS(tblActuals3541519[Team 1 Goals],tblActuals3541519[Team 1],$CU16,tblActuals3541519[Team 2],GE$3)</f>
        <v>0</v>
      </c>
      <c r="GF16" s="56">
        <f>SUMIFS(tblActuals3541519[Team 2 Goals],tblActuals3541519[Team 2],$CU16,tblActuals3541519[Team 1],GF$3)+SUMIFS(tblActuals3541519[Team 1 Goals],tblActuals3541519[Team 1],$CU16,tblActuals3541519[Team 2],GF$3)</f>
        <v>0</v>
      </c>
      <c r="GG16" s="56">
        <f>SUMIFS(tblActuals3541519[Team 2 Goals],tblActuals3541519[Team 2],$CU16,tblActuals3541519[Team 1],GG$3)+SUMIFS(tblActuals3541519[Team 1 Goals],tblActuals3541519[Team 1],$CU16,tblActuals3541519[Team 2],GG$3)</f>
        <v>0</v>
      </c>
      <c r="GH16" s="56">
        <f>SUMIFS(tblActuals3541519[Team 2 Goals],tblActuals3541519[Team 2],$CU16,tblActuals3541519[Team 1],GH$3)+SUMIFS(tblActuals3541519[Team 1 Goals],tblActuals3541519[Team 1],$CU16,tblActuals3541519[Team 2],GH$3)</f>
        <v>0</v>
      </c>
      <c r="GI16" s="56">
        <f>SUMIFS(tblActuals3541519[Team 2 Goals],tblActuals3541519[Team 2],$CU16,tblActuals3541519[Team 1],GI$3)+SUMIFS(tblActuals3541519[Team 1 Goals],tblActuals3541519[Team 1],$CU16,tblActuals3541519[Team 2],GI$3)</f>
        <v>0</v>
      </c>
      <c r="GJ16" s="57"/>
      <c r="GK16" s="57"/>
      <c r="GL16" s="37"/>
      <c r="GM16" s="37"/>
      <c r="GN16" s="37"/>
      <c r="GO16" s="37"/>
      <c r="GP16" s="37"/>
      <c r="GQ16" s="37"/>
      <c r="GR16" s="75"/>
      <c r="GS16" s="156"/>
      <c r="GT16" s="156"/>
      <c r="GU16" s="75"/>
      <c r="GV16" s="75"/>
      <c r="GW16" s="75"/>
      <c r="GX16" s="75"/>
      <c r="GY16" s="75"/>
      <c r="GZ16" s="75"/>
      <c r="HB16" s="4" t="str">
        <f t="shared" si="12"/>
        <v>BCDF</v>
      </c>
      <c r="HC16" s="45"/>
      <c r="HD16" s="44" t="s">
        <v>5</v>
      </c>
      <c r="HE16" s="44" t="s">
        <v>6</v>
      </c>
      <c r="HF16" s="44" t="s">
        <v>7</v>
      </c>
      <c r="HG16" s="45"/>
      <c r="HH16" s="44" t="s">
        <v>45</v>
      </c>
      <c r="HI16" s="178"/>
      <c r="HJ16" s="45" t="s">
        <v>154</v>
      </c>
      <c r="HK16" s="45" t="s">
        <v>150</v>
      </c>
      <c r="HL16" s="45" t="s">
        <v>152</v>
      </c>
      <c r="HM16" s="45" t="s">
        <v>151</v>
      </c>
    </row>
    <row r="17" spans="1:221" s="11" customFormat="1" ht="30" customHeight="1" thickBot="1" x14ac:dyDescent="0.3">
      <c r="A17" s="20"/>
      <c r="B17" s="122">
        <v>14</v>
      </c>
      <c r="C17" s="122" t="s">
        <v>1</v>
      </c>
      <c r="D17" s="123">
        <v>45462</v>
      </c>
      <c r="E17" s="122" t="s">
        <v>83</v>
      </c>
      <c r="F17" s="124">
        <v>0.75</v>
      </c>
      <c r="G17" s="125">
        <f t="shared" si="11"/>
        <v>45462.5</v>
      </c>
      <c r="H17" s="122" t="s">
        <v>102</v>
      </c>
      <c r="I17" s="126"/>
      <c r="J17" s="118"/>
      <c r="K17" s="118"/>
      <c r="L17" s="174">
        <f>IF(I17="",0,IFERROR(IF(SCORING.RULES!$C$8="No",1,((VLOOKUP($B17,ACTUALS!$B$4:$L$100,7,FALSE)=$H17)+(VLOOKUP($B17,ACTUALS!$B$4:$L$100,7,FALSE)=S17)))*(M17+N17+O17+P17+Q17),0))+$R17</f>
        <v>0</v>
      </c>
      <c r="M17" s="168">
        <f>IFERROR(IF($B17="","",IF(U17=INDEX(ACTUALS!$AA$4:$AA$100,MATCH($B17,ACTUALS!$B$4:$B$100,0),1),CorrectScore,0)),0)</f>
        <v>0</v>
      </c>
      <c r="N17" s="157" t="str">
        <f>IFERROR(IF(I17="","",IF(INDEX(ACTUALS!$AB$4:$AB$100,MATCH($B17,ACTUALS!$B$4:$B$100,0),1)=(AB17+AC17+AH17+AI17),CorrectNumberofGoals,0)),0)</f>
        <v/>
      </c>
      <c r="O17" s="157"/>
      <c r="P17" s="157">
        <f>IFERROR(IF(B17="","",IF(INDEX(ACTUALS!$L$4:$L$100,MATCH($B17,ACTUALS!$B$4:$B$100,0),1)=W17,CorrectResult,0)),0)</f>
        <v>3</v>
      </c>
      <c r="Q17" s="157"/>
      <c r="R17" s="157"/>
      <c r="S17" s="157" t="str">
        <f t="shared" si="0"/>
        <v/>
      </c>
      <c r="T17" s="157"/>
      <c r="U17" s="157" t="str">
        <f t="shared" si="1"/>
        <v/>
      </c>
      <c r="V17" s="157" t="str">
        <f t="shared" si="2"/>
        <v/>
      </c>
      <c r="W17" s="119" t="str">
        <f>IF(tblActuals3541519[[#This Row],[SCORE]]="","",IF(AB17=AC17,"Draw",IF(AB17&gt;AC17,X17,Y17)))</f>
        <v/>
      </c>
      <c r="X17" s="120" t="str">
        <f>IF(tblActuals3541519[[#This Row],[TEAMS]]="","",LEFT(H17,FIND(" -",H17,1)-1))</f>
        <v>Germany</v>
      </c>
      <c r="Y17" s="120" t="str">
        <f>IF(tblActuals3541519[[#This Row],[TEAMS]]="","",MID(H17,FIND("-",H17,1)+2,LEN(H17)-FIND("-",H17,1)+2))</f>
        <v>Hungary</v>
      </c>
      <c r="Z17" s="120" t="str">
        <f>IF(tblActuals3541519[[#This Row],[Team 1 Goals]]&gt;tblActuals3541519[[#This Row],[Team 2 Goals]],tblActuals3541519[[#This Row],[Team 1]],IF(tblActuals3541519[[#This Row],[Team 2 Goals]]&gt;tblActuals3541519[[#This Row],[Team 1 Goals]],tblActuals3541519[[#This Row],[Team 2]],""))</f>
        <v/>
      </c>
      <c r="AA17" s="120" t="str">
        <f>IF(tblActuals3541519[[#This Row],[Winner]]=tblActuals3541519[[#This Row],[Team 1]],tblActuals3541519[[#This Row],[Team 2]],IF(tblActuals3541519[[#This Row],[Winner]]=tblActuals3541519[[#This Row],[Team 2]],tblActuals3541519[[#This Row],[Team 1]],""))</f>
        <v/>
      </c>
      <c r="AB17" s="120" t="str">
        <f>IF(tblActuals3541519[[#This Row],[SCORE]]="","",LEFT(I17,FIND(":",I17,1)-1)*1)</f>
        <v/>
      </c>
      <c r="AC17" s="120" t="str">
        <f>IF(tblActuals3541519[[#This Row],[SCORE]]="","",MID(I17,FIND(":",I17,1)+1,LEN(I17)-FIND(":",I17,1)+1)*1)</f>
        <v/>
      </c>
      <c r="AD17" s="120" t="str">
        <f>IF(OR(tblActuals3541519[[#This Row],[Team 1 Goals]]="",tblActuals3541519[[#This Row],[Team 2 Goals]]=""),"",tblActuals3541519[[#This Row],[Team 1 Goals]]-tblActuals3541519[[#This Row],[Team 2 Goals]])</f>
        <v/>
      </c>
      <c r="AE17" s="120" t="str">
        <f>IF(OR(tblActuals3541519[[#This Row],[Team 1 Goals]]="",tblActuals3541519[[#This Row],[Team 2 Goals]]=""),"",tblActuals3541519[[#This Row],[Team 2 Goals]]-tblActuals3541519[[#This Row],[Team 1 Goals]])</f>
        <v/>
      </c>
      <c r="AF17" s="120" t="str">
        <f>IF(tblActuals3541519[[#This Row],[SCORE]]="","",IF(tblActuals3541519[[#This Row],[WINNER / RESULT]]="Draw",1,IF(tblActuals3541519[[#This Row],[WINNER / RESULT]]=tblActuals3541519[[#This Row],[Team 1]],3,0)))</f>
        <v/>
      </c>
      <c r="AG17" s="120" t="str">
        <f>IF(tblActuals3541519[[#This Row],[SCORE]]="","",IF(tblActuals3541519[[#This Row],[WINNER / RESULT]]="Draw",1,IF(tblActuals3541519[[#This Row],[WINNER / RESULT]]=tblActuals3541519[[#This Row],[Team 2]],3,0)))</f>
        <v/>
      </c>
      <c r="AH17" s="121"/>
      <c r="AI17" s="121"/>
      <c r="AJ17" s="121"/>
      <c r="AK17" s="121"/>
      <c r="AL17" s="120" t="e">
        <f>tblActuals3541519[[#This Row],[Team 1 Goals]]+tblActuals3541519[[#This Row],[Team 1 ET Goals]]&amp;":"&amp;tblActuals3541519[[#This Row],[Team 2 Goals]]+tblActuals3541519[[#This Row],[Team 2 ET Goals]]</f>
        <v>#VALUE!</v>
      </c>
      <c r="AM17" s="120" t="e">
        <f>+tblActuals3541519[[#This Row],[Team 1 Goals]]+tblActuals3541519[[#This Row],[Team 2 Goals]]</f>
        <v>#VALUE!</v>
      </c>
      <c r="AN17" s="161">
        <f t="shared" si="3"/>
        <v>45462</v>
      </c>
      <c r="AT17" s="78"/>
      <c r="AU17" s="179" t="s">
        <v>53</v>
      </c>
      <c r="AV17" s="180"/>
      <c r="AW17" s="133" t="s">
        <v>46</v>
      </c>
      <c r="AX17" s="134" t="s">
        <v>57</v>
      </c>
      <c r="AY17" s="135" t="s">
        <v>11</v>
      </c>
      <c r="AZ17" s="75"/>
      <c r="BA17" s="4"/>
      <c r="BB17" s="4"/>
      <c r="BC17" s="4" t="s">
        <v>6</v>
      </c>
      <c r="BD17" s="4" t="s">
        <v>128</v>
      </c>
      <c r="BE17" s="4">
        <f>COUNTIF(tblActuals3541519[Winner],BD17)</f>
        <v>0</v>
      </c>
      <c r="BF17" s="4">
        <f>COUNTIFS(tblActuals3541519[Team 2],BD17,tblActuals3541519[WINNER / RESULT],"Draw")+COUNTIFS(tblActuals3541519[Team 1],BD17,tblActuals3541519[WINNER / RESULT],"Draw")</f>
        <v>0</v>
      </c>
      <c r="BG17" s="4">
        <f>COUNTIF(tblActuals3541519[Loser],BD17)</f>
        <v>0</v>
      </c>
      <c r="BH17" s="4">
        <f>BF17+(3*BE17)</f>
        <v>0</v>
      </c>
      <c r="BI17" s="4">
        <f>SUMIFS(tblActuals3541519[Team 1 Goals],tblActuals3541519[Team 1],BD17)+SUMIFS(tblActuals3541519[Team 2 Goals],tblActuals3541519[Team 2],BD17)</f>
        <v>0</v>
      </c>
      <c r="BJ17" s="4">
        <f>SUMIFS(tblActuals3541519[Team 2 Goals],tblActuals3541519[Team 1],BD17)+SUMIFS(tblActuals3541519[Team 1 Goals],tblActuals3541519[Team 2],BD17)</f>
        <v>0</v>
      </c>
      <c r="BK17" s="4">
        <f>BI17-BJ17</f>
        <v>0</v>
      </c>
      <c r="BL17" s="4">
        <f ca="1">RANK(BY17,$BY$14:$BY$17,1)</f>
        <v>4</v>
      </c>
      <c r="BM17" s="4" t="str">
        <f t="shared" si="4"/>
        <v/>
      </c>
      <c r="BN17" s="4" t="str">
        <f ca="1">IF(BM17="",BL17&amp;BC17,BM17&amp;BC17)</f>
        <v>4C</v>
      </c>
      <c r="BO17" s="4">
        <f>RANK(BH17,$BH$14:$BH$17,0)</f>
        <v>1</v>
      </c>
      <c r="BP17" s="4" cm="1">
        <f t="array" aca="1" ref="BP17" ca="1">SUMPRODUCT((OFFSET($CV$3:$EA$3,MATCH($BD17,$CU$4:$CU$35,0),0))*((IF($BO15=$BO17,$CV$3:$EA$3=$BD15,0))+(IF($BO14=$BO17,$CV$3:$EA$3=$BD14,0))+(IF($BO16=$BO17,$CV$3:$EA$3=$BD16,0))))</f>
        <v>0</v>
      </c>
      <c r="BQ17" s="4" cm="1">
        <f t="array" aca="1" ref="BQ17" ca="1">SUMPRODUCT((OFFSET($ED$3:$FI$3,MATCH($BD17,$EC$4:$EC$35,0),0))*((IF($BO15=$BO17,$ED$3:$FI$3=$BD15,0))+(IF($BO14=$BO17,$ED$3:$FI$3=$BD14,0))+(IF($BO16=$BO17,$ED$3:$FI$3=$BD16,0))))</f>
        <v>0</v>
      </c>
      <c r="BR17" s="4" cm="1">
        <f t="array" aca="1" ref="BR17" ca="1">SUMPRODUCT((OFFSET($FL$3:$GQ$3,MATCH($BD17,$FK$4:$FK$35,0),0))*((IF($BO15=$BO17,$FL$3:$GQ$3=$BD15,0))+(IF($BO14=$BO17,$FL$3:$GQ$3=$BD14,0))+(IF($BO16=$BO17,$FL$3:$GQ$3=$BD16,0))))</f>
        <v>0</v>
      </c>
      <c r="BS17" s="4" cm="1">
        <f t="array" aca="1" ref="BS17" ca="1">SUMPRODUCT((OFFSET($CV$3:$EA$3,MATCH($BD17,$CU$4:$CU$35,0),0))*((IF($BO15&lt;&gt;$BO17,$CV$3:$EA$3=$BD15,0))+(IF($BO14&lt;&gt;$BO17,$CV$3:$EA$3=$BD14,0))+(IF($BO16&lt;&gt;$BO17,$CV$3:$EA$3=$BD16,0))))</f>
        <v>0</v>
      </c>
      <c r="BT17" s="4" cm="1">
        <f t="array" aca="1" ref="BT17" ca="1">SUMPRODUCT((OFFSET($ED$3:$FI$3,MATCH($BD17,$EC$4:$EC$35,0),0))*((IF($BO15&lt;&gt;$BO17,$ED$3:$FI$3=$BD15,0))+(IF($BO14&lt;&gt;$BO17,$ED$3:$FI$3=$BD14,0))+(IF($BO16&lt;&gt;$BO17,$ED$3:$FI$3=$BD16,0))))</f>
        <v>0</v>
      </c>
      <c r="BU17" s="4" cm="1">
        <f t="array" aca="1" ref="BU17" ca="1">SUMPRODUCT((OFFSET($FL$3:$GQ$3,MATCH($BD17,$FK$4:$FK$35,0),0))*((IF($BO15&lt;&gt;$BO17,$FL$3:$GQ$3=$BD15,0))+(IF($BO14&lt;&gt;$BO17,$FL$3:$GQ$3=$BD14,0))+(IF($BO16&lt;&gt;$BO17,$FL$3:$GQ$3=$BD16,0))))</f>
        <v>0</v>
      </c>
      <c r="BV17" s="4">
        <f>BK17</f>
        <v>0</v>
      </c>
      <c r="BW17" s="4">
        <f>BI17</f>
        <v>0</v>
      </c>
      <c r="BX17" s="4">
        <f ca="1">(BP17/10)+(BQ17/100)+(BR17/1000)+(BT17/10000)+(BU17/100000)+(BV17/1000000)+(BW17/10000000)+(ROW(BS14)/100000000)</f>
        <v>1.4000000000000001E-7</v>
      </c>
      <c r="BY17" s="4">
        <f ca="1">+BO17-BX17</f>
        <v>0.99999985999999996</v>
      </c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U17" s="4" t="s">
        <v>8</v>
      </c>
      <c r="CV17" s="56">
        <f>SUMIFS(tblActuals3541519[Team 2 Points],tblActuals3541519[Team 2],$CU17,tblActuals3541519[Team 1],CV$3)+SUMIFS(tblActuals3541519[Team 1 Points],tblActuals3541519[Team 1],$CU17,tblActuals3541519[Team 2],CV$3)</f>
        <v>0</v>
      </c>
      <c r="CW17" s="56">
        <f>SUMIFS(tblActuals3541519[Team 2 Points],tblActuals3541519[Team 2],$CU17,tblActuals3541519[Team 1],CW$3)+SUMIFS(tblActuals3541519[Team 1 Points],tblActuals3541519[Team 1],$CU17,tblActuals3541519[Team 2],CW$3)</f>
        <v>0</v>
      </c>
      <c r="CX17" s="56">
        <f>SUMIFS(tblActuals3541519[Team 2 Points],tblActuals3541519[Team 2],$CU17,tblActuals3541519[Team 1],CX$3)+SUMIFS(tblActuals3541519[Team 1 Points],tblActuals3541519[Team 1],$CU17,tblActuals3541519[Team 2],CX$3)</f>
        <v>0</v>
      </c>
      <c r="CY17" s="56">
        <f>SUMIFS(tblActuals3541519[Team 2 Points],tblActuals3541519[Team 2],$CU17,tblActuals3541519[Team 1],CY$3)+SUMIFS(tblActuals3541519[Team 1 Points],tblActuals3541519[Team 1],$CU17,tblActuals3541519[Team 2],CY$3)</f>
        <v>0</v>
      </c>
      <c r="CZ17" s="56">
        <f>SUMIFS(tblActuals3541519[Team 2 Points],tblActuals3541519[Team 2],$CU17,tblActuals3541519[Team 1],CZ$3)+SUMIFS(tblActuals3541519[Team 1 Points],tblActuals3541519[Team 1],$CU17,tblActuals3541519[Team 2],CZ$3)</f>
        <v>0</v>
      </c>
      <c r="DA17" s="56">
        <f>SUMIFS(tblActuals3541519[Team 2 Points],tblActuals3541519[Team 2],$CU17,tblActuals3541519[Team 1],DA$3)+SUMIFS(tblActuals3541519[Team 1 Points],tblActuals3541519[Team 1],$CU17,tblActuals3541519[Team 2],DA$3)</f>
        <v>0</v>
      </c>
      <c r="DB17" s="56">
        <f>SUMIFS(tblActuals3541519[Team 2 Points],tblActuals3541519[Team 2],$CU17,tblActuals3541519[Team 1],DB$3)+SUMIFS(tblActuals3541519[Team 1 Points],tblActuals3541519[Team 1],$CU17,tblActuals3541519[Team 2],DB$3)</f>
        <v>0</v>
      </c>
      <c r="DC17" s="56">
        <f>SUMIFS(tblActuals3541519[Team 2 Points],tblActuals3541519[Team 2],$CU17,tblActuals3541519[Team 1],DC$3)+SUMIFS(tblActuals3541519[Team 1 Points],tblActuals3541519[Team 1],$CU17,tblActuals3541519[Team 2],DC$3)</f>
        <v>0</v>
      </c>
      <c r="DD17" s="56">
        <f>SUMIFS(tblActuals3541519[Team 2 Points],tblActuals3541519[Team 2],$CU17,tblActuals3541519[Team 1],DD$3)+SUMIFS(tblActuals3541519[Team 1 Points],tblActuals3541519[Team 1],$CU17,tblActuals3541519[Team 2],DD$3)</f>
        <v>0</v>
      </c>
      <c r="DE17" s="56">
        <f>SUMIFS(tblActuals3541519[Team 2 Points],tblActuals3541519[Team 2],$CU17,tblActuals3541519[Team 1],DE$3)+SUMIFS(tblActuals3541519[Team 1 Points],tblActuals3541519[Team 1],$CU17,tblActuals3541519[Team 2],DE$3)</f>
        <v>0</v>
      </c>
      <c r="DF17" s="56">
        <f>SUMIFS(tblActuals3541519[Team 2 Points],tblActuals3541519[Team 2],$CU17,tblActuals3541519[Team 1],DF$3)+SUMIFS(tblActuals3541519[Team 1 Points],tblActuals3541519[Team 1],$CU17,tblActuals3541519[Team 2],DF$3)</f>
        <v>0</v>
      </c>
      <c r="DG17" s="56">
        <f>SUMIFS(tblActuals3541519[Team 2 Points],tblActuals3541519[Team 2],$CU17,tblActuals3541519[Team 1],DG$3)+SUMIFS(tblActuals3541519[Team 1 Points],tblActuals3541519[Team 1],$CU17,tblActuals3541519[Team 2],DG$3)</f>
        <v>0</v>
      </c>
      <c r="DH17" s="56">
        <f>SUMIFS(tblActuals3541519[Team 2 Points],tblActuals3541519[Team 2],$CU17,tblActuals3541519[Team 1],DH$3)+SUMIFS(tblActuals3541519[Team 1 Points],tblActuals3541519[Team 1],$CU17,tblActuals3541519[Team 2],DH$3)</f>
        <v>0</v>
      </c>
      <c r="DI17" s="56">
        <f>SUMIFS(tblActuals3541519[Team 2 Points],tblActuals3541519[Team 2],$CU17,tblActuals3541519[Team 1],DI$3)+SUMIFS(tblActuals3541519[Team 1 Points],tblActuals3541519[Team 1],$CU17,tblActuals3541519[Team 2],DI$3)</f>
        <v>0</v>
      </c>
      <c r="DJ17" s="56">
        <f>SUMIFS(tblActuals3541519[Team 2 Points],tblActuals3541519[Team 2],$CU17,tblActuals3541519[Team 1],DJ$3)+SUMIFS(tblActuals3541519[Team 1 Points],tblActuals3541519[Team 1],$CU17,tblActuals3541519[Team 2],DJ$3)</f>
        <v>0</v>
      </c>
      <c r="DK17" s="56">
        <f>SUMIFS(tblActuals3541519[Team 2 Points],tblActuals3541519[Team 2],$CU17,tblActuals3541519[Team 1],DK$3)+SUMIFS(tblActuals3541519[Team 1 Points],tblActuals3541519[Team 1],$CU17,tblActuals3541519[Team 2],DK$3)</f>
        <v>0</v>
      </c>
      <c r="DL17" s="56">
        <f>SUMIFS(tblActuals3541519[Team 2 Points],tblActuals3541519[Team 2],$CU17,tblActuals3541519[Team 1],DL$3)+SUMIFS(tblActuals3541519[Team 1 Points],tblActuals3541519[Team 1],$CU17,tblActuals3541519[Team 2],DL$3)</f>
        <v>0</v>
      </c>
      <c r="DM17" s="56">
        <f>SUMIFS(tblActuals3541519[Team 2 Points],tblActuals3541519[Team 2],$CU17,tblActuals3541519[Team 1],DM$3)+SUMIFS(tblActuals3541519[Team 1 Points],tblActuals3541519[Team 1],$CU17,tblActuals3541519[Team 2],DM$3)</f>
        <v>0</v>
      </c>
      <c r="DN17" s="56">
        <f>SUMIFS(tblActuals3541519[Team 2 Points],tblActuals3541519[Team 2],$CU17,tblActuals3541519[Team 1],DN$3)+SUMIFS(tblActuals3541519[Team 1 Points],tblActuals3541519[Team 1],$CU17,tblActuals3541519[Team 2],DN$3)</f>
        <v>0</v>
      </c>
      <c r="DO17" s="56">
        <f>SUMIFS(tblActuals3541519[Team 2 Points],tblActuals3541519[Team 2],$CU17,tblActuals3541519[Team 1],DO$3)+SUMIFS(tblActuals3541519[Team 1 Points],tblActuals3541519[Team 1],$CU17,tblActuals3541519[Team 2],DO$3)</f>
        <v>0</v>
      </c>
      <c r="DP17" s="56">
        <f>SUMIFS(tblActuals3541519[Team 2 Points],tblActuals3541519[Team 2],$CU17,tblActuals3541519[Team 1],DP$3)+SUMIFS(tblActuals3541519[Team 1 Points],tblActuals3541519[Team 1],$CU17,tblActuals3541519[Team 2],DP$3)</f>
        <v>0</v>
      </c>
      <c r="DQ17" s="56">
        <f>SUMIFS(tblActuals3541519[Team 2 Points],tblActuals3541519[Team 2],$CU17,tblActuals3541519[Team 1],DQ$3)+SUMIFS(tblActuals3541519[Team 1 Points],tblActuals3541519[Team 1],$CU17,tblActuals3541519[Team 2],DQ$3)</f>
        <v>0</v>
      </c>
      <c r="DR17" s="56">
        <f>SUMIFS(tblActuals3541519[Team 2 Points],tblActuals3541519[Team 2],$CU17,tblActuals3541519[Team 1],DR$3)+SUMIFS(tblActuals3541519[Team 1 Points],tblActuals3541519[Team 1],$CU17,tblActuals3541519[Team 2],DR$3)</f>
        <v>0</v>
      </c>
      <c r="DS17" s="56">
        <f>SUMIFS(tblActuals3541519[Team 2 Points],tblActuals3541519[Team 2],$CU17,tblActuals3541519[Team 1],DS$3)+SUMIFS(tblActuals3541519[Team 1 Points],tblActuals3541519[Team 1],$CU17,tblActuals3541519[Team 2],DS$3)</f>
        <v>0</v>
      </c>
      <c r="DT17" s="57"/>
      <c r="DU17" s="57"/>
      <c r="DV17" s="57"/>
      <c r="DW17" s="57"/>
      <c r="DX17" s="57"/>
      <c r="DY17" s="57"/>
      <c r="DZ17" s="57"/>
      <c r="EA17" s="57"/>
      <c r="EB17" s="4"/>
      <c r="EC17" s="4" t="s">
        <v>8</v>
      </c>
      <c r="ED17" s="56">
        <f>SUMIFS(tblActuals3541519[Team 2 GD],tblActuals3541519[Team 2],$CU17,tblActuals3541519[Team 1],ED$3)+SUMIFS(tblActuals3541519[Team 1 GD],tblActuals3541519[Team 1],$CU17,tblActuals3541519[Team 2],ED$3)</f>
        <v>0</v>
      </c>
      <c r="EE17" s="56">
        <f>SUMIFS(tblActuals3541519[Team 2 GD],tblActuals3541519[Team 2],$CU17,tblActuals3541519[Team 1],EE$3)+SUMIFS(tblActuals3541519[Team 1 GD],tblActuals3541519[Team 1],$CU17,tblActuals3541519[Team 2],EE$3)</f>
        <v>0</v>
      </c>
      <c r="EF17" s="56">
        <f>SUMIFS(tblActuals3541519[Team 2 GD],tblActuals3541519[Team 2],$CU17,tblActuals3541519[Team 1],EF$3)+SUMIFS(tblActuals3541519[Team 1 GD],tblActuals3541519[Team 1],$CU17,tblActuals3541519[Team 2],EF$3)</f>
        <v>0</v>
      </c>
      <c r="EG17" s="56">
        <f>SUMIFS(tblActuals3541519[Team 2 GD],tblActuals3541519[Team 2],$CU17,tblActuals3541519[Team 1],EG$3)+SUMIFS(tblActuals3541519[Team 1 GD],tblActuals3541519[Team 1],$CU17,tblActuals3541519[Team 2],EG$3)</f>
        <v>0</v>
      </c>
      <c r="EH17" s="56">
        <f>SUMIFS(tblActuals3541519[Team 2 GD],tblActuals3541519[Team 2],$CU17,tblActuals3541519[Team 1],EH$3)+SUMIFS(tblActuals3541519[Team 1 GD],tblActuals3541519[Team 1],$CU17,tblActuals3541519[Team 2],EH$3)</f>
        <v>0</v>
      </c>
      <c r="EI17" s="56">
        <f>SUMIFS(tblActuals3541519[Team 2 GD],tblActuals3541519[Team 2],$CU17,tblActuals3541519[Team 1],EI$3)+SUMIFS(tblActuals3541519[Team 1 GD],tblActuals3541519[Team 1],$CU17,tblActuals3541519[Team 2],EI$3)</f>
        <v>0</v>
      </c>
      <c r="EJ17" s="56">
        <f>SUMIFS(tblActuals3541519[Team 2 GD],tblActuals3541519[Team 2],$CU17,tblActuals3541519[Team 1],EJ$3)+SUMIFS(tblActuals3541519[Team 1 GD],tblActuals3541519[Team 1],$CU17,tblActuals3541519[Team 2],EJ$3)</f>
        <v>0</v>
      </c>
      <c r="EK17" s="56">
        <f>SUMIFS(tblActuals3541519[Team 2 GD],tblActuals3541519[Team 2],$CU17,tblActuals3541519[Team 1],EK$3)+SUMIFS(tblActuals3541519[Team 1 GD],tblActuals3541519[Team 1],$CU17,tblActuals3541519[Team 2],EK$3)</f>
        <v>0</v>
      </c>
      <c r="EL17" s="56">
        <f>SUMIFS(tblActuals3541519[Team 2 GD],tblActuals3541519[Team 2],$CU17,tblActuals3541519[Team 1],EL$3)+SUMIFS(tblActuals3541519[Team 1 GD],tblActuals3541519[Team 1],$CU17,tblActuals3541519[Team 2],EL$3)</f>
        <v>0</v>
      </c>
      <c r="EM17" s="56">
        <f>SUMIFS(tblActuals3541519[Team 2 GD],tblActuals3541519[Team 2],$CU17,tblActuals3541519[Team 1],EM$3)+SUMIFS(tblActuals3541519[Team 1 GD],tblActuals3541519[Team 1],$CU17,tblActuals3541519[Team 2],EM$3)</f>
        <v>0</v>
      </c>
      <c r="EN17" s="56">
        <f>SUMIFS(tblActuals3541519[Team 2 GD],tblActuals3541519[Team 2],$CU17,tblActuals3541519[Team 1],EN$3)+SUMIFS(tblActuals3541519[Team 1 GD],tblActuals3541519[Team 1],$CU17,tblActuals3541519[Team 2],EN$3)</f>
        <v>0</v>
      </c>
      <c r="EO17" s="56">
        <f>SUMIFS(tblActuals3541519[Team 2 GD],tblActuals3541519[Team 2],$CU17,tblActuals3541519[Team 1],EO$3)+SUMIFS(tblActuals3541519[Team 1 GD],tblActuals3541519[Team 1],$CU17,tblActuals3541519[Team 2],EO$3)</f>
        <v>0</v>
      </c>
      <c r="EP17" s="56">
        <f>SUMIFS(tblActuals3541519[Team 2 GD],tblActuals3541519[Team 2],$CU17,tblActuals3541519[Team 1],EP$3)+SUMIFS(tblActuals3541519[Team 1 GD],tblActuals3541519[Team 1],$CU17,tblActuals3541519[Team 2],EP$3)</f>
        <v>0</v>
      </c>
      <c r="EQ17" s="56">
        <f>SUMIFS(tblActuals3541519[Team 2 GD],tblActuals3541519[Team 2],$CU17,tblActuals3541519[Team 1],EQ$3)+SUMIFS(tblActuals3541519[Team 1 GD],tblActuals3541519[Team 1],$CU17,tblActuals3541519[Team 2],EQ$3)</f>
        <v>0</v>
      </c>
      <c r="ER17" s="56">
        <f>SUMIFS(tblActuals3541519[Team 2 GD],tblActuals3541519[Team 2],$CU17,tblActuals3541519[Team 1],ER$3)+SUMIFS(tblActuals3541519[Team 1 GD],tblActuals3541519[Team 1],$CU17,tblActuals3541519[Team 2],ER$3)</f>
        <v>0</v>
      </c>
      <c r="ES17" s="56">
        <f>SUMIFS(tblActuals3541519[Team 2 GD],tblActuals3541519[Team 2],$CU17,tblActuals3541519[Team 1],ES$3)+SUMIFS(tblActuals3541519[Team 1 GD],tblActuals3541519[Team 1],$CU17,tblActuals3541519[Team 2],ES$3)</f>
        <v>0</v>
      </c>
      <c r="ET17" s="56">
        <f>SUMIFS(tblActuals3541519[Team 2 GD],tblActuals3541519[Team 2],$CU17,tblActuals3541519[Team 1],ET$3)+SUMIFS(tblActuals3541519[Team 1 GD],tblActuals3541519[Team 1],$CU17,tblActuals3541519[Team 2],ET$3)</f>
        <v>0</v>
      </c>
      <c r="EU17" s="56">
        <f>SUMIFS(tblActuals3541519[Team 2 GD],tblActuals3541519[Team 2],$CU17,tblActuals3541519[Team 1],EU$3)+SUMIFS(tblActuals3541519[Team 1 GD],tblActuals3541519[Team 1],$CU17,tblActuals3541519[Team 2],EU$3)</f>
        <v>0</v>
      </c>
      <c r="EV17" s="56">
        <f>SUMIFS(tblActuals3541519[Team 2 GD],tblActuals3541519[Team 2],$CU17,tblActuals3541519[Team 1],EV$3)+SUMIFS(tblActuals3541519[Team 1 GD],tblActuals3541519[Team 1],$CU17,tblActuals3541519[Team 2],EV$3)</f>
        <v>0</v>
      </c>
      <c r="EW17" s="56">
        <f>SUMIFS(tblActuals3541519[Team 2 GD],tblActuals3541519[Team 2],$CU17,tblActuals3541519[Team 1],EW$3)+SUMIFS(tblActuals3541519[Team 1 GD],tblActuals3541519[Team 1],$CU17,tblActuals3541519[Team 2],EW$3)</f>
        <v>0</v>
      </c>
      <c r="EX17" s="56">
        <f>SUMIFS(tblActuals3541519[Team 2 GD],tblActuals3541519[Team 2],$CU17,tblActuals3541519[Team 1],EX$3)+SUMIFS(tblActuals3541519[Team 1 GD],tblActuals3541519[Team 1],$CU17,tblActuals3541519[Team 2],EX$3)</f>
        <v>0</v>
      </c>
      <c r="EY17" s="56">
        <f>SUMIFS(tblActuals3541519[Team 2 GD],tblActuals3541519[Team 2],$CU17,tblActuals3541519[Team 1],EY$3)+SUMIFS(tblActuals3541519[Team 1 GD],tblActuals3541519[Team 1],$CU17,tblActuals3541519[Team 2],EY$3)</f>
        <v>0</v>
      </c>
      <c r="EZ17" s="56">
        <f>SUMIFS(tblActuals3541519[Team 2 GD],tblActuals3541519[Team 2],$CU17,tblActuals3541519[Team 1],EZ$3)+SUMIFS(tblActuals3541519[Team 1 GD],tblActuals3541519[Team 1],$CU17,tblActuals3541519[Team 2],EZ$3)</f>
        <v>0</v>
      </c>
      <c r="FA17" s="56">
        <f>SUMIFS(tblActuals3541519[Team 2 GD],tblActuals3541519[Team 2],$CU17,tblActuals3541519[Team 1],FA$3)+SUMIFS(tblActuals3541519[Team 1 GD],tblActuals3541519[Team 1],$CU17,tblActuals3541519[Team 2],FA$3)</f>
        <v>0</v>
      </c>
      <c r="FB17" s="57"/>
      <c r="FC17" s="57"/>
      <c r="FD17" s="57"/>
      <c r="FE17" s="57"/>
      <c r="FF17" s="57"/>
      <c r="FG17" s="57"/>
      <c r="FH17" s="57"/>
      <c r="FI17" s="57"/>
      <c r="FJ17" s="4"/>
      <c r="FK17" s="4" t="s">
        <v>8</v>
      </c>
      <c r="FL17" s="56">
        <f>SUMIFS(tblActuals3541519[Team 2 Goals],tblActuals3541519[Team 2],$CU17,tblActuals3541519[Team 1],FL$3)+SUMIFS(tblActuals3541519[Team 1 Goals],tblActuals3541519[Team 1],$CU17,tblActuals3541519[Team 2],FL$3)</f>
        <v>0</v>
      </c>
      <c r="FM17" s="56">
        <f>SUMIFS(tblActuals3541519[Team 2 Goals],tblActuals3541519[Team 2],$CU17,tblActuals3541519[Team 1],FM$3)+SUMIFS(tblActuals3541519[Team 1 Goals],tblActuals3541519[Team 1],$CU17,tblActuals3541519[Team 2],FM$3)</f>
        <v>0</v>
      </c>
      <c r="FN17" s="56">
        <f>SUMIFS(tblActuals3541519[Team 2 Goals],tblActuals3541519[Team 2],$CU17,tblActuals3541519[Team 1],FN$3)+SUMIFS(tblActuals3541519[Team 1 Goals],tblActuals3541519[Team 1],$CU17,tblActuals3541519[Team 2],FN$3)</f>
        <v>0</v>
      </c>
      <c r="FO17" s="56">
        <f>SUMIFS(tblActuals3541519[Team 2 Goals],tblActuals3541519[Team 2],$CU17,tblActuals3541519[Team 1],FO$3)+SUMIFS(tblActuals3541519[Team 1 Goals],tblActuals3541519[Team 1],$CU17,tblActuals3541519[Team 2],FO$3)</f>
        <v>0</v>
      </c>
      <c r="FP17" s="56">
        <f>SUMIFS(tblActuals3541519[Team 2 Goals],tblActuals3541519[Team 2],$CU17,tblActuals3541519[Team 1],FP$3)+SUMIFS(tblActuals3541519[Team 1 Goals],tblActuals3541519[Team 1],$CU17,tblActuals3541519[Team 2],FP$3)</f>
        <v>0</v>
      </c>
      <c r="FQ17" s="56">
        <f>SUMIFS(tblActuals3541519[Team 2 Goals],tblActuals3541519[Team 2],$CU17,tblActuals3541519[Team 1],FQ$3)+SUMIFS(tblActuals3541519[Team 1 Goals],tblActuals3541519[Team 1],$CU17,tblActuals3541519[Team 2],FQ$3)</f>
        <v>0</v>
      </c>
      <c r="FR17" s="56">
        <f>SUMIFS(tblActuals3541519[Team 2 Goals],tblActuals3541519[Team 2],$CU17,tblActuals3541519[Team 1],FR$3)+SUMIFS(tblActuals3541519[Team 1 Goals],tblActuals3541519[Team 1],$CU17,tblActuals3541519[Team 2],FR$3)</f>
        <v>0</v>
      </c>
      <c r="FS17" s="56">
        <f>SUMIFS(tblActuals3541519[Team 2 Goals],tblActuals3541519[Team 2],$CU17,tblActuals3541519[Team 1],FS$3)+SUMIFS(tblActuals3541519[Team 1 Goals],tblActuals3541519[Team 1],$CU17,tblActuals3541519[Team 2],FS$3)</f>
        <v>0</v>
      </c>
      <c r="FT17" s="56">
        <f>SUMIFS(tblActuals3541519[Team 2 Goals],tblActuals3541519[Team 2],$CU17,tblActuals3541519[Team 1],FT$3)+SUMIFS(tblActuals3541519[Team 1 Goals],tblActuals3541519[Team 1],$CU17,tblActuals3541519[Team 2],FT$3)</f>
        <v>0</v>
      </c>
      <c r="FU17" s="56">
        <f>SUMIFS(tblActuals3541519[Team 2 Goals],tblActuals3541519[Team 2],$CU17,tblActuals3541519[Team 1],FU$3)+SUMIFS(tblActuals3541519[Team 1 Goals],tblActuals3541519[Team 1],$CU17,tblActuals3541519[Team 2],FU$3)</f>
        <v>0</v>
      </c>
      <c r="FV17" s="56">
        <f>SUMIFS(tblActuals3541519[Team 2 Goals],tblActuals3541519[Team 2],$CU17,tblActuals3541519[Team 1],FV$3)+SUMIFS(tblActuals3541519[Team 1 Goals],tblActuals3541519[Team 1],$CU17,tblActuals3541519[Team 2],FV$3)</f>
        <v>0</v>
      </c>
      <c r="FW17" s="56">
        <f>SUMIFS(tblActuals3541519[Team 2 Goals],tblActuals3541519[Team 2],$CU17,tblActuals3541519[Team 1],FW$3)+SUMIFS(tblActuals3541519[Team 1 Goals],tblActuals3541519[Team 1],$CU17,tblActuals3541519[Team 2],FW$3)</f>
        <v>0</v>
      </c>
      <c r="FX17" s="56">
        <f>SUMIFS(tblActuals3541519[Team 2 Goals],tblActuals3541519[Team 2],$CU17,tblActuals3541519[Team 1],FX$3)+SUMIFS(tblActuals3541519[Team 1 Goals],tblActuals3541519[Team 1],$CU17,tblActuals3541519[Team 2],FX$3)</f>
        <v>0</v>
      </c>
      <c r="FY17" s="56">
        <f>SUMIFS(tblActuals3541519[Team 2 Goals],tblActuals3541519[Team 2],$CU17,tblActuals3541519[Team 1],FY$3)+SUMIFS(tblActuals3541519[Team 1 Goals],tblActuals3541519[Team 1],$CU17,tblActuals3541519[Team 2],FY$3)</f>
        <v>0</v>
      </c>
      <c r="FZ17" s="56">
        <f>SUMIFS(tblActuals3541519[Team 2 Goals],tblActuals3541519[Team 2],$CU17,tblActuals3541519[Team 1],FZ$3)+SUMIFS(tblActuals3541519[Team 1 Goals],tblActuals3541519[Team 1],$CU17,tblActuals3541519[Team 2],FZ$3)</f>
        <v>0</v>
      </c>
      <c r="GA17" s="56">
        <f>SUMIFS(tblActuals3541519[Team 2 Goals],tblActuals3541519[Team 2],$CU17,tblActuals3541519[Team 1],GA$3)+SUMIFS(tblActuals3541519[Team 1 Goals],tblActuals3541519[Team 1],$CU17,tblActuals3541519[Team 2],GA$3)</f>
        <v>0</v>
      </c>
      <c r="GB17" s="56">
        <f>SUMIFS(tblActuals3541519[Team 2 Goals],tblActuals3541519[Team 2],$CU17,tblActuals3541519[Team 1],GB$3)+SUMIFS(tblActuals3541519[Team 1 Goals],tblActuals3541519[Team 1],$CU17,tblActuals3541519[Team 2],GB$3)</f>
        <v>0</v>
      </c>
      <c r="GC17" s="56">
        <f>SUMIFS(tblActuals3541519[Team 2 Goals],tblActuals3541519[Team 2],$CU17,tblActuals3541519[Team 1],GC$3)+SUMIFS(tblActuals3541519[Team 1 Goals],tblActuals3541519[Team 1],$CU17,tblActuals3541519[Team 2],GC$3)</f>
        <v>0</v>
      </c>
      <c r="GD17" s="56">
        <f>SUMIFS(tblActuals3541519[Team 2 Goals],tblActuals3541519[Team 2],$CU17,tblActuals3541519[Team 1],GD$3)+SUMIFS(tblActuals3541519[Team 1 Goals],tblActuals3541519[Team 1],$CU17,tblActuals3541519[Team 2],GD$3)</f>
        <v>0</v>
      </c>
      <c r="GE17" s="56">
        <f>SUMIFS(tblActuals3541519[Team 2 Goals],tblActuals3541519[Team 2],$CU17,tblActuals3541519[Team 1],GE$3)+SUMIFS(tblActuals3541519[Team 1 Goals],tblActuals3541519[Team 1],$CU17,tblActuals3541519[Team 2],GE$3)</f>
        <v>0</v>
      </c>
      <c r="GF17" s="56">
        <f>SUMIFS(tblActuals3541519[Team 2 Goals],tblActuals3541519[Team 2],$CU17,tblActuals3541519[Team 1],GF$3)+SUMIFS(tblActuals3541519[Team 1 Goals],tblActuals3541519[Team 1],$CU17,tblActuals3541519[Team 2],GF$3)</f>
        <v>0</v>
      </c>
      <c r="GG17" s="56">
        <f>SUMIFS(tblActuals3541519[Team 2 Goals],tblActuals3541519[Team 2],$CU17,tblActuals3541519[Team 1],GG$3)+SUMIFS(tblActuals3541519[Team 1 Goals],tblActuals3541519[Team 1],$CU17,tblActuals3541519[Team 2],GG$3)</f>
        <v>0</v>
      </c>
      <c r="GH17" s="56">
        <f>SUMIFS(tblActuals3541519[Team 2 Goals],tblActuals3541519[Team 2],$CU17,tblActuals3541519[Team 1],GH$3)+SUMIFS(tblActuals3541519[Team 1 Goals],tblActuals3541519[Team 1],$CU17,tblActuals3541519[Team 2],GH$3)</f>
        <v>0</v>
      </c>
      <c r="GI17" s="56">
        <f>SUMIFS(tblActuals3541519[Team 2 Goals],tblActuals3541519[Team 2],$CU17,tblActuals3541519[Team 1],GI$3)+SUMIFS(tblActuals3541519[Team 1 Goals],tblActuals3541519[Team 1],$CU17,tblActuals3541519[Team 2],GI$3)</f>
        <v>0</v>
      </c>
      <c r="GJ17" s="57"/>
      <c r="GK17" s="57"/>
      <c r="GL17" s="37"/>
      <c r="GM17" s="37"/>
      <c r="GN17" s="37"/>
      <c r="GO17" s="37"/>
      <c r="GP17" s="37"/>
      <c r="GQ17" s="37"/>
      <c r="GR17" s="75"/>
      <c r="GS17" s="156"/>
      <c r="GT17" s="156"/>
      <c r="GU17" s="75"/>
      <c r="GV17" s="75"/>
      <c r="GW17" s="75"/>
      <c r="GX17" s="75"/>
      <c r="GY17" s="75"/>
      <c r="GZ17" s="75"/>
      <c r="HB17" s="4" t="str">
        <f t="shared" si="12"/>
        <v>BCEF</v>
      </c>
      <c r="HC17" s="45"/>
      <c r="HD17" s="44" t="s">
        <v>5</v>
      </c>
      <c r="HE17" s="44" t="s">
        <v>6</v>
      </c>
      <c r="HF17" s="45"/>
      <c r="HG17" s="44" t="s">
        <v>12</v>
      </c>
      <c r="HH17" s="44" t="s">
        <v>45</v>
      </c>
      <c r="HI17" s="178"/>
      <c r="HJ17" s="45" t="s">
        <v>154</v>
      </c>
      <c r="HK17" s="45" t="s">
        <v>153</v>
      </c>
      <c r="HL17" s="45" t="s">
        <v>152</v>
      </c>
      <c r="HM17" s="45" t="s">
        <v>151</v>
      </c>
    </row>
    <row r="18" spans="1:221" s="11" customFormat="1" ht="30" customHeight="1" x14ac:dyDescent="0.25">
      <c r="A18" s="20"/>
      <c r="B18" s="122">
        <v>15</v>
      </c>
      <c r="C18" s="122" t="s">
        <v>5</v>
      </c>
      <c r="D18" s="123">
        <v>45462</v>
      </c>
      <c r="E18" s="122" t="s">
        <v>84</v>
      </c>
      <c r="F18" s="124">
        <v>0.625</v>
      </c>
      <c r="G18" s="125">
        <f t="shared" si="11"/>
        <v>45462.375</v>
      </c>
      <c r="H18" s="122" t="s">
        <v>103</v>
      </c>
      <c r="I18" s="126"/>
      <c r="J18" s="118"/>
      <c r="K18" s="118"/>
      <c r="L18" s="174">
        <f>IF(I18="",0,IFERROR(IF(SCORING.RULES!$C$8="No",1,((VLOOKUP($B18,ACTUALS!$B$4:$L$100,7,FALSE)=$H18)+(VLOOKUP($B18,ACTUALS!$B$4:$L$100,7,FALSE)=S18)))*(M18+N18+O18+P18+Q18),0))+$R18</f>
        <v>0</v>
      </c>
      <c r="M18" s="168">
        <f>IFERROR(IF($B18="","",IF(U18=INDEX(ACTUALS!$AA$4:$AA$100,MATCH($B18,ACTUALS!$B$4:$B$100,0),1),CorrectScore,0)),0)</f>
        <v>0</v>
      </c>
      <c r="N18" s="157" t="str">
        <f>IFERROR(IF(I18="","",IF(INDEX(ACTUALS!$AB$4:$AB$100,MATCH($B18,ACTUALS!$B$4:$B$100,0),1)=(AB18+AC18+AH18+AI18),CorrectNumberofGoals,0)),0)</f>
        <v/>
      </c>
      <c r="O18" s="157"/>
      <c r="P18" s="157">
        <f>IFERROR(IF(B18="","",IF(INDEX(ACTUALS!$L$4:$L$100,MATCH($B18,ACTUALS!$B$4:$B$100,0),1)=W18,CorrectResult,0)),0)</f>
        <v>3</v>
      </c>
      <c r="Q18" s="157"/>
      <c r="R18" s="157"/>
      <c r="S18" s="157" t="str">
        <f t="shared" si="0"/>
        <v/>
      </c>
      <c r="T18" s="157"/>
      <c r="U18" s="157" t="str">
        <f t="shared" si="1"/>
        <v/>
      </c>
      <c r="V18" s="157" t="str">
        <f t="shared" si="2"/>
        <v/>
      </c>
      <c r="W18" s="119" t="str">
        <f>IF(tblActuals3541519[[#This Row],[SCORE]]="","",IF(AB18=AC18,"Draw",IF(AB18&gt;AC18,X18,Y18)))</f>
        <v/>
      </c>
      <c r="X18" s="120" t="str">
        <f>IF(tblActuals3541519[[#This Row],[TEAMS]]="","",LEFT(H18,FIND(" -",H18,1)-1))</f>
        <v>Croatia</v>
      </c>
      <c r="Y18" s="120" t="str">
        <f>IF(tblActuals3541519[[#This Row],[TEAMS]]="","",MID(H18,FIND("-",H18,1)+2,LEN(H18)-FIND("-",H18,1)+2))</f>
        <v>Albania</v>
      </c>
      <c r="Z18" s="120" t="str">
        <f>IF(tblActuals3541519[[#This Row],[Team 1 Goals]]&gt;tblActuals3541519[[#This Row],[Team 2 Goals]],tblActuals3541519[[#This Row],[Team 1]],IF(tblActuals3541519[[#This Row],[Team 2 Goals]]&gt;tblActuals3541519[[#This Row],[Team 1 Goals]],tblActuals3541519[[#This Row],[Team 2]],""))</f>
        <v/>
      </c>
      <c r="AA18" s="120" t="str">
        <f>IF(tblActuals3541519[[#This Row],[Winner]]=tblActuals3541519[[#This Row],[Team 1]],tblActuals3541519[[#This Row],[Team 2]],IF(tblActuals3541519[[#This Row],[Winner]]=tblActuals3541519[[#This Row],[Team 2]],tblActuals3541519[[#This Row],[Team 1]],""))</f>
        <v/>
      </c>
      <c r="AB18" s="120" t="str">
        <f>IF(tblActuals3541519[[#This Row],[SCORE]]="","",LEFT(I18,FIND(":",I18,1)-1)*1)</f>
        <v/>
      </c>
      <c r="AC18" s="120" t="str">
        <f>IF(tblActuals3541519[[#This Row],[SCORE]]="","",MID(I18,FIND(":",I18,1)+1,LEN(I18)-FIND(":",I18,1)+1)*1)</f>
        <v/>
      </c>
      <c r="AD18" s="120" t="str">
        <f>IF(OR(tblActuals3541519[[#This Row],[Team 1 Goals]]="",tblActuals3541519[[#This Row],[Team 2 Goals]]=""),"",tblActuals3541519[[#This Row],[Team 1 Goals]]-tblActuals3541519[[#This Row],[Team 2 Goals]])</f>
        <v/>
      </c>
      <c r="AE18" s="120" t="str">
        <f>IF(OR(tblActuals3541519[[#This Row],[Team 1 Goals]]="",tblActuals3541519[[#This Row],[Team 2 Goals]]=""),"",tblActuals3541519[[#This Row],[Team 2 Goals]]-tblActuals3541519[[#This Row],[Team 1 Goals]])</f>
        <v/>
      </c>
      <c r="AF18" s="120" t="str">
        <f>IF(tblActuals3541519[[#This Row],[SCORE]]="","",IF(tblActuals3541519[[#This Row],[WINNER / RESULT]]="Draw",1,IF(tblActuals3541519[[#This Row],[WINNER / RESULT]]=tblActuals3541519[[#This Row],[Team 1]],3,0)))</f>
        <v/>
      </c>
      <c r="AG18" s="120" t="str">
        <f>IF(tblActuals3541519[[#This Row],[SCORE]]="","",IF(tblActuals3541519[[#This Row],[WINNER / RESULT]]="Draw",1,IF(tblActuals3541519[[#This Row],[WINNER / RESULT]]=tblActuals3541519[[#This Row],[Team 2]],3,0)))</f>
        <v/>
      </c>
      <c r="AH18" s="121"/>
      <c r="AI18" s="121"/>
      <c r="AJ18" s="121"/>
      <c r="AK18" s="121"/>
      <c r="AL18" s="120" t="e">
        <f>tblActuals3541519[[#This Row],[Team 1 Goals]]+tblActuals3541519[[#This Row],[Team 1 ET Goals]]&amp;":"&amp;tblActuals3541519[[#This Row],[Team 2 Goals]]+tblActuals3541519[[#This Row],[Team 2 ET Goals]]</f>
        <v>#VALUE!</v>
      </c>
      <c r="AM18" s="120" t="e">
        <f>+tblActuals3541519[[#This Row],[Team 1 Goals]]+tblActuals3541519[[#This Row],[Team 2 Goals]]</f>
        <v>#VALUE!</v>
      </c>
      <c r="AN18" s="161">
        <f t="shared" si="3"/>
        <v>45462</v>
      </c>
      <c r="AT18" s="77" t="s">
        <v>6</v>
      </c>
      <c r="AU18" s="136">
        <v>1</v>
      </c>
      <c r="AV18" s="137" t="str">
        <f ca="1">IFERROR(INDEX(BD:BD,MATCH("1"&amp;AT18,BN:BN,0),1),"")</f>
        <v>Denmark</v>
      </c>
      <c r="AW18" s="137" t="str">
        <f ca="1">IF(AV18="","",VLOOKUP(AV18,BD:BI,2,FALSE)&amp;"-"&amp;VLOOKUP(AV18,BD:BI,3,FALSE)&amp;"-"&amp;VLOOKUP(AV18,BD:BI,4,FALSE))</f>
        <v>0-0-0</v>
      </c>
      <c r="AX18" s="137">
        <f ca="1">IF(AV18="","",VLOOKUP(AV18,BD:BK,8,FALSE))</f>
        <v>0</v>
      </c>
      <c r="AY18" s="138">
        <f ca="1">IF(AV18="","",VLOOKUP(AV18,BD:BN,5,FALSE))</f>
        <v>0</v>
      </c>
      <c r="AZ18" s="75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 t="str">
        <f t="shared" si="4"/>
        <v/>
      </c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U18" s="4" t="s">
        <v>129</v>
      </c>
      <c r="CV18" s="56">
        <f>SUMIFS(tblActuals3541519[Team 2 Points],tblActuals3541519[Team 2],$CU18,tblActuals3541519[Team 1],CV$3)+SUMIFS(tblActuals3541519[Team 1 Points],tblActuals3541519[Team 1],$CU18,tblActuals3541519[Team 2],CV$3)</f>
        <v>0</v>
      </c>
      <c r="CW18" s="56">
        <f>SUMIFS(tblActuals3541519[Team 2 Points],tblActuals3541519[Team 2],$CU18,tblActuals3541519[Team 1],CW$3)+SUMIFS(tblActuals3541519[Team 1 Points],tblActuals3541519[Team 1],$CU18,tblActuals3541519[Team 2],CW$3)</f>
        <v>0</v>
      </c>
      <c r="CX18" s="56">
        <f>SUMIFS(tblActuals3541519[Team 2 Points],tblActuals3541519[Team 2],$CU18,tblActuals3541519[Team 1],CX$3)+SUMIFS(tblActuals3541519[Team 1 Points],tblActuals3541519[Team 1],$CU18,tblActuals3541519[Team 2],CX$3)</f>
        <v>0</v>
      </c>
      <c r="CY18" s="56">
        <f>SUMIFS(tblActuals3541519[Team 2 Points],tblActuals3541519[Team 2],$CU18,tblActuals3541519[Team 1],CY$3)+SUMIFS(tblActuals3541519[Team 1 Points],tblActuals3541519[Team 1],$CU18,tblActuals3541519[Team 2],CY$3)</f>
        <v>0</v>
      </c>
      <c r="CZ18" s="56">
        <f>SUMIFS(tblActuals3541519[Team 2 Points],tblActuals3541519[Team 2],$CU18,tblActuals3541519[Team 1],CZ$3)+SUMIFS(tblActuals3541519[Team 1 Points],tblActuals3541519[Team 1],$CU18,tblActuals3541519[Team 2],CZ$3)</f>
        <v>0</v>
      </c>
      <c r="DA18" s="56">
        <f>SUMIFS(tblActuals3541519[Team 2 Points],tblActuals3541519[Team 2],$CU18,tblActuals3541519[Team 1],DA$3)+SUMIFS(tblActuals3541519[Team 1 Points],tblActuals3541519[Team 1],$CU18,tblActuals3541519[Team 2],DA$3)</f>
        <v>0</v>
      </c>
      <c r="DB18" s="56">
        <f>SUMIFS(tblActuals3541519[Team 2 Points],tblActuals3541519[Team 2],$CU18,tblActuals3541519[Team 1],DB$3)+SUMIFS(tblActuals3541519[Team 1 Points],tblActuals3541519[Team 1],$CU18,tblActuals3541519[Team 2],DB$3)</f>
        <v>0</v>
      </c>
      <c r="DC18" s="56">
        <f>SUMIFS(tblActuals3541519[Team 2 Points],tblActuals3541519[Team 2],$CU18,tblActuals3541519[Team 1],DC$3)+SUMIFS(tblActuals3541519[Team 1 Points],tblActuals3541519[Team 1],$CU18,tblActuals3541519[Team 2],DC$3)</f>
        <v>0</v>
      </c>
      <c r="DD18" s="56">
        <f>SUMIFS(tblActuals3541519[Team 2 Points],tblActuals3541519[Team 2],$CU18,tblActuals3541519[Team 1],DD$3)+SUMIFS(tblActuals3541519[Team 1 Points],tblActuals3541519[Team 1],$CU18,tblActuals3541519[Team 2],DD$3)</f>
        <v>0</v>
      </c>
      <c r="DE18" s="56">
        <f>SUMIFS(tblActuals3541519[Team 2 Points],tblActuals3541519[Team 2],$CU18,tblActuals3541519[Team 1],DE$3)+SUMIFS(tblActuals3541519[Team 1 Points],tblActuals3541519[Team 1],$CU18,tblActuals3541519[Team 2],DE$3)</f>
        <v>0</v>
      </c>
      <c r="DF18" s="56">
        <f>SUMIFS(tblActuals3541519[Team 2 Points],tblActuals3541519[Team 2],$CU18,tblActuals3541519[Team 1],DF$3)+SUMIFS(tblActuals3541519[Team 1 Points],tblActuals3541519[Team 1],$CU18,tblActuals3541519[Team 2],DF$3)</f>
        <v>0</v>
      </c>
      <c r="DG18" s="56">
        <f>SUMIFS(tblActuals3541519[Team 2 Points],tblActuals3541519[Team 2],$CU18,tblActuals3541519[Team 1],DG$3)+SUMIFS(tblActuals3541519[Team 1 Points],tblActuals3541519[Team 1],$CU18,tblActuals3541519[Team 2],DG$3)</f>
        <v>0</v>
      </c>
      <c r="DH18" s="56">
        <f>SUMIFS(tblActuals3541519[Team 2 Points],tblActuals3541519[Team 2],$CU18,tblActuals3541519[Team 1],DH$3)+SUMIFS(tblActuals3541519[Team 1 Points],tblActuals3541519[Team 1],$CU18,tblActuals3541519[Team 2],DH$3)</f>
        <v>0</v>
      </c>
      <c r="DI18" s="56">
        <f>SUMIFS(tblActuals3541519[Team 2 Points],tblActuals3541519[Team 2],$CU18,tblActuals3541519[Team 1],DI$3)+SUMIFS(tblActuals3541519[Team 1 Points],tblActuals3541519[Team 1],$CU18,tblActuals3541519[Team 2],DI$3)</f>
        <v>0</v>
      </c>
      <c r="DJ18" s="56">
        <f>SUMIFS(tblActuals3541519[Team 2 Points],tblActuals3541519[Team 2],$CU18,tblActuals3541519[Team 1],DJ$3)+SUMIFS(tblActuals3541519[Team 1 Points],tblActuals3541519[Team 1],$CU18,tblActuals3541519[Team 2],DJ$3)</f>
        <v>0</v>
      </c>
      <c r="DK18" s="56">
        <f>SUMIFS(tblActuals3541519[Team 2 Points],tblActuals3541519[Team 2],$CU18,tblActuals3541519[Team 1],DK$3)+SUMIFS(tblActuals3541519[Team 1 Points],tblActuals3541519[Team 1],$CU18,tblActuals3541519[Team 2],DK$3)</f>
        <v>0</v>
      </c>
      <c r="DL18" s="56">
        <f>SUMIFS(tblActuals3541519[Team 2 Points],tblActuals3541519[Team 2],$CU18,tblActuals3541519[Team 1],DL$3)+SUMIFS(tblActuals3541519[Team 1 Points],tblActuals3541519[Team 1],$CU18,tblActuals3541519[Team 2],DL$3)</f>
        <v>0</v>
      </c>
      <c r="DM18" s="56">
        <f>SUMIFS(tblActuals3541519[Team 2 Points],tblActuals3541519[Team 2],$CU18,tblActuals3541519[Team 1],DM$3)+SUMIFS(tblActuals3541519[Team 1 Points],tblActuals3541519[Team 1],$CU18,tblActuals3541519[Team 2],DM$3)</f>
        <v>0</v>
      </c>
      <c r="DN18" s="56">
        <f>SUMIFS(tblActuals3541519[Team 2 Points],tblActuals3541519[Team 2],$CU18,tblActuals3541519[Team 1],DN$3)+SUMIFS(tblActuals3541519[Team 1 Points],tblActuals3541519[Team 1],$CU18,tblActuals3541519[Team 2],DN$3)</f>
        <v>0</v>
      </c>
      <c r="DO18" s="56">
        <f>SUMIFS(tblActuals3541519[Team 2 Points],tblActuals3541519[Team 2],$CU18,tblActuals3541519[Team 1],DO$3)+SUMIFS(tblActuals3541519[Team 1 Points],tblActuals3541519[Team 1],$CU18,tblActuals3541519[Team 2],DO$3)</f>
        <v>0</v>
      </c>
      <c r="DP18" s="56">
        <f>SUMIFS(tblActuals3541519[Team 2 Points],tblActuals3541519[Team 2],$CU18,tblActuals3541519[Team 1],DP$3)+SUMIFS(tblActuals3541519[Team 1 Points],tblActuals3541519[Team 1],$CU18,tblActuals3541519[Team 2],DP$3)</f>
        <v>0</v>
      </c>
      <c r="DQ18" s="56">
        <f>SUMIFS(tblActuals3541519[Team 2 Points],tblActuals3541519[Team 2],$CU18,tblActuals3541519[Team 1],DQ$3)+SUMIFS(tblActuals3541519[Team 1 Points],tblActuals3541519[Team 1],$CU18,tblActuals3541519[Team 2],DQ$3)</f>
        <v>0</v>
      </c>
      <c r="DR18" s="56">
        <f>SUMIFS(tblActuals3541519[Team 2 Points],tblActuals3541519[Team 2],$CU18,tblActuals3541519[Team 1],DR$3)+SUMIFS(tblActuals3541519[Team 1 Points],tblActuals3541519[Team 1],$CU18,tblActuals3541519[Team 2],DR$3)</f>
        <v>0</v>
      </c>
      <c r="DS18" s="56">
        <f>SUMIFS(tblActuals3541519[Team 2 Points],tblActuals3541519[Team 2],$CU18,tblActuals3541519[Team 1],DS$3)+SUMIFS(tblActuals3541519[Team 1 Points],tblActuals3541519[Team 1],$CU18,tblActuals3541519[Team 2],DS$3)</f>
        <v>0</v>
      </c>
      <c r="DT18" s="57"/>
      <c r="DU18" s="57"/>
      <c r="DV18" s="57"/>
      <c r="DW18" s="57"/>
      <c r="DX18" s="57"/>
      <c r="DY18" s="57"/>
      <c r="DZ18" s="57"/>
      <c r="EA18" s="57"/>
      <c r="EB18" s="4"/>
      <c r="EC18" s="4" t="s">
        <v>129</v>
      </c>
      <c r="ED18" s="56">
        <f>SUMIFS(tblActuals3541519[Team 2 GD],tblActuals3541519[Team 2],$CU18,tblActuals3541519[Team 1],ED$3)+SUMIFS(tblActuals3541519[Team 1 GD],tblActuals3541519[Team 1],$CU18,tblActuals3541519[Team 2],ED$3)</f>
        <v>0</v>
      </c>
      <c r="EE18" s="56">
        <f>SUMIFS(tblActuals3541519[Team 2 GD],tblActuals3541519[Team 2],$CU18,tblActuals3541519[Team 1],EE$3)+SUMIFS(tblActuals3541519[Team 1 GD],tblActuals3541519[Team 1],$CU18,tblActuals3541519[Team 2],EE$3)</f>
        <v>0</v>
      </c>
      <c r="EF18" s="56">
        <f>SUMIFS(tblActuals3541519[Team 2 GD],tblActuals3541519[Team 2],$CU18,tblActuals3541519[Team 1],EF$3)+SUMIFS(tblActuals3541519[Team 1 GD],tblActuals3541519[Team 1],$CU18,tblActuals3541519[Team 2],EF$3)</f>
        <v>0</v>
      </c>
      <c r="EG18" s="56">
        <f>SUMIFS(tblActuals3541519[Team 2 GD],tblActuals3541519[Team 2],$CU18,tblActuals3541519[Team 1],EG$3)+SUMIFS(tblActuals3541519[Team 1 GD],tblActuals3541519[Team 1],$CU18,tblActuals3541519[Team 2],EG$3)</f>
        <v>0</v>
      </c>
      <c r="EH18" s="56">
        <f>SUMIFS(tblActuals3541519[Team 2 GD],tblActuals3541519[Team 2],$CU18,tblActuals3541519[Team 1],EH$3)+SUMIFS(tblActuals3541519[Team 1 GD],tblActuals3541519[Team 1],$CU18,tblActuals3541519[Team 2],EH$3)</f>
        <v>0</v>
      </c>
      <c r="EI18" s="56">
        <f>SUMIFS(tblActuals3541519[Team 2 GD],tblActuals3541519[Team 2],$CU18,tblActuals3541519[Team 1],EI$3)+SUMIFS(tblActuals3541519[Team 1 GD],tblActuals3541519[Team 1],$CU18,tblActuals3541519[Team 2],EI$3)</f>
        <v>0</v>
      </c>
      <c r="EJ18" s="56">
        <f>SUMIFS(tblActuals3541519[Team 2 GD],tblActuals3541519[Team 2],$CU18,tblActuals3541519[Team 1],EJ$3)+SUMIFS(tblActuals3541519[Team 1 GD],tblActuals3541519[Team 1],$CU18,tblActuals3541519[Team 2],EJ$3)</f>
        <v>0</v>
      </c>
      <c r="EK18" s="56">
        <f>SUMIFS(tblActuals3541519[Team 2 GD],tblActuals3541519[Team 2],$CU18,tblActuals3541519[Team 1],EK$3)+SUMIFS(tblActuals3541519[Team 1 GD],tblActuals3541519[Team 1],$CU18,tblActuals3541519[Team 2],EK$3)</f>
        <v>0</v>
      </c>
      <c r="EL18" s="56">
        <f>SUMIFS(tblActuals3541519[Team 2 GD],tblActuals3541519[Team 2],$CU18,tblActuals3541519[Team 1],EL$3)+SUMIFS(tblActuals3541519[Team 1 GD],tblActuals3541519[Team 1],$CU18,tblActuals3541519[Team 2],EL$3)</f>
        <v>0</v>
      </c>
      <c r="EM18" s="56">
        <f>SUMIFS(tblActuals3541519[Team 2 GD],tblActuals3541519[Team 2],$CU18,tblActuals3541519[Team 1],EM$3)+SUMIFS(tblActuals3541519[Team 1 GD],tblActuals3541519[Team 1],$CU18,tblActuals3541519[Team 2],EM$3)</f>
        <v>0</v>
      </c>
      <c r="EN18" s="56">
        <f>SUMIFS(tblActuals3541519[Team 2 GD],tblActuals3541519[Team 2],$CU18,tblActuals3541519[Team 1],EN$3)+SUMIFS(tblActuals3541519[Team 1 GD],tblActuals3541519[Team 1],$CU18,tblActuals3541519[Team 2],EN$3)</f>
        <v>0</v>
      </c>
      <c r="EO18" s="56">
        <f>SUMIFS(tblActuals3541519[Team 2 GD],tblActuals3541519[Team 2],$CU18,tblActuals3541519[Team 1],EO$3)+SUMIFS(tblActuals3541519[Team 1 GD],tblActuals3541519[Team 1],$CU18,tblActuals3541519[Team 2],EO$3)</f>
        <v>0</v>
      </c>
      <c r="EP18" s="56">
        <f>SUMIFS(tblActuals3541519[Team 2 GD],tblActuals3541519[Team 2],$CU18,tblActuals3541519[Team 1],EP$3)+SUMIFS(tblActuals3541519[Team 1 GD],tblActuals3541519[Team 1],$CU18,tblActuals3541519[Team 2],EP$3)</f>
        <v>0</v>
      </c>
      <c r="EQ18" s="56">
        <f>SUMIFS(tblActuals3541519[Team 2 GD],tblActuals3541519[Team 2],$CU18,tblActuals3541519[Team 1],EQ$3)+SUMIFS(tblActuals3541519[Team 1 GD],tblActuals3541519[Team 1],$CU18,tblActuals3541519[Team 2],EQ$3)</f>
        <v>0</v>
      </c>
      <c r="ER18" s="56">
        <f>SUMIFS(tblActuals3541519[Team 2 GD],tblActuals3541519[Team 2],$CU18,tblActuals3541519[Team 1],ER$3)+SUMIFS(tblActuals3541519[Team 1 GD],tblActuals3541519[Team 1],$CU18,tblActuals3541519[Team 2],ER$3)</f>
        <v>0</v>
      </c>
      <c r="ES18" s="56">
        <f>SUMIFS(tblActuals3541519[Team 2 GD],tblActuals3541519[Team 2],$CU18,tblActuals3541519[Team 1],ES$3)+SUMIFS(tblActuals3541519[Team 1 GD],tblActuals3541519[Team 1],$CU18,tblActuals3541519[Team 2],ES$3)</f>
        <v>0</v>
      </c>
      <c r="ET18" s="56">
        <f>SUMIFS(tblActuals3541519[Team 2 GD],tblActuals3541519[Team 2],$CU18,tblActuals3541519[Team 1],ET$3)+SUMIFS(tblActuals3541519[Team 1 GD],tblActuals3541519[Team 1],$CU18,tblActuals3541519[Team 2],ET$3)</f>
        <v>0</v>
      </c>
      <c r="EU18" s="56">
        <f>SUMIFS(tblActuals3541519[Team 2 GD],tblActuals3541519[Team 2],$CU18,tblActuals3541519[Team 1],EU$3)+SUMIFS(tblActuals3541519[Team 1 GD],tblActuals3541519[Team 1],$CU18,tblActuals3541519[Team 2],EU$3)</f>
        <v>0</v>
      </c>
      <c r="EV18" s="56">
        <f>SUMIFS(tblActuals3541519[Team 2 GD],tblActuals3541519[Team 2],$CU18,tblActuals3541519[Team 1],EV$3)+SUMIFS(tblActuals3541519[Team 1 GD],tblActuals3541519[Team 1],$CU18,tblActuals3541519[Team 2],EV$3)</f>
        <v>0</v>
      </c>
      <c r="EW18" s="56">
        <f>SUMIFS(tblActuals3541519[Team 2 GD],tblActuals3541519[Team 2],$CU18,tblActuals3541519[Team 1],EW$3)+SUMIFS(tblActuals3541519[Team 1 GD],tblActuals3541519[Team 1],$CU18,tblActuals3541519[Team 2],EW$3)</f>
        <v>0</v>
      </c>
      <c r="EX18" s="56">
        <f>SUMIFS(tblActuals3541519[Team 2 GD],tblActuals3541519[Team 2],$CU18,tblActuals3541519[Team 1],EX$3)+SUMIFS(tblActuals3541519[Team 1 GD],tblActuals3541519[Team 1],$CU18,tblActuals3541519[Team 2],EX$3)</f>
        <v>0</v>
      </c>
      <c r="EY18" s="56">
        <f>SUMIFS(tblActuals3541519[Team 2 GD],tblActuals3541519[Team 2],$CU18,tblActuals3541519[Team 1],EY$3)+SUMIFS(tblActuals3541519[Team 1 GD],tblActuals3541519[Team 1],$CU18,tblActuals3541519[Team 2],EY$3)</f>
        <v>0</v>
      </c>
      <c r="EZ18" s="56">
        <f>SUMIFS(tblActuals3541519[Team 2 GD],tblActuals3541519[Team 2],$CU18,tblActuals3541519[Team 1],EZ$3)+SUMIFS(tblActuals3541519[Team 1 GD],tblActuals3541519[Team 1],$CU18,tblActuals3541519[Team 2],EZ$3)</f>
        <v>0</v>
      </c>
      <c r="FA18" s="56">
        <f>SUMIFS(tblActuals3541519[Team 2 GD],tblActuals3541519[Team 2],$CU18,tblActuals3541519[Team 1],FA$3)+SUMIFS(tblActuals3541519[Team 1 GD],tblActuals3541519[Team 1],$CU18,tblActuals3541519[Team 2],FA$3)</f>
        <v>0</v>
      </c>
      <c r="FB18" s="57"/>
      <c r="FC18" s="57"/>
      <c r="FD18" s="57"/>
      <c r="FE18" s="57"/>
      <c r="FF18" s="57"/>
      <c r="FG18" s="57"/>
      <c r="FH18" s="57"/>
      <c r="FI18" s="57"/>
      <c r="FJ18" s="4"/>
      <c r="FK18" s="4" t="s">
        <v>129</v>
      </c>
      <c r="FL18" s="56">
        <f>SUMIFS(tblActuals3541519[Team 2 Goals],tblActuals3541519[Team 2],$CU18,tblActuals3541519[Team 1],FL$3)+SUMIFS(tblActuals3541519[Team 1 Goals],tblActuals3541519[Team 1],$CU18,tblActuals3541519[Team 2],FL$3)</f>
        <v>0</v>
      </c>
      <c r="FM18" s="56">
        <f>SUMIFS(tblActuals3541519[Team 2 Goals],tblActuals3541519[Team 2],$CU18,tblActuals3541519[Team 1],FM$3)+SUMIFS(tblActuals3541519[Team 1 Goals],tblActuals3541519[Team 1],$CU18,tblActuals3541519[Team 2],FM$3)</f>
        <v>0</v>
      </c>
      <c r="FN18" s="56">
        <f>SUMIFS(tblActuals3541519[Team 2 Goals],tblActuals3541519[Team 2],$CU18,tblActuals3541519[Team 1],FN$3)+SUMIFS(tblActuals3541519[Team 1 Goals],tblActuals3541519[Team 1],$CU18,tblActuals3541519[Team 2],FN$3)</f>
        <v>0</v>
      </c>
      <c r="FO18" s="56">
        <f>SUMIFS(tblActuals3541519[Team 2 Goals],tblActuals3541519[Team 2],$CU18,tblActuals3541519[Team 1],FO$3)+SUMIFS(tblActuals3541519[Team 1 Goals],tblActuals3541519[Team 1],$CU18,tblActuals3541519[Team 2],FO$3)</f>
        <v>0</v>
      </c>
      <c r="FP18" s="56">
        <f>SUMIFS(tblActuals3541519[Team 2 Goals],tblActuals3541519[Team 2],$CU18,tblActuals3541519[Team 1],FP$3)+SUMIFS(tblActuals3541519[Team 1 Goals],tblActuals3541519[Team 1],$CU18,tblActuals3541519[Team 2],FP$3)</f>
        <v>0</v>
      </c>
      <c r="FQ18" s="56">
        <f>SUMIFS(tblActuals3541519[Team 2 Goals],tblActuals3541519[Team 2],$CU18,tblActuals3541519[Team 1],FQ$3)+SUMIFS(tblActuals3541519[Team 1 Goals],tblActuals3541519[Team 1],$CU18,tblActuals3541519[Team 2],FQ$3)</f>
        <v>0</v>
      </c>
      <c r="FR18" s="56">
        <f>SUMIFS(tblActuals3541519[Team 2 Goals],tblActuals3541519[Team 2],$CU18,tblActuals3541519[Team 1],FR$3)+SUMIFS(tblActuals3541519[Team 1 Goals],tblActuals3541519[Team 1],$CU18,tblActuals3541519[Team 2],FR$3)</f>
        <v>0</v>
      </c>
      <c r="FS18" s="56">
        <f>SUMIFS(tblActuals3541519[Team 2 Goals],tblActuals3541519[Team 2],$CU18,tblActuals3541519[Team 1],FS$3)+SUMIFS(tblActuals3541519[Team 1 Goals],tblActuals3541519[Team 1],$CU18,tblActuals3541519[Team 2],FS$3)</f>
        <v>0</v>
      </c>
      <c r="FT18" s="56">
        <f>SUMIFS(tblActuals3541519[Team 2 Goals],tblActuals3541519[Team 2],$CU18,tblActuals3541519[Team 1],FT$3)+SUMIFS(tblActuals3541519[Team 1 Goals],tblActuals3541519[Team 1],$CU18,tblActuals3541519[Team 2],FT$3)</f>
        <v>0</v>
      </c>
      <c r="FU18" s="56">
        <f>SUMIFS(tblActuals3541519[Team 2 Goals],tblActuals3541519[Team 2],$CU18,tblActuals3541519[Team 1],FU$3)+SUMIFS(tblActuals3541519[Team 1 Goals],tblActuals3541519[Team 1],$CU18,tblActuals3541519[Team 2],FU$3)</f>
        <v>0</v>
      </c>
      <c r="FV18" s="56">
        <f>SUMIFS(tblActuals3541519[Team 2 Goals],tblActuals3541519[Team 2],$CU18,tblActuals3541519[Team 1],FV$3)+SUMIFS(tblActuals3541519[Team 1 Goals],tblActuals3541519[Team 1],$CU18,tblActuals3541519[Team 2],FV$3)</f>
        <v>0</v>
      </c>
      <c r="FW18" s="56">
        <f>SUMIFS(tblActuals3541519[Team 2 Goals],tblActuals3541519[Team 2],$CU18,tblActuals3541519[Team 1],FW$3)+SUMIFS(tblActuals3541519[Team 1 Goals],tblActuals3541519[Team 1],$CU18,tblActuals3541519[Team 2],FW$3)</f>
        <v>0</v>
      </c>
      <c r="FX18" s="56">
        <f>SUMIFS(tblActuals3541519[Team 2 Goals],tblActuals3541519[Team 2],$CU18,tblActuals3541519[Team 1],FX$3)+SUMIFS(tblActuals3541519[Team 1 Goals],tblActuals3541519[Team 1],$CU18,tblActuals3541519[Team 2],FX$3)</f>
        <v>0</v>
      </c>
      <c r="FY18" s="56">
        <f>SUMIFS(tblActuals3541519[Team 2 Goals],tblActuals3541519[Team 2],$CU18,tblActuals3541519[Team 1],FY$3)+SUMIFS(tblActuals3541519[Team 1 Goals],tblActuals3541519[Team 1],$CU18,tblActuals3541519[Team 2],FY$3)</f>
        <v>0</v>
      </c>
      <c r="FZ18" s="56">
        <f>SUMIFS(tblActuals3541519[Team 2 Goals],tblActuals3541519[Team 2],$CU18,tblActuals3541519[Team 1],FZ$3)+SUMIFS(tblActuals3541519[Team 1 Goals],tblActuals3541519[Team 1],$CU18,tblActuals3541519[Team 2],FZ$3)</f>
        <v>0</v>
      </c>
      <c r="GA18" s="56">
        <f>SUMIFS(tblActuals3541519[Team 2 Goals],tblActuals3541519[Team 2],$CU18,tblActuals3541519[Team 1],GA$3)+SUMIFS(tblActuals3541519[Team 1 Goals],tblActuals3541519[Team 1],$CU18,tblActuals3541519[Team 2],GA$3)</f>
        <v>0</v>
      </c>
      <c r="GB18" s="56">
        <f>SUMIFS(tblActuals3541519[Team 2 Goals],tblActuals3541519[Team 2],$CU18,tblActuals3541519[Team 1],GB$3)+SUMIFS(tblActuals3541519[Team 1 Goals],tblActuals3541519[Team 1],$CU18,tblActuals3541519[Team 2],GB$3)</f>
        <v>0</v>
      </c>
      <c r="GC18" s="56">
        <f>SUMIFS(tblActuals3541519[Team 2 Goals],tblActuals3541519[Team 2],$CU18,tblActuals3541519[Team 1],GC$3)+SUMIFS(tblActuals3541519[Team 1 Goals],tblActuals3541519[Team 1],$CU18,tblActuals3541519[Team 2],GC$3)</f>
        <v>0</v>
      </c>
      <c r="GD18" s="56">
        <f>SUMIFS(tblActuals3541519[Team 2 Goals],tblActuals3541519[Team 2],$CU18,tblActuals3541519[Team 1],GD$3)+SUMIFS(tblActuals3541519[Team 1 Goals],tblActuals3541519[Team 1],$CU18,tblActuals3541519[Team 2],GD$3)</f>
        <v>0</v>
      </c>
      <c r="GE18" s="56">
        <f>SUMIFS(tblActuals3541519[Team 2 Goals],tblActuals3541519[Team 2],$CU18,tblActuals3541519[Team 1],GE$3)+SUMIFS(tblActuals3541519[Team 1 Goals],tblActuals3541519[Team 1],$CU18,tblActuals3541519[Team 2],GE$3)</f>
        <v>0</v>
      </c>
      <c r="GF18" s="56">
        <f>SUMIFS(tblActuals3541519[Team 2 Goals],tblActuals3541519[Team 2],$CU18,tblActuals3541519[Team 1],GF$3)+SUMIFS(tblActuals3541519[Team 1 Goals],tblActuals3541519[Team 1],$CU18,tblActuals3541519[Team 2],GF$3)</f>
        <v>0</v>
      </c>
      <c r="GG18" s="56">
        <f>SUMIFS(tblActuals3541519[Team 2 Goals],tblActuals3541519[Team 2],$CU18,tblActuals3541519[Team 1],GG$3)+SUMIFS(tblActuals3541519[Team 1 Goals],tblActuals3541519[Team 1],$CU18,tblActuals3541519[Team 2],GG$3)</f>
        <v>0</v>
      </c>
      <c r="GH18" s="56">
        <f>SUMIFS(tblActuals3541519[Team 2 Goals],tblActuals3541519[Team 2],$CU18,tblActuals3541519[Team 1],GH$3)+SUMIFS(tblActuals3541519[Team 1 Goals],tblActuals3541519[Team 1],$CU18,tblActuals3541519[Team 2],GH$3)</f>
        <v>0</v>
      </c>
      <c r="GI18" s="56">
        <f>SUMIFS(tblActuals3541519[Team 2 Goals],tblActuals3541519[Team 2],$CU18,tblActuals3541519[Team 1],GI$3)+SUMIFS(tblActuals3541519[Team 1 Goals],tblActuals3541519[Team 1],$CU18,tblActuals3541519[Team 2],GI$3)</f>
        <v>0</v>
      </c>
      <c r="GJ18" s="57"/>
      <c r="GK18" s="57"/>
      <c r="GL18" s="37"/>
      <c r="GM18" s="37"/>
      <c r="GN18" s="37"/>
      <c r="GO18" s="37"/>
      <c r="GP18" s="37"/>
      <c r="GQ18" s="37"/>
      <c r="GR18" s="75"/>
      <c r="GS18" s="156"/>
      <c r="GT18" s="156"/>
      <c r="GU18" s="75"/>
      <c r="GV18" s="75"/>
      <c r="GW18" s="75"/>
      <c r="GX18" s="75"/>
      <c r="GY18" s="75"/>
      <c r="GZ18" s="75"/>
      <c r="HB18" s="4" t="str">
        <f t="shared" si="12"/>
        <v>BDEF</v>
      </c>
      <c r="HC18" s="45"/>
      <c r="HD18" s="44" t="s">
        <v>5</v>
      </c>
      <c r="HE18" s="45"/>
      <c r="HF18" s="44" t="s">
        <v>7</v>
      </c>
      <c r="HG18" s="44" t="s">
        <v>12</v>
      </c>
      <c r="HH18" s="44" t="s">
        <v>45</v>
      </c>
      <c r="HI18" s="178"/>
      <c r="HJ18" s="45" t="s">
        <v>154</v>
      </c>
      <c r="HK18" s="45" t="s">
        <v>153</v>
      </c>
      <c r="HL18" s="45" t="s">
        <v>150</v>
      </c>
      <c r="HM18" s="45" t="s">
        <v>151</v>
      </c>
    </row>
    <row r="19" spans="1:221" s="11" customFormat="1" ht="30" customHeight="1" x14ac:dyDescent="0.25">
      <c r="A19" s="20"/>
      <c r="B19" s="122">
        <v>16</v>
      </c>
      <c r="C19" s="122" t="s">
        <v>5</v>
      </c>
      <c r="D19" s="123">
        <v>45463</v>
      </c>
      <c r="E19" s="122" t="s">
        <v>82</v>
      </c>
      <c r="F19" s="124">
        <v>0.875</v>
      </c>
      <c r="G19" s="125">
        <f t="shared" si="11"/>
        <v>45463.625</v>
      </c>
      <c r="H19" s="124" t="s">
        <v>104</v>
      </c>
      <c r="I19" s="126"/>
      <c r="J19" s="118"/>
      <c r="K19" s="118"/>
      <c r="L19" s="174">
        <f>IF(I19="",0,IFERROR(IF(SCORING.RULES!$C$8="No",1,((VLOOKUP($B19,ACTUALS!$B$4:$L$100,7,FALSE)=$H19)+(VLOOKUP($B19,ACTUALS!$B$4:$L$100,7,FALSE)=S19)))*(M19+N19+O19+P19+Q19),0))+$R19</f>
        <v>0</v>
      </c>
      <c r="M19" s="168">
        <f>IFERROR(IF($B19="","",IF(U19=INDEX(ACTUALS!$AA$4:$AA$100,MATCH($B19,ACTUALS!$B$4:$B$100,0),1),CorrectScore,0)),0)</f>
        <v>0</v>
      </c>
      <c r="N19" s="157" t="str">
        <f>IFERROR(IF(I19="","",IF(INDEX(ACTUALS!$AB$4:$AB$100,MATCH($B19,ACTUALS!$B$4:$B$100,0),1)=(AB19+AC19+AH19+AI19),CorrectNumberofGoals,0)),0)</f>
        <v/>
      </c>
      <c r="O19" s="157"/>
      <c r="P19" s="157">
        <f>IFERROR(IF(B19="","",IF(INDEX(ACTUALS!$L$4:$L$100,MATCH($B19,ACTUALS!$B$4:$B$100,0),1)=W19,CorrectResult,0)),0)</f>
        <v>3</v>
      </c>
      <c r="Q19" s="157"/>
      <c r="R19" s="157"/>
      <c r="S19" s="157" t="str">
        <f t="shared" si="0"/>
        <v/>
      </c>
      <c r="T19" s="157"/>
      <c r="U19" s="157" t="str">
        <f t="shared" si="1"/>
        <v/>
      </c>
      <c r="V19" s="157" t="str">
        <f t="shared" si="2"/>
        <v/>
      </c>
      <c r="W19" s="119" t="str">
        <f>IF(tblActuals3541519[[#This Row],[SCORE]]="","",IF(AB19=AC19,"Draw",IF(AB19&gt;AC19,X19,Y19)))</f>
        <v/>
      </c>
      <c r="X19" s="120" t="str">
        <f>IF(tblActuals3541519[[#This Row],[TEAMS]]="","",LEFT(H19,FIND(" -",H19,1)-1))</f>
        <v>Spain</v>
      </c>
      <c r="Y19" s="120" t="str">
        <f>IF(tblActuals3541519[[#This Row],[TEAMS]]="","",MID(H19,FIND("-",H19,1)+2,LEN(H19)-FIND("-",H19,1)+2))</f>
        <v>Italy</v>
      </c>
      <c r="Z19" s="120" t="str">
        <f>IF(tblActuals3541519[[#This Row],[Team 1 Goals]]&gt;tblActuals3541519[[#This Row],[Team 2 Goals]],tblActuals3541519[[#This Row],[Team 1]],IF(tblActuals3541519[[#This Row],[Team 2 Goals]]&gt;tblActuals3541519[[#This Row],[Team 1 Goals]],tblActuals3541519[[#This Row],[Team 2]],""))</f>
        <v/>
      </c>
      <c r="AA19" s="120" t="str">
        <f>IF(tblActuals3541519[[#This Row],[Winner]]=tblActuals3541519[[#This Row],[Team 1]],tblActuals3541519[[#This Row],[Team 2]],IF(tblActuals3541519[[#This Row],[Winner]]=tblActuals3541519[[#This Row],[Team 2]],tblActuals3541519[[#This Row],[Team 1]],""))</f>
        <v/>
      </c>
      <c r="AB19" s="120" t="str">
        <f>IF(tblActuals3541519[[#This Row],[SCORE]]="","",LEFT(I19,FIND(":",I19,1)-1)*1)</f>
        <v/>
      </c>
      <c r="AC19" s="120" t="str">
        <f>IF(tblActuals3541519[[#This Row],[SCORE]]="","",MID(I19,FIND(":",I19,1)+1,LEN(I19)-FIND(":",I19,1)+1)*1)</f>
        <v/>
      </c>
      <c r="AD19" s="120" t="str">
        <f>IF(OR(tblActuals3541519[[#This Row],[Team 1 Goals]]="",tblActuals3541519[[#This Row],[Team 2 Goals]]=""),"",tblActuals3541519[[#This Row],[Team 1 Goals]]-tblActuals3541519[[#This Row],[Team 2 Goals]])</f>
        <v/>
      </c>
      <c r="AE19" s="120" t="str">
        <f>IF(OR(tblActuals3541519[[#This Row],[Team 1 Goals]]="",tblActuals3541519[[#This Row],[Team 2 Goals]]=""),"",tblActuals3541519[[#This Row],[Team 2 Goals]]-tblActuals3541519[[#This Row],[Team 1 Goals]])</f>
        <v/>
      </c>
      <c r="AF19" s="120" t="str">
        <f>IF(tblActuals3541519[[#This Row],[SCORE]]="","",IF(tblActuals3541519[[#This Row],[WINNER / RESULT]]="Draw",1,IF(tblActuals3541519[[#This Row],[WINNER / RESULT]]=tblActuals3541519[[#This Row],[Team 1]],3,0)))</f>
        <v/>
      </c>
      <c r="AG19" s="120" t="str">
        <f>IF(tblActuals3541519[[#This Row],[SCORE]]="","",IF(tblActuals3541519[[#This Row],[WINNER / RESULT]]="Draw",1,IF(tblActuals3541519[[#This Row],[WINNER / RESULT]]=tblActuals3541519[[#This Row],[Team 2]],3,0)))</f>
        <v/>
      </c>
      <c r="AH19" s="121"/>
      <c r="AI19" s="121"/>
      <c r="AJ19" s="121"/>
      <c r="AK19" s="121"/>
      <c r="AL19" s="120" t="e">
        <f>tblActuals3541519[[#This Row],[Team 1 Goals]]+tblActuals3541519[[#This Row],[Team 1 ET Goals]]&amp;":"&amp;tblActuals3541519[[#This Row],[Team 2 Goals]]+tblActuals3541519[[#This Row],[Team 2 ET Goals]]</f>
        <v>#VALUE!</v>
      </c>
      <c r="AM19" s="120" t="e">
        <f>+tblActuals3541519[[#This Row],[Team 1 Goals]]+tblActuals3541519[[#This Row],[Team 2 Goals]]</f>
        <v>#VALUE!</v>
      </c>
      <c r="AN19" s="161">
        <f t="shared" si="3"/>
        <v>45463</v>
      </c>
      <c r="AT19" s="77" t="s">
        <v>6</v>
      </c>
      <c r="AU19" s="139">
        <v>2</v>
      </c>
      <c r="AV19" s="140" t="str">
        <f ca="1">IFERROR(INDEX(BD:BD,MATCH("2"&amp;AT19,BN:BN,0),1),"")</f>
        <v>England</v>
      </c>
      <c r="AW19" s="140" t="str">
        <f ca="1">IF(AV19="","",VLOOKUP(AV19,BD:BI,2,FALSE)&amp;"-"&amp;VLOOKUP(AV19,BD:BI,3,FALSE)&amp;"-"&amp;VLOOKUP(AV19,BD:BI,4,FALSE))</f>
        <v>0-0-0</v>
      </c>
      <c r="AX19" s="140">
        <f ca="1">IF(AV19="","",VLOOKUP(AV19,BD:BK,8,FALSE))</f>
        <v>0</v>
      </c>
      <c r="AY19" s="141">
        <f ca="1">IF(AV19="","",VLOOKUP(AV19,BD:BN,5,FALSE))</f>
        <v>0</v>
      </c>
      <c r="AZ19" s="75"/>
      <c r="BA19" s="4"/>
      <c r="BB19" s="4"/>
      <c r="BC19" s="4" t="s">
        <v>7</v>
      </c>
      <c r="BD19" s="4" t="s">
        <v>129</v>
      </c>
      <c r="BE19" s="4">
        <f>COUNTIF(tblActuals3541519[Winner],BD19)</f>
        <v>0</v>
      </c>
      <c r="BF19" s="4">
        <f>COUNTIFS(tblActuals3541519[Team 2],BD19,tblActuals3541519[WINNER / RESULT],"Draw")+COUNTIFS(tblActuals3541519[Team 1],BD19,tblActuals3541519[WINNER / RESULT],"Draw")</f>
        <v>0</v>
      </c>
      <c r="BG19" s="4">
        <f>COUNTIF(tblActuals3541519[Loser],BD19)</f>
        <v>0</v>
      </c>
      <c r="BH19" s="4">
        <f>BF19+(3*BE19)</f>
        <v>0</v>
      </c>
      <c r="BI19" s="4">
        <f>SUMIFS(tblActuals3541519[Team 1 Goals],tblActuals3541519[Team 1],BD19)+SUMIFS(tblActuals3541519[Team 2 Goals],tblActuals3541519[Team 2],BD19)</f>
        <v>0</v>
      </c>
      <c r="BJ19" s="4">
        <f>SUMIFS(tblActuals3541519[Team 2 Goals],tblActuals3541519[Team 1],BD19)+SUMIFS(tblActuals3541519[Team 1 Goals],tblActuals3541519[Team 2],BD19)</f>
        <v>0</v>
      </c>
      <c r="BK19" s="4">
        <f>BI19-BJ19</f>
        <v>0</v>
      </c>
      <c r="BL19" s="4">
        <f ca="1">RANK(BY19,$BY$19:$BY$22,1)</f>
        <v>1</v>
      </c>
      <c r="BM19" s="4" t="str">
        <f t="shared" si="4"/>
        <v/>
      </c>
      <c r="BN19" s="4" t="str">
        <f ca="1">IF(BM19="",BL19&amp;BC19,BM19&amp;BC19)</f>
        <v>1D</v>
      </c>
      <c r="BO19" s="4">
        <f>RANK(BH19,$BH$19:$BH$22,0)</f>
        <v>1</v>
      </c>
      <c r="BP19" s="4" cm="1">
        <f t="array" aca="1" ref="BP19" ca="1">SUMPRODUCT((OFFSET($CV$3:$EA$3,MATCH($BD19,$CU$4:$CU$35,0),0))*((IF($BO21=$BO19,$CV$3:$EA$3=$BD21,0))+(IF($BO22=$BO19,$CV$3:$EA$3=$BD22,0))+(IF($BO20=$BO19,$CV$3:$EA$3=$BD20,0))))</f>
        <v>0</v>
      </c>
      <c r="BQ19" s="4" cm="1">
        <f t="array" aca="1" ref="BQ19" ca="1">SUMPRODUCT((OFFSET($ED$3:$FI$3,MATCH($BD19,$EC$4:$EC$35,0),0))*((IF($BO21=$BO19,$ED$3:$FI$3=$BD21,0))+(IF($BO22=$BO19,$ED$3:$FI$3=$BD22,0))+(IF($BO20=$BO19,$ED$3:$FI$3=$BD20,0))))</f>
        <v>0</v>
      </c>
      <c r="BR19" s="4" cm="1">
        <f t="array" aca="1" ref="BR19" ca="1">SUMPRODUCT((OFFSET($FL$3:$GQ$3,MATCH($BD19,$FK$4:$FK$35,0),0))*((IF($BO21=$BO19,$FL$3:$GQ$3=$BD21,0))+(IF($BO22=$BO19,$FL$3:$GQ$3=$BD22,0))+(IF($BO20=$BO19,$FL$3:$GQ$3=$BD20,0))))</f>
        <v>0</v>
      </c>
      <c r="BS19" s="4" cm="1">
        <f t="array" aca="1" ref="BS19" ca="1">SUMPRODUCT((OFFSET($CV$3:$EA$3,MATCH($BD19,$CU$4:$CU$35,0),0))*((IF($BO21&lt;&gt;$BO19,$CV$3:$EA$3=$BD21,0))+(IF($BO22&lt;&gt;$BO19,$CV$3:$EA$3=$BD22,0))+(IF($BO20&lt;&gt;$BO19,$CV$3:$EA$3=$BD20,0))))</f>
        <v>0</v>
      </c>
      <c r="BT19" s="4" cm="1">
        <f t="array" aca="1" ref="BT19" ca="1">SUMPRODUCT((OFFSET($ED$3:$FI$3,MATCH($BD19,$EC$4:$EC$35,0),0))*((IF($BO21&lt;&gt;$BO19,$ED$3:$FI$3=$BD21,0))+(IF($BO22&lt;&gt;$BO19,$ED$3:$FI$3=$BD22,0))+(IF($BO20&lt;&gt;$BO19,$ED$3:$FI$3=$BD20,0))))</f>
        <v>0</v>
      </c>
      <c r="BU19" s="4" cm="1">
        <f t="array" aca="1" ref="BU19" ca="1">SUMPRODUCT((OFFSET($FL$3:$GQ$3,MATCH($BD19,$FK$4:$FK$35,0),0))*((IF($BO21&lt;&gt;$BO19,$FL$3:$GQ$3=$BD21,0))+(IF($BO22&lt;&gt;$BO19,$FL$3:$GQ$3=$BD22,0))+(IF($BO20&lt;&gt;$BO19,$FL$3:$GQ$3=$BD20,0))))</f>
        <v>0</v>
      </c>
      <c r="BV19" s="4">
        <f>BK19</f>
        <v>0</v>
      </c>
      <c r="BW19" s="4">
        <f>BI19</f>
        <v>0</v>
      </c>
      <c r="BX19" s="4">
        <f ca="1">(BP19/10)+(BQ19/100)+(BR19/1000)+(BT19/10000)+(BU19/100000)+(BV19/1000000)+(BW19/10000000)+(ROW(BS22)/100000000)</f>
        <v>2.2000000000000001E-7</v>
      </c>
      <c r="BY19" s="4">
        <f ca="1">+BO19-BX19</f>
        <v>0.99999978</v>
      </c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U19" s="4" t="s">
        <v>26</v>
      </c>
      <c r="CV19" s="56">
        <f>SUMIFS(tblActuals3541519[Team 2 Points],tblActuals3541519[Team 2],$CU19,tblActuals3541519[Team 1],CV$3)+SUMIFS(tblActuals3541519[Team 1 Points],tblActuals3541519[Team 1],$CU19,tblActuals3541519[Team 2],CV$3)</f>
        <v>0</v>
      </c>
      <c r="CW19" s="56">
        <f>SUMIFS(tblActuals3541519[Team 2 Points],tblActuals3541519[Team 2],$CU19,tblActuals3541519[Team 1],CW$3)+SUMIFS(tblActuals3541519[Team 1 Points],tblActuals3541519[Team 1],$CU19,tblActuals3541519[Team 2],CW$3)</f>
        <v>0</v>
      </c>
      <c r="CX19" s="56">
        <f>SUMIFS(tblActuals3541519[Team 2 Points],tblActuals3541519[Team 2],$CU19,tblActuals3541519[Team 1],CX$3)+SUMIFS(tblActuals3541519[Team 1 Points],tblActuals3541519[Team 1],$CU19,tblActuals3541519[Team 2],CX$3)</f>
        <v>0</v>
      </c>
      <c r="CY19" s="56">
        <f>SUMIFS(tblActuals3541519[Team 2 Points],tblActuals3541519[Team 2],$CU19,tblActuals3541519[Team 1],CY$3)+SUMIFS(tblActuals3541519[Team 1 Points],tblActuals3541519[Team 1],$CU19,tblActuals3541519[Team 2],CY$3)</f>
        <v>0</v>
      </c>
      <c r="CZ19" s="56">
        <f>SUMIFS(tblActuals3541519[Team 2 Points],tblActuals3541519[Team 2],$CU19,tblActuals3541519[Team 1],CZ$3)+SUMIFS(tblActuals3541519[Team 1 Points],tblActuals3541519[Team 1],$CU19,tblActuals3541519[Team 2],CZ$3)</f>
        <v>0</v>
      </c>
      <c r="DA19" s="56">
        <f>SUMIFS(tblActuals3541519[Team 2 Points],tblActuals3541519[Team 2],$CU19,tblActuals3541519[Team 1],DA$3)+SUMIFS(tblActuals3541519[Team 1 Points],tblActuals3541519[Team 1],$CU19,tblActuals3541519[Team 2],DA$3)</f>
        <v>0</v>
      </c>
      <c r="DB19" s="56">
        <f>SUMIFS(tblActuals3541519[Team 2 Points],tblActuals3541519[Team 2],$CU19,tblActuals3541519[Team 1],DB$3)+SUMIFS(tblActuals3541519[Team 1 Points],tblActuals3541519[Team 1],$CU19,tblActuals3541519[Team 2],DB$3)</f>
        <v>0</v>
      </c>
      <c r="DC19" s="56">
        <f>SUMIFS(tblActuals3541519[Team 2 Points],tblActuals3541519[Team 2],$CU19,tblActuals3541519[Team 1],DC$3)+SUMIFS(tblActuals3541519[Team 1 Points],tblActuals3541519[Team 1],$CU19,tblActuals3541519[Team 2],DC$3)</f>
        <v>0</v>
      </c>
      <c r="DD19" s="56">
        <f>SUMIFS(tblActuals3541519[Team 2 Points],tblActuals3541519[Team 2],$CU19,tblActuals3541519[Team 1],DD$3)+SUMIFS(tblActuals3541519[Team 1 Points],tblActuals3541519[Team 1],$CU19,tblActuals3541519[Team 2],DD$3)</f>
        <v>0</v>
      </c>
      <c r="DE19" s="56">
        <f>SUMIFS(tblActuals3541519[Team 2 Points],tblActuals3541519[Team 2],$CU19,tblActuals3541519[Team 1],DE$3)+SUMIFS(tblActuals3541519[Team 1 Points],tblActuals3541519[Team 1],$CU19,tblActuals3541519[Team 2],DE$3)</f>
        <v>0</v>
      </c>
      <c r="DF19" s="56">
        <f>SUMIFS(tblActuals3541519[Team 2 Points],tblActuals3541519[Team 2],$CU19,tblActuals3541519[Team 1],DF$3)+SUMIFS(tblActuals3541519[Team 1 Points],tblActuals3541519[Team 1],$CU19,tblActuals3541519[Team 2],DF$3)</f>
        <v>0</v>
      </c>
      <c r="DG19" s="56">
        <f>SUMIFS(tblActuals3541519[Team 2 Points],tblActuals3541519[Team 2],$CU19,tblActuals3541519[Team 1],DG$3)+SUMIFS(tblActuals3541519[Team 1 Points],tblActuals3541519[Team 1],$CU19,tblActuals3541519[Team 2],DG$3)</f>
        <v>0</v>
      </c>
      <c r="DH19" s="56">
        <f>SUMIFS(tblActuals3541519[Team 2 Points],tblActuals3541519[Team 2],$CU19,tblActuals3541519[Team 1],DH$3)+SUMIFS(tblActuals3541519[Team 1 Points],tblActuals3541519[Team 1],$CU19,tblActuals3541519[Team 2],DH$3)</f>
        <v>0</v>
      </c>
      <c r="DI19" s="56">
        <f>SUMIFS(tblActuals3541519[Team 2 Points],tblActuals3541519[Team 2],$CU19,tblActuals3541519[Team 1],DI$3)+SUMIFS(tblActuals3541519[Team 1 Points],tblActuals3541519[Team 1],$CU19,tblActuals3541519[Team 2],DI$3)</f>
        <v>0</v>
      </c>
      <c r="DJ19" s="56">
        <f>SUMIFS(tblActuals3541519[Team 2 Points],tblActuals3541519[Team 2],$CU19,tblActuals3541519[Team 1],DJ$3)+SUMIFS(tblActuals3541519[Team 1 Points],tblActuals3541519[Team 1],$CU19,tblActuals3541519[Team 2],DJ$3)</f>
        <v>0</v>
      </c>
      <c r="DK19" s="56">
        <f>SUMIFS(tblActuals3541519[Team 2 Points],tblActuals3541519[Team 2],$CU19,tblActuals3541519[Team 1],DK$3)+SUMIFS(tblActuals3541519[Team 1 Points],tblActuals3541519[Team 1],$CU19,tblActuals3541519[Team 2],DK$3)</f>
        <v>0</v>
      </c>
      <c r="DL19" s="56">
        <f>SUMIFS(tblActuals3541519[Team 2 Points],tblActuals3541519[Team 2],$CU19,tblActuals3541519[Team 1],DL$3)+SUMIFS(tblActuals3541519[Team 1 Points],tblActuals3541519[Team 1],$CU19,tblActuals3541519[Team 2],DL$3)</f>
        <v>0</v>
      </c>
      <c r="DM19" s="56">
        <f>SUMIFS(tblActuals3541519[Team 2 Points],tblActuals3541519[Team 2],$CU19,tblActuals3541519[Team 1],DM$3)+SUMIFS(tblActuals3541519[Team 1 Points],tblActuals3541519[Team 1],$CU19,tblActuals3541519[Team 2],DM$3)</f>
        <v>0</v>
      </c>
      <c r="DN19" s="56">
        <f>SUMIFS(tblActuals3541519[Team 2 Points],tblActuals3541519[Team 2],$CU19,tblActuals3541519[Team 1],DN$3)+SUMIFS(tblActuals3541519[Team 1 Points],tblActuals3541519[Team 1],$CU19,tblActuals3541519[Team 2],DN$3)</f>
        <v>0</v>
      </c>
      <c r="DO19" s="56">
        <f>SUMIFS(tblActuals3541519[Team 2 Points],tblActuals3541519[Team 2],$CU19,tblActuals3541519[Team 1],DO$3)+SUMIFS(tblActuals3541519[Team 1 Points],tblActuals3541519[Team 1],$CU19,tblActuals3541519[Team 2],DO$3)</f>
        <v>0</v>
      </c>
      <c r="DP19" s="56">
        <f>SUMIFS(tblActuals3541519[Team 2 Points],tblActuals3541519[Team 2],$CU19,tblActuals3541519[Team 1],DP$3)+SUMIFS(tblActuals3541519[Team 1 Points],tblActuals3541519[Team 1],$CU19,tblActuals3541519[Team 2],DP$3)</f>
        <v>0</v>
      </c>
      <c r="DQ19" s="56">
        <f>SUMIFS(tblActuals3541519[Team 2 Points],tblActuals3541519[Team 2],$CU19,tblActuals3541519[Team 1],DQ$3)+SUMIFS(tblActuals3541519[Team 1 Points],tblActuals3541519[Team 1],$CU19,tblActuals3541519[Team 2],DQ$3)</f>
        <v>0</v>
      </c>
      <c r="DR19" s="56">
        <f>SUMIFS(tblActuals3541519[Team 2 Points],tblActuals3541519[Team 2],$CU19,tblActuals3541519[Team 1],DR$3)+SUMIFS(tblActuals3541519[Team 1 Points],tblActuals3541519[Team 1],$CU19,tblActuals3541519[Team 2],DR$3)</f>
        <v>0</v>
      </c>
      <c r="DS19" s="56">
        <f>SUMIFS(tblActuals3541519[Team 2 Points],tblActuals3541519[Team 2],$CU19,tblActuals3541519[Team 1],DS$3)+SUMIFS(tblActuals3541519[Team 1 Points],tblActuals3541519[Team 1],$CU19,tblActuals3541519[Team 2],DS$3)</f>
        <v>0</v>
      </c>
      <c r="DT19" s="57"/>
      <c r="DU19" s="57"/>
      <c r="DV19" s="57"/>
      <c r="DW19" s="57"/>
      <c r="DX19" s="57"/>
      <c r="DY19" s="57"/>
      <c r="DZ19" s="57"/>
      <c r="EA19" s="57"/>
      <c r="EB19" s="4"/>
      <c r="EC19" s="4" t="s">
        <v>26</v>
      </c>
      <c r="ED19" s="56">
        <f>SUMIFS(tblActuals3541519[Team 2 GD],tblActuals3541519[Team 2],$CU19,tblActuals3541519[Team 1],ED$3)+SUMIFS(tblActuals3541519[Team 1 GD],tblActuals3541519[Team 1],$CU19,tblActuals3541519[Team 2],ED$3)</f>
        <v>0</v>
      </c>
      <c r="EE19" s="56">
        <f>SUMIFS(tblActuals3541519[Team 2 GD],tblActuals3541519[Team 2],$CU19,tblActuals3541519[Team 1],EE$3)+SUMIFS(tblActuals3541519[Team 1 GD],tblActuals3541519[Team 1],$CU19,tblActuals3541519[Team 2],EE$3)</f>
        <v>0</v>
      </c>
      <c r="EF19" s="56">
        <f>SUMIFS(tblActuals3541519[Team 2 GD],tblActuals3541519[Team 2],$CU19,tblActuals3541519[Team 1],EF$3)+SUMIFS(tblActuals3541519[Team 1 GD],tblActuals3541519[Team 1],$CU19,tblActuals3541519[Team 2],EF$3)</f>
        <v>0</v>
      </c>
      <c r="EG19" s="56">
        <f>SUMIFS(tblActuals3541519[Team 2 GD],tblActuals3541519[Team 2],$CU19,tblActuals3541519[Team 1],EG$3)+SUMIFS(tblActuals3541519[Team 1 GD],tblActuals3541519[Team 1],$CU19,tblActuals3541519[Team 2],EG$3)</f>
        <v>0</v>
      </c>
      <c r="EH19" s="56">
        <f>SUMIFS(tblActuals3541519[Team 2 GD],tblActuals3541519[Team 2],$CU19,tblActuals3541519[Team 1],EH$3)+SUMIFS(tblActuals3541519[Team 1 GD],tblActuals3541519[Team 1],$CU19,tblActuals3541519[Team 2],EH$3)</f>
        <v>0</v>
      </c>
      <c r="EI19" s="56">
        <f>SUMIFS(tblActuals3541519[Team 2 GD],tblActuals3541519[Team 2],$CU19,tblActuals3541519[Team 1],EI$3)+SUMIFS(tblActuals3541519[Team 1 GD],tblActuals3541519[Team 1],$CU19,tblActuals3541519[Team 2],EI$3)</f>
        <v>0</v>
      </c>
      <c r="EJ19" s="56">
        <f>SUMIFS(tblActuals3541519[Team 2 GD],tblActuals3541519[Team 2],$CU19,tblActuals3541519[Team 1],EJ$3)+SUMIFS(tblActuals3541519[Team 1 GD],tblActuals3541519[Team 1],$CU19,tblActuals3541519[Team 2],EJ$3)</f>
        <v>0</v>
      </c>
      <c r="EK19" s="56">
        <f>SUMIFS(tblActuals3541519[Team 2 GD],tblActuals3541519[Team 2],$CU19,tblActuals3541519[Team 1],EK$3)+SUMIFS(tblActuals3541519[Team 1 GD],tblActuals3541519[Team 1],$CU19,tblActuals3541519[Team 2],EK$3)</f>
        <v>0</v>
      </c>
      <c r="EL19" s="56">
        <f>SUMIFS(tblActuals3541519[Team 2 GD],tblActuals3541519[Team 2],$CU19,tblActuals3541519[Team 1],EL$3)+SUMIFS(tblActuals3541519[Team 1 GD],tblActuals3541519[Team 1],$CU19,tblActuals3541519[Team 2],EL$3)</f>
        <v>0</v>
      </c>
      <c r="EM19" s="56">
        <f>SUMIFS(tblActuals3541519[Team 2 GD],tblActuals3541519[Team 2],$CU19,tblActuals3541519[Team 1],EM$3)+SUMIFS(tblActuals3541519[Team 1 GD],tblActuals3541519[Team 1],$CU19,tblActuals3541519[Team 2],EM$3)</f>
        <v>0</v>
      </c>
      <c r="EN19" s="56">
        <f>SUMIFS(tblActuals3541519[Team 2 GD],tblActuals3541519[Team 2],$CU19,tblActuals3541519[Team 1],EN$3)+SUMIFS(tblActuals3541519[Team 1 GD],tblActuals3541519[Team 1],$CU19,tblActuals3541519[Team 2],EN$3)</f>
        <v>0</v>
      </c>
      <c r="EO19" s="56">
        <f>SUMIFS(tblActuals3541519[Team 2 GD],tblActuals3541519[Team 2],$CU19,tblActuals3541519[Team 1],EO$3)+SUMIFS(tblActuals3541519[Team 1 GD],tblActuals3541519[Team 1],$CU19,tblActuals3541519[Team 2],EO$3)</f>
        <v>0</v>
      </c>
      <c r="EP19" s="56">
        <f>SUMIFS(tblActuals3541519[Team 2 GD],tblActuals3541519[Team 2],$CU19,tblActuals3541519[Team 1],EP$3)+SUMIFS(tblActuals3541519[Team 1 GD],tblActuals3541519[Team 1],$CU19,tblActuals3541519[Team 2],EP$3)</f>
        <v>0</v>
      </c>
      <c r="EQ19" s="56">
        <f>SUMIFS(tblActuals3541519[Team 2 GD],tblActuals3541519[Team 2],$CU19,tblActuals3541519[Team 1],EQ$3)+SUMIFS(tblActuals3541519[Team 1 GD],tblActuals3541519[Team 1],$CU19,tblActuals3541519[Team 2],EQ$3)</f>
        <v>0</v>
      </c>
      <c r="ER19" s="56">
        <f>SUMIFS(tblActuals3541519[Team 2 GD],tblActuals3541519[Team 2],$CU19,tblActuals3541519[Team 1],ER$3)+SUMIFS(tblActuals3541519[Team 1 GD],tblActuals3541519[Team 1],$CU19,tblActuals3541519[Team 2],ER$3)</f>
        <v>0</v>
      </c>
      <c r="ES19" s="56">
        <f>SUMIFS(tblActuals3541519[Team 2 GD],tblActuals3541519[Team 2],$CU19,tblActuals3541519[Team 1],ES$3)+SUMIFS(tblActuals3541519[Team 1 GD],tblActuals3541519[Team 1],$CU19,tblActuals3541519[Team 2],ES$3)</f>
        <v>0</v>
      </c>
      <c r="ET19" s="56">
        <f>SUMIFS(tblActuals3541519[Team 2 GD],tblActuals3541519[Team 2],$CU19,tblActuals3541519[Team 1],ET$3)+SUMIFS(tblActuals3541519[Team 1 GD],tblActuals3541519[Team 1],$CU19,tblActuals3541519[Team 2],ET$3)</f>
        <v>0</v>
      </c>
      <c r="EU19" s="56">
        <f>SUMIFS(tblActuals3541519[Team 2 GD],tblActuals3541519[Team 2],$CU19,tblActuals3541519[Team 1],EU$3)+SUMIFS(tblActuals3541519[Team 1 GD],tblActuals3541519[Team 1],$CU19,tblActuals3541519[Team 2],EU$3)</f>
        <v>0</v>
      </c>
      <c r="EV19" s="56">
        <f>SUMIFS(tblActuals3541519[Team 2 GD],tblActuals3541519[Team 2],$CU19,tblActuals3541519[Team 1],EV$3)+SUMIFS(tblActuals3541519[Team 1 GD],tblActuals3541519[Team 1],$CU19,tblActuals3541519[Team 2],EV$3)</f>
        <v>0</v>
      </c>
      <c r="EW19" s="56">
        <f>SUMIFS(tblActuals3541519[Team 2 GD],tblActuals3541519[Team 2],$CU19,tblActuals3541519[Team 1],EW$3)+SUMIFS(tblActuals3541519[Team 1 GD],tblActuals3541519[Team 1],$CU19,tblActuals3541519[Team 2],EW$3)</f>
        <v>0</v>
      </c>
      <c r="EX19" s="56">
        <f>SUMIFS(tblActuals3541519[Team 2 GD],tblActuals3541519[Team 2],$CU19,tblActuals3541519[Team 1],EX$3)+SUMIFS(tblActuals3541519[Team 1 GD],tblActuals3541519[Team 1],$CU19,tblActuals3541519[Team 2],EX$3)</f>
        <v>0</v>
      </c>
      <c r="EY19" s="56">
        <f>SUMIFS(tblActuals3541519[Team 2 GD],tblActuals3541519[Team 2],$CU19,tblActuals3541519[Team 1],EY$3)+SUMIFS(tblActuals3541519[Team 1 GD],tblActuals3541519[Team 1],$CU19,tblActuals3541519[Team 2],EY$3)</f>
        <v>0</v>
      </c>
      <c r="EZ19" s="56">
        <f>SUMIFS(tblActuals3541519[Team 2 GD],tblActuals3541519[Team 2],$CU19,tblActuals3541519[Team 1],EZ$3)+SUMIFS(tblActuals3541519[Team 1 GD],tblActuals3541519[Team 1],$CU19,tblActuals3541519[Team 2],EZ$3)</f>
        <v>0</v>
      </c>
      <c r="FA19" s="56">
        <f>SUMIFS(tblActuals3541519[Team 2 GD],tblActuals3541519[Team 2],$CU19,tblActuals3541519[Team 1],FA$3)+SUMIFS(tblActuals3541519[Team 1 GD],tblActuals3541519[Team 1],$CU19,tblActuals3541519[Team 2],FA$3)</f>
        <v>0</v>
      </c>
      <c r="FB19" s="57"/>
      <c r="FC19" s="57"/>
      <c r="FD19" s="57"/>
      <c r="FE19" s="57"/>
      <c r="FF19" s="57"/>
      <c r="FG19" s="57"/>
      <c r="FH19" s="57"/>
      <c r="FI19" s="57"/>
      <c r="FJ19" s="4"/>
      <c r="FK19" s="4" t="s">
        <v>26</v>
      </c>
      <c r="FL19" s="56">
        <f>SUMIFS(tblActuals3541519[Team 2 Goals],tblActuals3541519[Team 2],$CU19,tblActuals3541519[Team 1],FL$3)+SUMIFS(tblActuals3541519[Team 1 Goals],tblActuals3541519[Team 1],$CU19,tblActuals3541519[Team 2],FL$3)</f>
        <v>0</v>
      </c>
      <c r="FM19" s="56">
        <f>SUMIFS(tblActuals3541519[Team 2 Goals],tblActuals3541519[Team 2],$CU19,tblActuals3541519[Team 1],FM$3)+SUMIFS(tblActuals3541519[Team 1 Goals],tblActuals3541519[Team 1],$CU19,tblActuals3541519[Team 2],FM$3)</f>
        <v>0</v>
      </c>
      <c r="FN19" s="56">
        <f>SUMIFS(tblActuals3541519[Team 2 Goals],tblActuals3541519[Team 2],$CU19,tblActuals3541519[Team 1],FN$3)+SUMIFS(tblActuals3541519[Team 1 Goals],tblActuals3541519[Team 1],$CU19,tblActuals3541519[Team 2],FN$3)</f>
        <v>0</v>
      </c>
      <c r="FO19" s="56">
        <f>SUMIFS(tblActuals3541519[Team 2 Goals],tblActuals3541519[Team 2],$CU19,tblActuals3541519[Team 1],FO$3)+SUMIFS(tblActuals3541519[Team 1 Goals],tblActuals3541519[Team 1],$CU19,tblActuals3541519[Team 2],FO$3)</f>
        <v>0</v>
      </c>
      <c r="FP19" s="56">
        <f>SUMIFS(tblActuals3541519[Team 2 Goals],tblActuals3541519[Team 2],$CU19,tblActuals3541519[Team 1],FP$3)+SUMIFS(tblActuals3541519[Team 1 Goals],tblActuals3541519[Team 1],$CU19,tblActuals3541519[Team 2],FP$3)</f>
        <v>0</v>
      </c>
      <c r="FQ19" s="56">
        <f>SUMIFS(tblActuals3541519[Team 2 Goals],tblActuals3541519[Team 2],$CU19,tblActuals3541519[Team 1],FQ$3)+SUMIFS(tblActuals3541519[Team 1 Goals],tblActuals3541519[Team 1],$CU19,tblActuals3541519[Team 2],FQ$3)</f>
        <v>0</v>
      </c>
      <c r="FR19" s="56">
        <f>SUMIFS(tblActuals3541519[Team 2 Goals],tblActuals3541519[Team 2],$CU19,tblActuals3541519[Team 1],FR$3)+SUMIFS(tblActuals3541519[Team 1 Goals],tblActuals3541519[Team 1],$CU19,tblActuals3541519[Team 2],FR$3)</f>
        <v>0</v>
      </c>
      <c r="FS19" s="56">
        <f>SUMIFS(tblActuals3541519[Team 2 Goals],tblActuals3541519[Team 2],$CU19,tblActuals3541519[Team 1],FS$3)+SUMIFS(tblActuals3541519[Team 1 Goals],tblActuals3541519[Team 1],$CU19,tblActuals3541519[Team 2],FS$3)</f>
        <v>0</v>
      </c>
      <c r="FT19" s="56">
        <f>SUMIFS(tblActuals3541519[Team 2 Goals],tblActuals3541519[Team 2],$CU19,tblActuals3541519[Team 1],FT$3)+SUMIFS(tblActuals3541519[Team 1 Goals],tblActuals3541519[Team 1],$CU19,tblActuals3541519[Team 2],FT$3)</f>
        <v>0</v>
      </c>
      <c r="FU19" s="56">
        <f>SUMIFS(tblActuals3541519[Team 2 Goals],tblActuals3541519[Team 2],$CU19,tblActuals3541519[Team 1],FU$3)+SUMIFS(tblActuals3541519[Team 1 Goals],tblActuals3541519[Team 1],$CU19,tblActuals3541519[Team 2],FU$3)</f>
        <v>0</v>
      </c>
      <c r="FV19" s="56">
        <f>SUMIFS(tblActuals3541519[Team 2 Goals],tblActuals3541519[Team 2],$CU19,tblActuals3541519[Team 1],FV$3)+SUMIFS(tblActuals3541519[Team 1 Goals],tblActuals3541519[Team 1],$CU19,tblActuals3541519[Team 2],FV$3)</f>
        <v>0</v>
      </c>
      <c r="FW19" s="56">
        <f>SUMIFS(tblActuals3541519[Team 2 Goals],tblActuals3541519[Team 2],$CU19,tblActuals3541519[Team 1],FW$3)+SUMIFS(tblActuals3541519[Team 1 Goals],tblActuals3541519[Team 1],$CU19,tblActuals3541519[Team 2],FW$3)</f>
        <v>0</v>
      </c>
      <c r="FX19" s="56">
        <f>SUMIFS(tblActuals3541519[Team 2 Goals],tblActuals3541519[Team 2],$CU19,tblActuals3541519[Team 1],FX$3)+SUMIFS(tblActuals3541519[Team 1 Goals],tblActuals3541519[Team 1],$CU19,tblActuals3541519[Team 2],FX$3)</f>
        <v>0</v>
      </c>
      <c r="FY19" s="56">
        <f>SUMIFS(tblActuals3541519[Team 2 Goals],tblActuals3541519[Team 2],$CU19,tblActuals3541519[Team 1],FY$3)+SUMIFS(tblActuals3541519[Team 1 Goals],tblActuals3541519[Team 1],$CU19,tblActuals3541519[Team 2],FY$3)</f>
        <v>0</v>
      </c>
      <c r="FZ19" s="56">
        <f>SUMIFS(tblActuals3541519[Team 2 Goals],tblActuals3541519[Team 2],$CU19,tblActuals3541519[Team 1],FZ$3)+SUMIFS(tblActuals3541519[Team 1 Goals],tblActuals3541519[Team 1],$CU19,tblActuals3541519[Team 2],FZ$3)</f>
        <v>0</v>
      </c>
      <c r="GA19" s="56">
        <f>SUMIFS(tblActuals3541519[Team 2 Goals],tblActuals3541519[Team 2],$CU19,tblActuals3541519[Team 1],GA$3)+SUMIFS(tblActuals3541519[Team 1 Goals],tblActuals3541519[Team 1],$CU19,tblActuals3541519[Team 2],GA$3)</f>
        <v>0</v>
      </c>
      <c r="GB19" s="56">
        <f>SUMIFS(tblActuals3541519[Team 2 Goals],tblActuals3541519[Team 2],$CU19,tblActuals3541519[Team 1],GB$3)+SUMIFS(tblActuals3541519[Team 1 Goals],tblActuals3541519[Team 1],$CU19,tblActuals3541519[Team 2],GB$3)</f>
        <v>0</v>
      </c>
      <c r="GC19" s="56">
        <f>SUMIFS(tblActuals3541519[Team 2 Goals],tblActuals3541519[Team 2],$CU19,tblActuals3541519[Team 1],GC$3)+SUMIFS(tblActuals3541519[Team 1 Goals],tblActuals3541519[Team 1],$CU19,tblActuals3541519[Team 2],GC$3)</f>
        <v>0</v>
      </c>
      <c r="GD19" s="56">
        <f>SUMIFS(tblActuals3541519[Team 2 Goals],tblActuals3541519[Team 2],$CU19,tblActuals3541519[Team 1],GD$3)+SUMIFS(tblActuals3541519[Team 1 Goals],tblActuals3541519[Team 1],$CU19,tblActuals3541519[Team 2],GD$3)</f>
        <v>0</v>
      </c>
      <c r="GE19" s="56">
        <f>SUMIFS(tblActuals3541519[Team 2 Goals],tblActuals3541519[Team 2],$CU19,tblActuals3541519[Team 1],GE$3)+SUMIFS(tblActuals3541519[Team 1 Goals],tblActuals3541519[Team 1],$CU19,tblActuals3541519[Team 2],GE$3)</f>
        <v>0</v>
      </c>
      <c r="GF19" s="56">
        <f>SUMIFS(tblActuals3541519[Team 2 Goals],tblActuals3541519[Team 2],$CU19,tblActuals3541519[Team 1],GF$3)+SUMIFS(tblActuals3541519[Team 1 Goals],tblActuals3541519[Team 1],$CU19,tblActuals3541519[Team 2],GF$3)</f>
        <v>0</v>
      </c>
      <c r="GG19" s="56">
        <f>SUMIFS(tblActuals3541519[Team 2 Goals],tblActuals3541519[Team 2],$CU19,tblActuals3541519[Team 1],GG$3)+SUMIFS(tblActuals3541519[Team 1 Goals],tblActuals3541519[Team 1],$CU19,tblActuals3541519[Team 2],GG$3)</f>
        <v>0</v>
      </c>
      <c r="GH19" s="56">
        <f>SUMIFS(tblActuals3541519[Team 2 Goals],tblActuals3541519[Team 2],$CU19,tblActuals3541519[Team 1],GH$3)+SUMIFS(tblActuals3541519[Team 1 Goals],tblActuals3541519[Team 1],$CU19,tblActuals3541519[Team 2],GH$3)</f>
        <v>0</v>
      </c>
      <c r="GI19" s="56">
        <f>SUMIFS(tblActuals3541519[Team 2 Goals],tblActuals3541519[Team 2],$CU19,tblActuals3541519[Team 1],GI$3)+SUMIFS(tblActuals3541519[Team 1 Goals],tblActuals3541519[Team 1],$CU19,tblActuals3541519[Team 2],GI$3)</f>
        <v>0</v>
      </c>
      <c r="GJ19" s="57"/>
      <c r="GK19" s="57"/>
      <c r="GL19" s="37"/>
      <c r="GM19" s="37"/>
      <c r="GN19" s="37"/>
      <c r="GO19" s="37"/>
      <c r="GP19" s="37"/>
      <c r="GQ19" s="37"/>
      <c r="GR19" s="75"/>
      <c r="GS19" s="156"/>
      <c r="GT19" s="156"/>
      <c r="GU19" s="75"/>
      <c r="GV19" s="75"/>
      <c r="GW19" s="75"/>
      <c r="GX19" s="75"/>
      <c r="GY19" s="75"/>
      <c r="GZ19" s="75"/>
      <c r="HB19" s="4" t="str">
        <f t="shared" si="12"/>
        <v>CDEF</v>
      </c>
      <c r="HC19" s="45"/>
      <c r="HD19" s="45"/>
      <c r="HE19" s="44" t="s">
        <v>6</v>
      </c>
      <c r="HF19" s="44" t="s">
        <v>7</v>
      </c>
      <c r="HG19" s="44" t="s">
        <v>12</v>
      </c>
      <c r="HH19" s="44" t="s">
        <v>45</v>
      </c>
      <c r="HI19" s="178"/>
      <c r="HJ19" s="45" t="s">
        <v>154</v>
      </c>
      <c r="HK19" s="45" t="s">
        <v>153</v>
      </c>
      <c r="HL19" s="45" t="s">
        <v>150</v>
      </c>
      <c r="HM19" s="45" t="s">
        <v>152</v>
      </c>
    </row>
    <row r="20" spans="1:221" s="11" customFormat="1" ht="30" customHeight="1" x14ac:dyDescent="0.25">
      <c r="A20" s="20"/>
      <c r="B20" s="122">
        <v>17</v>
      </c>
      <c r="C20" s="122" t="s">
        <v>6</v>
      </c>
      <c r="D20" s="123">
        <v>45463</v>
      </c>
      <c r="E20" s="122" t="s">
        <v>86</v>
      </c>
      <c r="F20" s="124">
        <v>0.75</v>
      </c>
      <c r="G20" s="125">
        <f t="shared" si="11"/>
        <v>45463.5</v>
      </c>
      <c r="H20" s="122" t="s">
        <v>105</v>
      </c>
      <c r="I20" s="126"/>
      <c r="J20" s="118"/>
      <c r="K20" s="118"/>
      <c r="L20" s="174">
        <f>IF(I20="",0,IFERROR(IF(SCORING.RULES!$C$8="No",1,((VLOOKUP($B20,ACTUALS!$B$4:$L$100,7,FALSE)=$H20)+(VLOOKUP($B20,ACTUALS!$B$4:$L$100,7,FALSE)=S20)))*(M20+N20+O20+P20+Q20),0))+$R20</f>
        <v>0</v>
      </c>
      <c r="M20" s="168">
        <f>IFERROR(IF($B20="","",IF(U20=INDEX(ACTUALS!$AA$4:$AA$100,MATCH($B20,ACTUALS!$B$4:$B$100,0),1),CorrectScore,0)),0)</f>
        <v>0</v>
      </c>
      <c r="N20" s="157" t="str">
        <f>IFERROR(IF(I20="","",IF(INDEX(ACTUALS!$AB$4:$AB$100,MATCH($B20,ACTUALS!$B$4:$B$100,0),1)=(AB20+AC20+AH20+AI20),CorrectNumberofGoals,0)),0)</f>
        <v/>
      </c>
      <c r="O20" s="157"/>
      <c r="P20" s="157">
        <f>IFERROR(IF(B20="","",IF(INDEX(ACTUALS!$L$4:$L$100,MATCH($B20,ACTUALS!$B$4:$B$100,0),1)=W20,CorrectResult,0)),0)</f>
        <v>3</v>
      </c>
      <c r="Q20" s="157"/>
      <c r="R20" s="157"/>
      <c r="S20" s="157" t="str">
        <f t="shared" si="0"/>
        <v/>
      </c>
      <c r="T20" s="157"/>
      <c r="U20" s="157" t="str">
        <f t="shared" si="1"/>
        <v/>
      </c>
      <c r="V20" s="157" t="str">
        <f t="shared" si="2"/>
        <v/>
      </c>
      <c r="W20" s="119" t="str">
        <f>IF(tblActuals3541519[[#This Row],[SCORE]]="","",IF(AB20=AC20,"Draw",IF(AB20&gt;AC20,X20,Y20)))</f>
        <v/>
      </c>
      <c r="X20" s="120" t="str">
        <f>IF(tblActuals3541519[[#This Row],[TEAMS]]="","",LEFT(H20,FIND(" -",H20,1)-1))</f>
        <v>Denmark</v>
      </c>
      <c r="Y20" s="120" t="str">
        <f>IF(tblActuals3541519[[#This Row],[TEAMS]]="","",MID(H20,FIND("-",H20,1)+2,LEN(H20)-FIND("-",H20,1)+2))</f>
        <v>England</v>
      </c>
      <c r="Z20" s="120" t="str">
        <f>IF(tblActuals3541519[[#This Row],[Team 1 Goals]]&gt;tblActuals3541519[[#This Row],[Team 2 Goals]],tblActuals3541519[[#This Row],[Team 1]],IF(tblActuals3541519[[#This Row],[Team 2 Goals]]&gt;tblActuals3541519[[#This Row],[Team 1 Goals]],tblActuals3541519[[#This Row],[Team 2]],""))</f>
        <v/>
      </c>
      <c r="AA20" s="120" t="str">
        <f>IF(tblActuals3541519[[#This Row],[Winner]]=tblActuals3541519[[#This Row],[Team 1]],tblActuals3541519[[#This Row],[Team 2]],IF(tblActuals3541519[[#This Row],[Winner]]=tblActuals3541519[[#This Row],[Team 2]],tblActuals3541519[[#This Row],[Team 1]],""))</f>
        <v/>
      </c>
      <c r="AB20" s="120" t="str">
        <f>IF(tblActuals3541519[[#This Row],[SCORE]]="","",LEFT(I20,FIND(":",I20,1)-1)*1)</f>
        <v/>
      </c>
      <c r="AC20" s="120" t="str">
        <f>IF(tblActuals3541519[[#This Row],[SCORE]]="","",MID(I20,FIND(":",I20,1)+1,LEN(I20)-FIND(":",I20,1)+1)*1)</f>
        <v/>
      </c>
      <c r="AD20" s="120" t="str">
        <f>IF(OR(tblActuals3541519[[#This Row],[Team 1 Goals]]="",tblActuals3541519[[#This Row],[Team 2 Goals]]=""),"",tblActuals3541519[[#This Row],[Team 1 Goals]]-tblActuals3541519[[#This Row],[Team 2 Goals]])</f>
        <v/>
      </c>
      <c r="AE20" s="120" t="str">
        <f>IF(OR(tblActuals3541519[[#This Row],[Team 1 Goals]]="",tblActuals3541519[[#This Row],[Team 2 Goals]]=""),"",tblActuals3541519[[#This Row],[Team 2 Goals]]-tblActuals3541519[[#This Row],[Team 1 Goals]])</f>
        <v/>
      </c>
      <c r="AF20" s="120" t="str">
        <f>IF(tblActuals3541519[[#This Row],[SCORE]]="","",IF(tblActuals3541519[[#This Row],[WINNER / RESULT]]="Draw",1,IF(tblActuals3541519[[#This Row],[WINNER / RESULT]]=tblActuals3541519[[#This Row],[Team 1]],3,0)))</f>
        <v/>
      </c>
      <c r="AG20" s="120" t="str">
        <f>IF(tblActuals3541519[[#This Row],[SCORE]]="","",IF(tblActuals3541519[[#This Row],[WINNER / RESULT]]="Draw",1,IF(tblActuals3541519[[#This Row],[WINNER / RESULT]]=tblActuals3541519[[#This Row],[Team 2]],3,0)))</f>
        <v/>
      </c>
      <c r="AH20" s="121"/>
      <c r="AI20" s="121"/>
      <c r="AJ20" s="121"/>
      <c r="AK20" s="121"/>
      <c r="AL20" s="120" t="e">
        <f>tblActuals3541519[[#This Row],[Team 1 Goals]]+tblActuals3541519[[#This Row],[Team 1 ET Goals]]&amp;":"&amp;tblActuals3541519[[#This Row],[Team 2 Goals]]+tblActuals3541519[[#This Row],[Team 2 ET Goals]]</f>
        <v>#VALUE!</v>
      </c>
      <c r="AM20" s="120" t="e">
        <f>+tblActuals3541519[[#This Row],[Team 1 Goals]]+tblActuals3541519[[#This Row],[Team 2 Goals]]</f>
        <v>#VALUE!</v>
      </c>
      <c r="AN20" s="161">
        <f t="shared" si="3"/>
        <v>45463</v>
      </c>
      <c r="AT20" s="77" t="s">
        <v>6</v>
      </c>
      <c r="AU20" s="142">
        <v>3</v>
      </c>
      <c r="AV20" s="143" t="str">
        <f ca="1">IFERROR(INDEX(BD:BD,MATCH("3"&amp;AT20,BN:BN,0),1),"")</f>
        <v>Serbia</v>
      </c>
      <c r="AW20" s="143" t="str">
        <f ca="1">IF(AV20="","",VLOOKUP(AV20,BD:BI,2,FALSE)&amp;"-"&amp;VLOOKUP(AV20,BD:BI,3,FALSE)&amp;"-"&amp;VLOOKUP(AV20,BD:BI,4,FALSE))</f>
        <v>0-0-0</v>
      </c>
      <c r="AX20" s="143">
        <f ca="1">IF(AV20="","",VLOOKUP(AV20,BD:BK,8,FALSE))</f>
        <v>0</v>
      </c>
      <c r="AY20" s="144">
        <f ca="1">IF(AV20="","",VLOOKUP(AV20,BD:BN,5,FALSE))</f>
        <v>0</v>
      </c>
      <c r="AZ20" s="75" t="str">
        <f ca="1">IF(INDEX($AU$43:$AU$48,MATCH(AV20,$AV$43:$AV$48,0),1)&lt;=4,"X","")</f>
        <v>X</v>
      </c>
      <c r="BA20" s="4"/>
      <c r="BB20" s="4"/>
      <c r="BC20" s="4" t="s">
        <v>7</v>
      </c>
      <c r="BD20" s="4" t="s">
        <v>26</v>
      </c>
      <c r="BE20" s="4">
        <f>COUNTIF(tblActuals3541519[Winner],BD20)</f>
        <v>0</v>
      </c>
      <c r="BF20" s="4">
        <f>COUNTIFS(tblActuals3541519[Team 2],BD20,tblActuals3541519[WINNER / RESULT],"Draw")+COUNTIFS(tblActuals3541519[Team 1],BD20,tblActuals3541519[WINNER / RESULT],"Draw")</f>
        <v>0</v>
      </c>
      <c r="BG20" s="4">
        <f>COUNTIF(tblActuals3541519[Loser],BD20)</f>
        <v>0</v>
      </c>
      <c r="BH20" s="4">
        <f>BF20+(3*BE20)</f>
        <v>0</v>
      </c>
      <c r="BI20" s="4">
        <f>SUMIFS(tblActuals3541519[Team 1 Goals],tblActuals3541519[Team 1],BD20)+SUMIFS(tblActuals3541519[Team 2 Goals],tblActuals3541519[Team 2],BD20)</f>
        <v>0</v>
      </c>
      <c r="BJ20" s="4">
        <f>SUMIFS(tblActuals3541519[Team 2 Goals],tblActuals3541519[Team 1],BD20)+SUMIFS(tblActuals3541519[Team 1 Goals],tblActuals3541519[Team 2],BD20)</f>
        <v>0</v>
      </c>
      <c r="BK20" s="4">
        <f>BI20-BJ20</f>
        <v>0</v>
      </c>
      <c r="BL20" s="4">
        <f ca="1">RANK(BY20,$BY$19:$BY$22,1)</f>
        <v>2</v>
      </c>
      <c r="BM20" s="4" t="str">
        <f t="shared" si="4"/>
        <v/>
      </c>
      <c r="BN20" s="4" t="str">
        <f ca="1">IF(BM20="",BL20&amp;BC20,BM20&amp;BC20)</f>
        <v>2D</v>
      </c>
      <c r="BO20" s="4">
        <f>RANK(BH20,$BH$19:$BH$22,0)</f>
        <v>1</v>
      </c>
      <c r="BP20" s="4" cm="1">
        <f t="array" aca="1" ref="BP20" ca="1">SUMPRODUCT((OFFSET($CV$3:$EA$3,MATCH($BD20,$CU$4:$CU$35,0),0))*((IF($BO21=$BO20,$CV$3:$EA$3=$BD21,0))+(IF($BO22=$BO20,$CV$3:$EA$3=$BD22,0))+(IF($BO19=$BO20,$CV$3:$EA$3=$BD19,0))))</f>
        <v>0</v>
      </c>
      <c r="BQ20" s="4" cm="1">
        <f t="array" aca="1" ref="BQ20" ca="1">SUMPRODUCT((OFFSET($ED$3:$FI$3,MATCH($BD20,$EC$4:$EC$35,0),0))*((IF($BO21=$BO20,$ED$3:$FI$3=$BD21,0))+(IF($BO22=$BO20,$ED$3:$FI$3=$BD22,0))+(IF($BO19=$BO20,$ED$3:$FI$3=$BD19,0))))</f>
        <v>0</v>
      </c>
      <c r="BR20" s="4" cm="1">
        <f t="array" aca="1" ref="BR20" ca="1">SUMPRODUCT((OFFSET($FL$3:$GQ$3,MATCH($BD20,$FK$4:$FK$35,0),0))*((IF($BO21=$BO20,$FL$3:$GQ$3=$BD21,0))+(IF($BO22=$BO20,$FL$3:$GQ$3=$BD22,0))+(IF($BO19=$BO20,$FL$3:$GQ$3=$BD19,0))))</f>
        <v>0</v>
      </c>
      <c r="BS20" s="4" cm="1">
        <f t="array" aca="1" ref="BS20" ca="1">SUMPRODUCT((OFFSET($CV$3:$EA$3,MATCH($BD20,$CU$4:$CU$35,0),0))*((IF($BO21&lt;&gt;$BO20,$CV$3:$EA$3=$BD21,0))+(IF($BO22&lt;&gt;$BO20,$CV$3:$EA$3=$BD22,0))+(IF($BO19&lt;&gt;$BO20,$CV$3:$EA$3=$BD19,0))))</f>
        <v>0</v>
      </c>
      <c r="BT20" s="4" cm="1">
        <f t="array" aca="1" ref="BT20" ca="1">SUMPRODUCT((OFFSET($ED$3:$FI$3,MATCH($BD20,$EC$4:$EC$35,0),0))*((IF($BO21&lt;&gt;$BO20,$ED$3:$FI$3=$BD21,0))+(IF($BO22&lt;&gt;$BO20,$ED$3:$FI$3=$BD22,0))+(IF($BO19&lt;&gt;$BO20,$ED$3:$FI$3=$BD19,0))))</f>
        <v>0</v>
      </c>
      <c r="BU20" s="4" cm="1">
        <f t="array" aca="1" ref="BU20" ca="1">SUMPRODUCT((OFFSET($FL$3:$GQ$3,MATCH($BD20,$FK$4:$FK$35,0),0))*((IF($BO21&lt;&gt;$BO20,$FL$3:$GQ$3=$BD21,0))+(IF($BO22&lt;&gt;$BO20,$FL$3:$GQ$3=$BD22,0))+(IF($BO19&lt;&gt;$BO20,$FL$3:$GQ$3=$BD19,0))))</f>
        <v>0</v>
      </c>
      <c r="BV20" s="4">
        <f>BK20</f>
        <v>0</v>
      </c>
      <c r="BW20" s="4">
        <f>BI20</f>
        <v>0</v>
      </c>
      <c r="BX20" s="4">
        <f ca="1">(BP20/10)+(BQ20/100)+(BR20/1000)+(BT20/10000)+(BU20/100000)+(BV20/1000000)+(BW20/10000000)+(ROW(BS21)/100000000)</f>
        <v>2.1E-7</v>
      </c>
      <c r="BY20" s="4">
        <f ca="1">+BO20-BX20</f>
        <v>0.99999979000000006</v>
      </c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U20" s="4" t="s">
        <v>29</v>
      </c>
      <c r="CV20" s="56">
        <f>SUMIFS(tblActuals3541519[Team 2 Points],tblActuals3541519[Team 2],$CU20,tblActuals3541519[Team 1],CV$3)+SUMIFS(tblActuals3541519[Team 1 Points],tblActuals3541519[Team 1],$CU20,tblActuals3541519[Team 2],CV$3)</f>
        <v>0</v>
      </c>
      <c r="CW20" s="56">
        <f>SUMIFS(tblActuals3541519[Team 2 Points],tblActuals3541519[Team 2],$CU20,tblActuals3541519[Team 1],CW$3)+SUMIFS(tblActuals3541519[Team 1 Points],tblActuals3541519[Team 1],$CU20,tblActuals3541519[Team 2],CW$3)</f>
        <v>0</v>
      </c>
      <c r="CX20" s="56">
        <f>SUMIFS(tblActuals3541519[Team 2 Points],tblActuals3541519[Team 2],$CU20,tblActuals3541519[Team 1],CX$3)+SUMIFS(tblActuals3541519[Team 1 Points],tblActuals3541519[Team 1],$CU20,tblActuals3541519[Team 2],CX$3)</f>
        <v>0</v>
      </c>
      <c r="CY20" s="56">
        <f>SUMIFS(tblActuals3541519[Team 2 Points],tblActuals3541519[Team 2],$CU20,tblActuals3541519[Team 1],CY$3)+SUMIFS(tblActuals3541519[Team 1 Points],tblActuals3541519[Team 1],$CU20,tblActuals3541519[Team 2],CY$3)</f>
        <v>0</v>
      </c>
      <c r="CZ20" s="56">
        <f>SUMIFS(tblActuals3541519[Team 2 Points],tblActuals3541519[Team 2],$CU20,tblActuals3541519[Team 1],CZ$3)+SUMIFS(tblActuals3541519[Team 1 Points],tblActuals3541519[Team 1],$CU20,tblActuals3541519[Team 2],CZ$3)</f>
        <v>0</v>
      </c>
      <c r="DA20" s="56">
        <f>SUMIFS(tblActuals3541519[Team 2 Points],tblActuals3541519[Team 2],$CU20,tblActuals3541519[Team 1],DA$3)+SUMIFS(tblActuals3541519[Team 1 Points],tblActuals3541519[Team 1],$CU20,tblActuals3541519[Team 2],DA$3)</f>
        <v>0</v>
      </c>
      <c r="DB20" s="56">
        <f>SUMIFS(tblActuals3541519[Team 2 Points],tblActuals3541519[Team 2],$CU20,tblActuals3541519[Team 1],DB$3)+SUMIFS(tblActuals3541519[Team 1 Points],tblActuals3541519[Team 1],$CU20,tblActuals3541519[Team 2],DB$3)</f>
        <v>0</v>
      </c>
      <c r="DC20" s="56">
        <f>SUMIFS(tblActuals3541519[Team 2 Points],tblActuals3541519[Team 2],$CU20,tblActuals3541519[Team 1],DC$3)+SUMIFS(tblActuals3541519[Team 1 Points],tblActuals3541519[Team 1],$CU20,tblActuals3541519[Team 2],DC$3)</f>
        <v>0</v>
      </c>
      <c r="DD20" s="56">
        <f>SUMIFS(tblActuals3541519[Team 2 Points],tblActuals3541519[Team 2],$CU20,tblActuals3541519[Team 1],DD$3)+SUMIFS(tblActuals3541519[Team 1 Points],tblActuals3541519[Team 1],$CU20,tblActuals3541519[Team 2],DD$3)</f>
        <v>0</v>
      </c>
      <c r="DE20" s="56">
        <f>SUMIFS(tblActuals3541519[Team 2 Points],tblActuals3541519[Team 2],$CU20,tblActuals3541519[Team 1],DE$3)+SUMIFS(tblActuals3541519[Team 1 Points],tblActuals3541519[Team 1],$CU20,tblActuals3541519[Team 2],DE$3)</f>
        <v>0</v>
      </c>
      <c r="DF20" s="56">
        <f>SUMIFS(tblActuals3541519[Team 2 Points],tblActuals3541519[Team 2],$CU20,tblActuals3541519[Team 1],DF$3)+SUMIFS(tblActuals3541519[Team 1 Points],tblActuals3541519[Team 1],$CU20,tblActuals3541519[Team 2],DF$3)</f>
        <v>0</v>
      </c>
      <c r="DG20" s="56">
        <f>SUMIFS(tblActuals3541519[Team 2 Points],tblActuals3541519[Team 2],$CU20,tblActuals3541519[Team 1],DG$3)+SUMIFS(tblActuals3541519[Team 1 Points],tblActuals3541519[Team 1],$CU20,tblActuals3541519[Team 2],DG$3)</f>
        <v>0</v>
      </c>
      <c r="DH20" s="56">
        <f>SUMIFS(tblActuals3541519[Team 2 Points],tblActuals3541519[Team 2],$CU20,tblActuals3541519[Team 1],DH$3)+SUMIFS(tblActuals3541519[Team 1 Points],tblActuals3541519[Team 1],$CU20,tblActuals3541519[Team 2],DH$3)</f>
        <v>0</v>
      </c>
      <c r="DI20" s="56">
        <f>SUMIFS(tblActuals3541519[Team 2 Points],tblActuals3541519[Team 2],$CU20,tblActuals3541519[Team 1],DI$3)+SUMIFS(tblActuals3541519[Team 1 Points],tblActuals3541519[Team 1],$CU20,tblActuals3541519[Team 2],DI$3)</f>
        <v>0</v>
      </c>
      <c r="DJ20" s="56">
        <f>SUMIFS(tblActuals3541519[Team 2 Points],tblActuals3541519[Team 2],$CU20,tblActuals3541519[Team 1],DJ$3)+SUMIFS(tblActuals3541519[Team 1 Points],tblActuals3541519[Team 1],$CU20,tblActuals3541519[Team 2],DJ$3)</f>
        <v>0</v>
      </c>
      <c r="DK20" s="56">
        <f>SUMIFS(tblActuals3541519[Team 2 Points],tblActuals3541519[Team 2],$CU20,tblActuals3541519[Team 1],DK$3)+SUMIFS(tblActuals3541519[Team 1 Points],tblActuals3541519[Team 1],$CU20,tblActuals3541519[Team 2],DK$3)</f>
        <v>0</v>
      </c>
      <c r="DL20" s="56">
        <f>SUMIFS(tblActuals3541519[Team 2 Points],tblActuals3541519[Team 2],$CU20,tblActuals3541519[Team 1],DL$3)+SUMIFS(tblActuals3541519[Team 1 Points],tblActuals3541519[Team 1],$CU20,tblActuals3541519[Team 2],DL$3)</f>
        <v>0</v>
      </c>
      <c r="DM20" s="56">
        <f>SUMIFS(tblActuals3541519[Team 2 Points],tblActuals3541519[Team 2],$CU20,tblActuals3541519[Team 1],DM$3)+SUMIFS(tblActuals3541519[Team 1 Points],tblActuals3541519[Team 1],$CU20,tblActuals3541519[Team 2],DM$3)</f>
        <v>0</v>
      </c>
      <c r="DN20" s="56">
        <f>SUMIFS(tblActuals3541519[Team 2 Points],tblActuals3541519[Team 2],$CU20,tblActuals3541519[Team 1],DN$3)+SUMIFS(tblActuals3541519[Team 1 Points],tblActuals3541519[Team 1],$CU20,tblActuals3541519[Team 2],DN$3)</f>
        <v>0</v>
      </c>
      <c r="DO20" s="56">
        <f>SUMIFS(tblActuals3541519[Team 2 Points],tblActuals3541519[Team 2],$CU20,tblActuals3541519[Team 1],DO$3)+SUMIFS(tblActuals3541519[Team 1 Points],tblActuals3541519[Team 1],$CU20,tblActuals3541519[Team 2],DO$3)</f>
        <v>0</v>
      </c>
      <c r="DP20" s="56">
        <f>SUMIFS(tblActuals3541519[Team 2 Points],tblActuals3541519[Team 2],$CU20,tblActuals3541519[Team 1],DP$3)+SUMIFS(tblActuals3541519[Team 1 Points],tblActuals3541519[Team 1],$CU20,tblActuals3541519[Team 2],DP$3)</f>
        <v>0</v>
      </c>
      <c r="DQ20" s="56">
        <f>SUMIFS(tblActuals3541519[Team 2 Points],tblActuals3541519[Team 2],$CU20,tblActuals3541519[Team 1],DQ$3)+SUMIFS(tblActuals3541519[Team 1 Points],tblActuals3541519[Team 1],$CU20,tblActuals3541519[Team 2],DQ$3)</f>
        <v>0</v>
      </c>
      <c r="DR20" s="56">
        <f>SUMIFS(tblActuals3541519[Team 2 Points],tblActuals3541519[Team 2],$CU20,tblActuals3541519[Team 1],DR$3)+SUMIFS(tblActuals3541519[Team 1 Points],tblActuals3541519[Team 1],$CU20,tblActuals3541519[Team 2],DR$3)</f>
        <v>0</v>
      </c>
      <c r="DS20" s="56">
        <f>SUMIFS(tblActuals3541519[Team 2 Points],tblActuals3541519[Team 2],$CU20,tblActuals3541519[Team 1],DS$3)+SUMIFS(tblActuals3541519[Team 1 Points],tblActuals3541519[Team 1],$CU20,tblActuals3541519[Team 2],DS$3)</f>
        <v>0</v>
      </c>
      <c r="DT20" s="57"/>
      <c r="DU20" s="57"/>
      <c r="DV20" s="57"/>
      <c r="DW20" s="57"/>
      <c r="DX20" s="57"/>
      <c r="DY20" s="57"/>
      <c r="DZ20" s="57"/>
      <c r="EA20" s="57"/>
      <c r="EB20" s="4"/>
      <c r="EC20" s="4" t="s">
        <v>29</v>
      </c>
      <c r="ED20" s="56">
        <f>SUMIFS(tblActuals3541519[Team 2 GD],tblActuals3541519[Team 2],$CU20,tblActuals3541519[Team 1],ED$3)+SUMIFS(tblActuals3541519[Team 1 GD],tblActuals3541519[Team 1],$CU20,tblActuals3541519[Team 2],ED$3)</f>
        <v>0</v>
      </c>
      <c r="EE20" s="56">
        <f>SUMIFS(tblActuals3541519[Team 2 GD],tblActuals3541519[Team 2],$CU20,tblActuals3541519[Team 1],EE$3)+SUMIFS(tblActuals3541519[Team 1 GD],tblActuals3541519[Team 1],$CU20,tblActuals3541519[Team 2],EE$3)</f>
        <v>0</v>
      </c>
      <c r="EF20" s="56">
        <f>SUMIFS(tblActuals3541519[Team 2 GD],tblActuals3541519[Team 2],$CU20,tblActuals3541519[Team 1],EF$3)+SUMIFS(tblActuals3541519[Team 1 GD],tblActuals3541519[Team 1],$CU20,tblActuals3541519[Team 2],EF$3)</f>
        <v>0</v>
      </c>
      <c r="EG20" s="56">
        <f>SUMIFS(tblActuals3541519[Team 2 GD],tblActuals3541519[Team 2],$CU20,tblActuals3541519[Team 1],EG$3)+SUMIFS(tblActuals3541519[Team 1 GD],tblActuals3541519[Team 1],$CU20,tblActuals3541519[Team 2],EG$3)</f>
        <v>0</v>
      </c>
      <c r="EH20" s="56">
        <f>SUMIFS(tblActuals3541519[Team 2 GD],tblActuals3541519[Team 2],$CU20,tblActuals3541519[Team 1],EH$3)+SUMIFS(tblActuals3541519[Team 1 GD],tblActuals3541519[Team 1],$CU20,tblActuals3541519[Team 2],EH$3)</f>
        <v>0</v>
      </c>
      <c r="EI20" s="56">
        <f>SUMIFS(tblActuals3541519[Team 2 GD],tblActuals3541519[Team 2],$CU20,tblActuals3541519[Team 1],EI$3)+SUMIFS(tblActuals3541519[Team 1 GD],tblActuals3541519[Team 1],$CU20,tblActuals3541519[Team 2],EI$3)</f>
        <v>0</v>
      </c>
      <c r="EJ20" s="56">
        <f>SUMIFS(tblActuals3541519[Team 2 GD],tblActuals3541519[Team 2],$CU20,tblActuals3541519[Team 1],EJ$3)+SUMIFS(tblActuals3541519[Team 1 GD],tblActuals3541519[Team 1],$CU20,tblActuals3541519[Team 2],EJ$3)</f>
        <v>0</v>
      </c>
      <c r="EK20" s="56">
        <f>SUMIFS(tblActuals3541519[Team 2 GD],tblActuals3541519[Team 2],$CU20,tblActuals3541519[Team 1],EK$3)+SUMIFS(tblActuals3541519[Team 1 GD],tblActuals3541519[Team 1],$CU20,tblActuals3541519[Team 2],EK$3)</f>
        <v>0</v>
      </c>
      <c r="EL20" s="56">
        <f>SUMIFS(tblActuals3541519[Team 2 GD],tblActuals3541519[Team 2],$CU20,tblActuals3541519[Team 1],EL$3)+SUMIFS(tblActuals3541519[Team 1 GD],tblActuals3541519[Team 1],$CU20,tblActuals3541519[Team 2],EL$3)</f>
        <v>0</v>
      </c>
      <c r="EM20" s="56">
        <f>SUMIFS(tblActuals3541519[Team 2 GD],tblActuals3541519[Team 2],$CU20,tblActuals3541519[Team 1],EM$3)+SUMIFS(tblActuals3541519[Team 1 GD],tblActuals3541519[Team 1],$CU20,tblActuals3541519[Team 2],EM$3)</f>
        <v>0</v>
      </c>
      <c r="EN20" s="56">
        <f>SUMIFS(tblActuals3541519[Team 2 GD],tblActuals3541519[Team 2],$CU20,tblActuals3541519[Team 1],EN$3)+SUMIFS(tblActuals3541519[Team 1 GD],tblActuals3541519[Team 1],$CU20,tblActuals3541519[Team 2],EN$3)</f>
        <v>0</v>
      </c>
      <c r="EO20" s="56">
        <f>SUMIFS(tblActuals3541519[Team 2 GD],tblActuals3541519[Team 2],$CU20,tblActuals3541519[Team 1],EO$3)+SUMIFS(tblActuals3541519[Team 1 GD],tblActuals3541519[Team 1],$CU20,tblActuals3541519[Team 2],EO$3)</f>
        <v>0</v>
      </c>
      <c r="EP20" s="56">
        <f>SUMIFS(tblActuals3541519[Team 2 GD],tblActuals3541519[Team 2],$CU20,tblActuals3541519[Team 1],EP$3)+SUMIFS(tblActuals3541519[Team 1 GD],tblActuals3541519[Team 1],$CU20,tblActuals3541519[Team 2],EP$3)</f>
        <v>0</v>
      </c>
      <c r="EQ20" s="56">
        <f>SUMIFS(tblActuals3541519[Team 2 GD],tblActuals3541519[Team 2],$CU20,tblActuals3541519[Team 1],EQ$3)+SUMIFS(tblActuals3541519[Team 1 GD],tblActuals3541519[Team 1],$CU20,tblActuals3541519[Team 2],EQ$3)</f>
        <v>0</v>
      </c>
      <c r="ER20" s="56">
        <f>SUMIFS(tblActuals3541519[Team 2 GD],tblActuals3541519[Team 2],$CU20,tblActuals3541519[Team 1],ER$3)+SUMIFS(tblActuals3541519[Team 1 GD],tblActuals3541519[Team 1],$CU20,tblActuals3541519[Team 2],ER$3)</f>
        <v>0</v>
      </c>
      <c r="ES20" s="56">
        <f>SUMIFS(tblActuals3541519[Team 2 GD],tblActuals3541519[Team 2],$CU20,tblActuals3541519[Team 1],ES$3)+SUMIFS(tblActuals3541519[Team 1 GD],tblActuals3541519[Team 1],$CU20,tblActuals3541519[Team 2],ES$3)</f>
        <v>0</v>
      </c>
      <c r="ET20" s="56">
        <f>SUMIFS(tblActuals3541519[Team 2 GD],tblActuals3541519[Team 2],$CU20,tblActuals3541519[Team 1],ET$3)+SUMIFS(tblActuals3541519[Team 1 GD],tblActuals3541519[Team 1],$CU20,tblActuals3541519[Team 2],ET$3)</f>
        <v>0</v>
      </c>
      <c r="EU20" s="56">
        <f>SUMIFS(tblActuals3541519[Team 2 GD],tblActuals3541519[Team 2],$CU20,tblActuals3541519[Team 1],EU$3)+SUMIFS(tblActuals3541519[Team 1 GD],tblActuals3541519[Team 1],$CU20,tblActuals3541519[Team 2],EU$3)</f>
        <v>0</v>
      </c>
      <c r="EV20" s="56">
        <f>SUMIFS(tblActuals3541519[Team 2 GD],tblActuals3541519[Team 2],$CU20,tblActuals3541519[Team 1],EV$3)+SUMIFS(tblActuals3541519[Team 1 GD],tblActuals3541519[Team 1],$CU20,tblActuals3541519[Team 2],EV$3)</f>
        <v>0</v>
      </c>
      <c r="EW20" s="56">
        <f>SUMIFS(tblActuals3541519[Team 2 GD],tblActuals3541519[Team 2],$CU20,tblActuals3541519[Team 1],EW$3)+SUMIFS(tblActuals3541519[Team 1 GD],tblActuals3541519[Team 1],$CU20,tblActuals3541519[Team 2],EW$3)</f>
        <v>0</v>
      </c>
      <c r="EX20" s="56">
        <f>SUMIFS(tblActuals3541519[Team 2 GD],tblActuals3541519[Team 2],$CU20,tblActuals3541519[Team 1],EX$3)+SUMIFS(tblActuals3541519[Team 1 GD],tblActuals3541519[Team 1],$CU20,tblActuals3541519[Team 2],EX$3)</f>
        <v>0</v>
      </c>
      <c r="EY20" s="56">
        <f>SUMIFS(tblActuals3541519[Team 2 GD],tblActuals3541519[Team 2],$CU20,tblActuals3541519[Team 1],EY$3)+SUMIFS(tblActuals3541519[Team 1 GD],tblActuals3541519[Team 1],$CU20,tblActuals3541519[Team 2],EY$3)</f>
        <v>0</v>
      </c>
      <c r="EZ20" s="56">
        <f>SUMIFS(tblActuals3541519[Team 2 GD],tblActuals3541519[Team 2],$CU20,tblActuals3541519[Team 1],EZ$3)+SUMIFS(tblActuals3541519[Team 1 GD],tblActuals3541519[Team 1],$CU20,tblActuals3541519[Team 2],EZ$3)</f>
        <v>0</v>
      </c>
      <c r="FA20" s="56">
        <f>SUMIFS(tblActuals3541519[Team 2 GD],tblActuals3541519[Team 2],$CU20,tblActuals3541519[Team 1],FA$3)+SUMIFS(tblActuals3541519[Team 1 GD],tblActuals3541519[Team 1],$CU20,tblActuals3541519[Team 2],FA$3)</f>
        <v>0</v>
      </c>
      <c r="FB20" s="57"/>
      <c r="FC20" s="57"/>
      <c r="FD20" s="57"/>
      <c r="FE20" s="57"/>
      <c r="FF20" s="57"/>
      <c r="FG20" s="57"/>
      <c r="FH20" s="57"/>
      <c r="FI20" s="57"/>
      <c r="FJ20" s="4"/>
      <c r="FK20" s="4" t="s">
        <v>29</v>
      </c>
      <c r="FL20" s="56">
        <f>SUMIFS(tblActuals3541519[Team 2 Goals],tblActuals3541519[Team 2],$CU20,tblActuals3541519[Team 1],FL$3)+SUMIFS(tblActuals3541519[Team 1 Goals],tblActuals3541519[Team 1],$CU20,tblActuals3541519[Team 2],FL$3)</f>
        <v>0</v>
      </c>
      <c r="FM20" s="56">
        <f>SUMIFS(tblActuals3541519[Team 2 Goals],tblActuals3541519[Team 2],$CU20,tblActuals3541519[Team 1],FM$3)+SUMIFS(tblActuals3541519[Team 1 Goals],tblActuals3541519[Team 1],$CU20,tblActuals3541519[Team 2],FM$3)</f>
        <v>0</v>
      </c>
      <c r="FN20" s="56">
        <f>SUMIFS(tblActuals3541519[Team 2 Goals],tblActuals3541519[Team 2],$CU20,tblActuals3541519[Team 1],FN$3)+SUMIFS(tblActuals3541519[Team 1 Goals],tblActuals3541519[Team 1],$CU20,tblActuals3541519[Team 2],FN$3)</f>
        <v>0</v>
      </c>
      <c r="FO20" s="56">
        <f>SUMIFS(tblActuals3541519[Team 2 Goals],tblActuals3541519[Team 2],$CU20,tblActuals3541519[Team 1],FO$3)+SUMIFS(tblActuals3541519[Team 1 Goals],tblActuals3541519[Team 1],$CU20,tblActuals3541519[Team 2],FO$3)</f>
        <v>0</v>
      </c>
      <c r="FP20" s="56">
        <f>SUMIFS(tblActuals3541519[Team 2 Goals],tblActuals3541519[Team 2],$CU20,tblActuals3541519[Team 1],FP$3)+SUMIFS(tblActuals3541519[Team 1 Goals],tblActuals3541519[Team 1],$CU20,tblActuals3541519[Team 2],FP$3)</f>
        <v>0</v>
      </c>
      <c r="FQ20" s="56">
        <f>SUMIFS(tblActuals3541519[Team 2 Goals],tblActuals3541519[Team 2],$CU20,tblActuals3541519[Team 1],FQ$3)+SUMIFS(tblActuals3541519[Team 1 Goals],tblActuals3541519[Team 1],$CU20,tblActuals3541519[Team 2],FQ$3)</f>
        <v>0</v>
      </c>
      <c r="FR20" s="56">
        <f>SUMIFS(tblActuals3541519[Team 2 Goals],tblActuals3541519[Team 2],$CU20,tblActuals3541519[Team 1],FR$3)+SUMIFS(tblActuals3541519[Team 1 Goals],tblActuals3541519[Team 1],$CU20,tblActuals3541519[Team 2],FR$3)</f>
        <v>0</v>
      </c>
      <c r="FS20" s="56">
        <f>SUMIFS(tblActuals3541519[Team 2 Goals],tblActuals3541519[Team 2],$CU20,tblActuals3541519[Team 1],FS$3)+SUMIFS(tblActuals3541519[Team 1 Goals],tblActuals3541519[Team 1],$CU20,tblActuals3541519[Team 2],FS$3)</f>
        <v>0</v>
      </c>
      <c r="FT20" s="56">
        <f>SUMIFS(tblActuals3541519[Team 2 Goals],tblActuals3541519[Team 2],$CU20,tblActuals3541519[Team 1],FT$3)+SUMIFS(tblActuals3541519[Team 1 Goals],tblActuals3541519[Team 1],$CU20,tblActuals3541519[Team 2],FT$3)</f>
        <v>0</v>
      </c>
      <c r="FU20" s="56">
        <f>SUMIFS(tblActuals3541519[Team 2 Goals],tblActuals3541519[Team 2],$CU20,tblActuals3541519[Team 1],FU$3)+SUMIFS(tblActuals3541519[Team 1 Goals],tblActuals3541519[Team 1],$CU20,tblActuals3541519[Team 2],FU$3)</f>
        <v>0</v>
      </c>
      <c r="FV20" s="56">
        <f>SUMIFS(tblActuals3541519[Team 2 Goals],tblActuals3541519[Team 2],$CU20,tblActuals3541519[Team 1],FV$3)+SUMIFS(tblActuals3541519[Team 1 Goals],tblActuals3541519[Team 1],$CU20,tblActuals3541519[Team 2],FV$3)</f>
        <v>0</v>
      </c>
      <c r="FW20" s="56">
        <f>SUMIFS(tblActuals3541519[Team 2 Goals],tblActuals3541519[Team 2],$CU20,tblActuals3541519[Team 1],FW$3)+SUMIFS(tblActuals3541519[Team 1 Goals],tblActuals3541519[Team 1],$CU20,tblActuals3541519[Team 2],FW$3)</f>
        <v>0</v>
      </c>
      <c r="FX20" s="56">
        <f>SUMIFS(tblActuals3541519[Team 2 Goals],tblActuals3541519[Team 2],$CU20,tblActuals3541519[Team 1],FX$3)+SUMIFS(tblActuals3541519[Team 1 Goals],tblActuals3541519[Team 1],$CU20,tblActuals3541519[Team 2],FX$3)</f>
        <v>0</v>
      </c>
      <c r="FY20" s="56">
        <f>SUMIFS(tblActuals3541519[Team 2 Goals],tblActuals3541519[Team 2],$CU20,tblActuals3541519[Team 1],FY$3)+SUMIFS(tblActuals3541519[Team 1 Goals],tblActuals3541519[Team 1],$CU20,tblActuals3541519[Team 2],FY$3)</f>
        <v>0</v>
      </c>
      <c r="FZ20" s="56">
        <f>SUMIFS(tblActuals3541519[Team 2 Goals],tblActuals3541519[Team 2],$CU20,tblActuals3541519[Team 1],FZ$3)+SUMIFS(tblActuals3541519[Team 1 Goals],tblActuals3541519[Team 1],$CU20,tblActuals3541519[Team 2],FZ$3)</f>
        <v>0</v>
      </c>
      <c r="GA20" s="56">
        <f>SUMIFS(tblActuals3541519[Team 2 Goals],tblActuals3541519[Team 2],$CU20,tblActuals3541519[Team 1],GA$3)+SUMIFS(tblActuals3541519[Team 1 Goals],tblActuals3541519[Team 1],$CU20,tblActuals3541519[Team 2],GA$3)</f>
        <v>0</v>
      </c>
      <c r="GB20" s="56">
        <f>SUMIFS(tblActuals3541519[Team 2 Goals],tblActuals3541519[Team 2],$CU20,tblActuals3541519[Team 1],GB$3)+SUMIFS(tblActuals3541519[Team 1 Goals],tblActuals3541519[Team 1],$CU20,tblActuals3541519[Team 2],GB$3)</f>
        <v>0</v>
      </c>
      <c r="GC20" s="56">
        <f>SUMIFS(tblActuals3541519[Team 2 Goals],tblActuals3541519[Team 2],$CU20,tblActuals3541519[Team 1],GC$3)+SUMIFS(tblActuals3541519[Team 1 Goals],tblActuals3541519[Team 1],$CU20,tblActuals3541519[Team 2],GC$3)</f>
        <v>0</v>
      </c>
      <c r="GD20" s="56">
        <f>SUMIFS(tblActuals3541519[Team 2 Goals],tblActuals3541519[Team 2],$CU20,tblActuals3541519[Team 1],GD$3)+SUMIFS(tblActuals3541519[Team 1 Goals],tblActuals3541519[Team 1],$CU20,tblActuals3541519[Team 2],GD$3)</f>
        <v>0</v>
      </c>
      <c r="GE20" s="56">
        <f>SUMIFS(tblActuals3541519[Team 2 Goals],tblActuals3541519[Team 2],$CU20,tblActuals3541519[Team 1],GE$3)+SUMIFS(tblActuals3541519[Team 1 Goals],tblActuals3541519[Team 1],$CU20,tblActuals3541519[Team 2],GE$3)</f>
        <v>0</v>
      </c>
      <c r="GF20" s="56">
        <f>SUMIFS(tblActuals3541519[Team 2 Goals],tblActuals3541519[Team 2],$CU20,tblActuals3541519[Team 1],GF$3)+SUMIFS(tblActuals3541519[Team 1 Goals],tblActuals3541519[Team 1],$CU20,tblActuals3541519[Team 2],GF$3)</f>
        <v>0</v>
      </c>
      <c r="GG20" s="56">
        <f>SUMIFS(tblActuals3541519[Team 2 Goals],tblActuals3541519[Team 2],$CU20,tblActuals3541519[Team 1],GG$3)+SUMIFS(tblActuals3541519[Team 1 Goals],tblActuals3541519[Team 1],$CU20,tblActuals3541519[Team 2],GG$3)</f>
        <v>0</v>
      </c>
      <c r="GH20" s="56">
        <f>SUMIFS(tblActuals3541519[Team 2 Goals],tblActuals3541519[Team 2],$CU20,tblActuals3541519[Team 1],GH$3)+SUMIFS(tblActuals3541519[Team 1 Goals],tblActuals3541519[Team 1],$CU20,tblActuals3541519[Team 2],GH$3)</f>
        <v>0</v>
      </c>
      <c r="GI20" s="56">
        <f>SUMIFS(tblActuals3541519[Team 2 Goals],tblActuals3541519[Team 2],$CU20,tblActuals3541519[Team 1],GI$3)+SUMIFS(tblActuals3541519[Team 1 Goals],tblActuals3541519[Team 1],$CU20,tblActuals3541519[Team 2],GI$3)</f>
        <v>0</v>
      </c>
      <c r="GJ20" s="57"/>
      <c r="GK20" s="57"/>
      <c r="GL20" s="37"/>
      <c r="GM20" s="37"/>
      <c r="GN20" s="37"/>
      <c r="GO20" s="37"/>
      <c r="GP20" s="37"/>
      <c r="GQ20" s="37"/>
      <c r="GR20" s="75"/>
      <c r="GS20" s="156"/>
      <c r="GT20" s="156"/>
      <c r="GU20" s="75"/>
      <c r="GV20" s="75"/>
      <c r="GW20" s="75"/>
      <c r="GX20" s="75"/>
      <c r="GY20" s="75"/>
      <c r="GZ20" s="75"/>
    </row>
    <row r="21" spans="1:221" s="11" customFormat="1" ht="30" customHeight="1" thickBot="1" x14ac:dyDescent="0.3">
      <c r="A21" s="20"/>
      <c r="B21" s="122">
        <v>18</v>
      </c>
      <c r="C21" s="122" t="s">
        <v>6</v>
      </c>
      <c r="D21" s="123">
        <v>45463</v>
      </c>
      <c r="E21" s="122" t="s">
        <v>78</v>
      </c>
      <c r="F21" s="124">
        <v>0.625</v>
      </c>
      <c r="G21" s="125">
        <f t="shared" si="11"/>
        <v>45463.375</v>
      </c>
      <c r="H21" s="122" t="s">
        <v>106</v>
      </c>
      <c r="I21" s="126"/>
      <c r="J21" s="118"/>
      <c r="K21" s="118"/>
      <c r="L21" s="174">
        <f>IF(I21="",0,IFERROR(IF(SCORING.RULES!$C$8="No",1,((VLOOKUP($B21,ACTUALS!$B$4:$L$100,7,FALSE)=$H21)+(VLOOKUP($B21,ACTUALS!$B$4:$L$100,7,FALSE)=S21)))*(M21+N21+O21+P21+Q21),0))+$R21</f>
        <v>0</v>
      </c>
      <c r="M21" s="168">
        <f>IFERROR(IF($B21="","",IF(U21=INDEX(ACTUALS!$AA$4:$AA$100,MATCH($B21,ACTUALS!$B$4:$B$100,0),1),CorrectScore,0)),0)</f>
        <v>0</v>
      </c>
      <c r="N21" s="157" t="str">
        <f>IFERROR(IF(I21="","",IF(INDEX(ACTUALS!$AB$4:$AB$100,MATCH($B21,ACTUALS!$B$4:$B$100,0),1)=(AB21+AC21+AH21+AI21),CorrectNumberofGoals,0)),0)</f>
        <v/>
      </c>
      <c r="O21" s="157"/>
      <c r="P21" s="157">
        <f>IFERROR(IF(B21="","",IF(INDEX(ACTUALS!$L$4:$L$100,MATCH($B21,ACTUALS!$B$4:$B$100,0),1)=W21,CorrectResult,0)),0)</f>
        <v>3</v>
      </c>
      <c r="Q21" s="157"/>
      <c r="R21" s="157"/>
      <c r="S21" s="157" t="str">
        <f t="shared" si="0"/>
        <v/>
      </c>
      <c r="T21" s="157"/>
      <c r="U21" s="157" t="str">
        <f t="shared" si="1"/>
        <v/>
      </c>
      <c r="V21" s="157" t="str">
        <f t="shared" si="2"/>
        <v/>
      </c>
      <c r="W21" s="119" t="str">
        <f>IF(tblActuals3541519[[#This Row],[SCORE]]="","",IF(AB21=AC21,"Draw",IF(AB21&gt;AC21,X21,Y21)))</f>
        <v/>
      </c>
      <c r="X21" s="120" t="str">
        <f>IF(tblActuals3541519[[#This Row],[TEAMS]]="","",LEFT(H21,FIND(" -",H21,1)-1))</f>
        <v>Slovenia</v>
      </c>
      <c r="Y21" s="120" t="str">
        <f>IF(tblActuals3541519[[#This Row],[TEAMS]]="","",MID(H21,FIND("-",H21,1)+2,LEN(H21)-FIND("-",H21,1)+2))</f>
        <v>Serbia</v>
      </c>
      <c r="Z21" s="120" t="str">
        <f>IF(tblActuals3541519[[#This Row],[Team 1 Goals]]&gt;tblActuals3541519[[#This Row],[Team 2 Goals]],tblActuals3541519[[#This Row],[Team 1]],IF(tblActuals3541519[[#This Row],[Team 2 Goals]]&gt;tblActuals3541519[[#This Row],[Team 1 Goals]],tblActuals3541519[[#This Row],[Team 2]],""))</f>
        <v/>
      </c>
      <c r="AA21" s="120" t="str">
        <f>IF(tblActuals3541519[[#This Row],[Winner]]=tblActuals3541519[[#This Row],[Team 1]],tblActuals3541519[[#This Row],[Team 2]],IF(tblActuals3541519[[#This Row],[Winner]]=tblActuals3541519[[#This Row],[Team 2]],tblActuals3541519[[#This Row],[Team 1]],""))</f>
        <v/>
      </c>
      <c r="AB21" s="120" t="str">
        <f>IF(tblActuals3541519[[#This Row],[SCORE]]="","",LEFT(I21,FIND(":",I21,1)-1)*1)</f>
        <v/>
      </c>
      <c r="AC21" s="120" t="str">
        <f>IF(tblActuals3541519[[#This Row],[SCORE]]="","",MID(I21,FIND(":",I21,1)+1,LEN(I21)-FIND(":",I21,1)+1)*1)</f>
        <v/>
      </c>
      <c r="AD21" s="120" t="str">
        <f>IF(OR(tblActuals3541519[[#This Row],[Team 1 Goals]]="",tblActuals3541519[[#This Row],[Team 2 Goals]]=""),"",tblActuals3541519[[#This Row],[Team 1 Goals]]-tblActuals3541519[[#This Row],[Team 2 Goals]])</f>
        <v/>
      </c>
      <c r="AE21" s="120" t="str">
        <f>IF(OR(tblActuals3541519[[#This Row],[Team 1 Goals]]="",tblActuals3541519[[#This Row],[Team 2 Goals]]=""),"",tblActuals3541519[[#This Row],[Team 2 Goals]]-tblActuals3541519[[#This Row],[Team 1 Goals]])</f>
        <v/>
      </c>
      <c r="AF21" s="120" t="str">
        <f>IF(tblActuals3541519[[#This Row],[SCORE]]="","",IF(tblActuals3541519[[#This Row],[WINNER / RESULT]]="Draw",1,IF(tblActuals3541519[[#This Row],[WINNER / RESULT]]=tblActuals3541519[[#This Row],[Team 1]],3,0)))</f>
        <v/>
      </c>
      <c r="AG21" s="120" t="str">
        <f>IF(tblActuals3541519[[#This Row],[SCORE]]="","",IF(tblActuals3541519[[#This Row],[WINNER / RESULT]]="Draw",1,IF(tblActuals3541519[[#This Row],[WINNER / RESULT]]=tblActuals3541519[[#This Row],[Team 2]],3,0)))</f>
        <v/>
      </c>
      <c r="AH21" s="121"/>
      <c r="AI21" s="121"/>
      <c r="AJ21" s="121"/>
      <c r="AK21" s="121"/>
      <c r="AL21" s="120" t="e">
        <f>tblActuals3541519[[#This Row],[Team 1 Goals]]+tblActuals3541519[[#This Row],[Team 1 ET Goals]]&amp;":"&amp;tblActuals3541519[[#This Row],[Team 2 Goals]]+tblActuals3541519[[#This Row],[Team 2 ET Goals]]</f>
        <v>#VALUE!</v>
      </c>
      <c r="AM21" s="120" t="e">
        <f>+tblActuals3541519[[#This Row],[Team 1 Goals]]+tblActuals3541519[[#This Row],[Team 2 Goals]]</f>
        <v>#VALUE!</v>
      </c>
      <c r="AN21" s="161">
        <f t="shared" si="3"/>
        <v>45463</v>
      </c>
      <c r="AT21" s="77" t="s">
        <v>6</v>
      </c>
      <c r="AU21" s="145">
        <v>4</v>
      </c>
      <c r="AV21" s="146" t="str">
        <f ca="1">IFERROR(INDEX(BD:BD,MATCH("4"&amp;AT21,BN:BN,0),1),"")</f>
        <v>Slovenia</v>
      </c>
      <c r="AW21" s="146" t="str">
        <f ca="1">IF(AV21="","",VLOOKUP(AV21,BD:BI,2,FALSE)&amp;"-"&amp;VLOOKUP(AV21,BD:BI,3,FALSE)&amp;"-"&amp;VLOOKUP(AV21,BD:BI,4,FALSE))</f>
        <v>0-0-0</v>
      </c>
      <c r="AX21" s="146">
        <f ca="1">IF(AV21="","",VLOOKUP(AV21,BD:BK,8,FALSE))</f>
        <v>0</v>
      </c>
      <c r="AY21" s="147">
        <f ca="1">IF(AV21="","",VLOOKUP(AV21,BD:BN,5,FALSE))</f>
        <v>0</v>
      </c>
      <c r="AZ21" s="75"/>
      <c r="BA21" s="4"/>
      <c r="BB21" s="4"/>
      <c r="BC21" s="4" t="s">
        <v>7</v>
      </c>
      <c r="BD21" s="4" t="s">
        <v>8</v>
      </c>
      <c r="BE21" s="4">
        <f>COUNTIF(tblActuals3541519[Winner],BD21)</f>
        <v>0</v>
      </c>
      <c r="BF21" s="4">
        <f>COUNTIFS(tblActuals3541519[Team 2],BD21,tblActuals3541519[WINNER / RESULT],"Draw")+COUNTIFS(tblActuals3541519[Team 1],BD21,tblActuals3541519[WINNER / RESULT],"Draw")</f>
        <v>0</v>
      </c>
      <c r="BG21" s="4">
        <f>COUNTIF(tblActuals3541519[Loser],BD21)</f>
        <v>0</v>
      </c>
      <c r="BH21" s="4">
        <f>BF21+(3*BE21)</f>
        <v>0</v>
      </c>
      <c r="BI21" s="4">
        <f>SUMIFS(tblActuals3541519[Team 1 Goals],tblActuals3541519[Team 1],BD21)+SUMIFS(tblActuals3541519[Team 2 Goals],tblActuals3541519[Team 2],BD21)</f>
        <v>0</v>
      </c>
      <c r="BJ21" s="4">
        <f>SUMIFS(tblActuals3541519[Team 2 Goals],tblActuals3541519[Team 1],BD21)+SUMIFS(tblActuals3541519[Team 1 Goals],tblActuals3541519[Team 2],BD21)</f>
        <v>0</v>
      </c>
      <c r="BK21" s="4">
        <f>BI21-BJ21</f>
        <v>0</v>
      </c>
      <c r="BL21" s="4">
        <f ca="1">RANK(BY21,$BY$19:$BY$22,1)</f>
        <v>3</v>
      </c>
      <c r="BM21" s="4" t="str">
        <f t="shared" si="4"/>
        <v/>
      </c>
      <c r="BN21" s="4" t="str">
        <f ca="1">IF(BM21="",BL21&amp;BC21,BM21&amp;BC21)</f>
        <v>3D</v>
      </c>
      <c r="BO21" s="4">
        <f>RANK(BH21,$BH$19:$BH$22,0)</f>
        <v>1</v>
      </c>
      <c r="BP21" s="4" cm="1">
        <f t="array" aca="1" ref="BP21" ca="1">SUMPRODUCT((OFFSET($CV$3:$EA$3,MATCH($BD21,$CU$4:$CU$35,0),0))*((IF($BO19=$BO21,$CV$3:$EA$3=$BD19,0))+(IF($BO22=$BO21,$CV$3:$EA$3=$BD22,0))+(IF($BO20=$BO21,$CV$3:$EA$3=$BD20,0))))</f>
        <v>0</v>
      </c>
      <c r="BQ21" s="4" cm="1">
        <f t="array" aca="1" ref="BQ21" ca="1">SUMPRODUCT((OFFSET($ED$3:$FI$3,MATCH($BD21,$EC$4:$EC$35,0),0))*((IF($BO19=$BO21,$ED$3:$FI$3=$BD19,0))+(IF($BO22=$BO21,$ED$3:$FI$3=$BD22,0))+(IF($BO20=$BO21,$ED$3:$FI$3=$BD20,0))))</f>
        <v>0</v>
      </c>
      <c r="BR21" s="4" cm="1">
        <f t="array" aca="1" ref="BR21" ca="1">SUMPRODUCT((OFFSET($FL$3:$GQ$3,MATCH($BD21,$FK$4:$FK$35,0),0))*((IF($BO19=$BO21,$FL$3:$GQ$3=$BD19,0))+(IF($BO22=$BO21,$FL$3:$GQ$3=$BD22,0))+(IF($BO20=$BO21,$FL$3:$GQ$3=$BD20,0))))</f>
        <v>0</v>
      </c>
      <c r="BS21" s="4" cm="1">
        <f t="array" aca="1" ref="BS21" ca="1">SUMPRODUCT((OFFSET($CV$3:$EA$3,MATCH($BD21,$CU$4:$CU$35,0),0))*((IF($BO19&lt;&gt;$BO21,$CV$3:$EA$3=$BD19,0))+(IF($BO22&lt;&gt;$BO21,$CV$3:$EA$3=$BD22,0))+(IF($BO20&lt;&gt;$BO21,$CV$3:$EA$3=$BD20,0))))</f>
        <v>0</v>
      </c>
      <c r="BT21" s="4" cm="1">
        <f t="array" aca="1" ref="BT21" ca="1">SUMPRODUCT((OFFSET($ED$3:$FI$3,MATCH($BD21,$EC$4:$EC$35,0),0))*((IF($BO19&lt;&gt;$BO21,$ED$3:$FI$3=$BD19,0))+(IF($BO22&lt;&gt;$BO21,$ED$3:$FI$3=$BD22,0))+(IF($BO20&lt;&gt;$BO21,$ED$3:$FI$3=$BD20,0))))</f>
        <v>0</v>
      </c>
      <c r="BU21" s="4" cm="1">
        <f t="array" aca="1" ref="BU21" ca="1">SUMPRODUCT((OFFSET($FL$3:$GQ$3,MATCH($BD21,$FK$4:$FK$35,0),0))*((IF($BO19&lt;&gt;$BO21,$FL$3:$GQ$3=$BD19,0))+(IF($BO22&lt;&gt;$BO21,$FL$3:$GQ$3=$BD22,0))+(IF($BO20&lt;&gt;$BO21,$FL$3:$GQ$3=$BD20,0))))</f>
        <v>0</v>
      </c>
      <c r="BV21" s="4">
        <f>BK21</f>
        <v>0</v>
      </c>
      <c r="BW21" s="4">
        <f>BI21</f>
        <v>0</v>
      </c>
      <c r="BX21" s="4">
        <f ca="1">(BP21/10)+(BQ21/100)+(BR21/1000)+(BT21/10000)+(BU21/100000)+(BV21/1000000)+(BW21/10000000)+(ROW(BS20)/100000000)</f>
        <v>1.9999999999999999E-7</v>
      </c>
      <c r="BY21" s="4">
        <f ca="1">+BO21-BX21</f>
        <v>0.99999979999999999</v>
      </c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U21" s="4" t="s">
        <v>130</v>
      </c>
      <c r="CV21" s="56">
        <f>SUMIFS(tblActuals3541519[Team 2 Points],tblActuals3541519[Team 2],$CU21,tblActuals3541519[Team 1],CV$3)+SUMIFS(tblActuals3541519[Team 1 Points],tblActuals3541519[Team 1],$CU21,tblActuals3541519[Team 2],CV$3)</f>
        <v>0</v>
      </c>
      <c r="CW21" s="56">
        <f>SUMIFS(tblActuals3541519[Team 2 Points],tblActuals3541519[Team 2],$CU21,tblActuals3541519[Team 1],CW$3)+SUMIFS(tblActuals3541519[Team 1 Points],tblActuals3541519[Team 1],$CU21,tblActuals3541519[Team 2],CW$3)</f>
        <v>0</v>
      </c>
      <c r="CX21" s="56">
        <f>SUMIFS(tblActuals3541519[Team 2 Points],tblActuals3541519[Team 2],$CU21,tblActuals3541519[Team 1],CX$3)+SUMIFS(tblActuals3541519[Team 1 Points],tblActuals3541519[Team 1],$CU21,tblActuals3541519[Team 2],CX$3)</f>
        <v>0</v>
      </c>
      <c r="CY21" s="56">
        <f>SUMIFS(tblActuals3541519[Team 2 Points],tblActuals3541519[Team 2],$CU21,tblActuals3541519[Team 1],CY$3)+SUMIFS(tblActuals3541519[Team 1 Points],tblActuals3541519[Team 1],$CU21,tblActuals3541519[Team 2],CY$3)</f>
        <v>0</v>
      </c>
      <c r="CZ21" s="56">
        <f>SUMIFS(tblActuals3541519[Team 2 Points],tblActuals3541519[Team 2],$CU21,tblActuals3541519[Team 1],CZ$3)+SUMIFS(tblActuals3541519[Team 1 Points],tblActuals3541519[Team 1],$CU21,tblActuals3541519[Team 2],CZ$3)</f>
        <v>0</v>
      </c>
      <c r="DA21" s="56">
        <f>SUMIFS(tblActuals3541519[Team 2 Points],tblActuals3541519[Team 2],$CU21,tblActuals3541519[Team 1],DA$3)+SUMIFS(tblActuals3541519[Team 1 Points],tblActuals3541519[Team 1],$CU21,tblActuals3541519[Team 2],DA$3)</f>
        <v>0</v>
      </c>
      <c r="DB21" s="56">
        <f>SUMIFS(tblActuals3541519[Team 2 Points],tblActuals3541519[Team 2],$CU21,tblActuals3541519[Team 1],DB$3)+SUMIFS(tblActuals3541519[Team 1 Points],tblActuals3541519[Team 1],$CU21,tblActuals3541519[Team 2],DB$3)</f>
        <v>0</v>
      </c>
      <c r="DC21" s="56">
        <f>SUMIFS(tblActuals3541519[Team 2 Points],tblActuals3541519[Team 2],$CU21,tblActuals3541519[Team 1],DC$3)+SUMIFS(tblActuals3541519[Team 1 Points],tblActuals3541519[Team 1],$CU21,tblActuals3541519[Team 2],DC$3)</f>
        <v>0</v>
      </c>
      <c r="DD21" s="56">
        <f>SUMIFS(tblActuals3541519[Team 2 Points],tblActuals3541519[Team 2],$CU21,tblActuals3541519[Team 1],DD$3)+SUMIFS(tblActuals3541519[Team 1 Points],tblActuals3541519[Team 1],$CU21,tblActuals3541519[Team 2],DD$3)</f>
        <v>0</v>
      </c>
      <c r="DE21" s="56">
        <f>SUMIFS(tblActuals3541519[Team 2 Points],tblActuals3541519[Team 2],$CU21,tblActuals3541519[Team 1],DE$3)+SUMIFS(tblActuals3541519[Team 1 Points],tblActuals3541519[Team 1],$CU21,tblActuals3541519[Team 2],DE$3)</f>
        <v>0</v>
      </c>
      <c r="DF21" s="56">
        <f>SUMIFS(tblActuals3541519[Team 2 Points],tblActuals3541519[Team 2],$CU21,tblActuals3541519[Team 1],DF$3)+SUMIFS(tblActuals3541519[Team 1 Points],tblActuals3541519[Team 1],$CU21,tblActuals3541519[Team 2],DF$3)</f>
        <v>0</v>
      </c>
      <c r="DG21" s="56">
        <f>SUMIFS(tblActuals3541519[Team 2 Points],tblActuals3541519[Team 2],$CU21,tblActuals3541519[Team 1],DG$3)+SUMIFS(tblActuals3541519[Team 1 Points],tblActuals3541519[Team 1],$CU21,tblActuals3541519[Team 2],DG$3)</f>
        <v>0</v>
      </c>
      <c r="DH21" s="56">
        <f>SUMIFS(tblActuals3541519[Team 2 Points],tblActuals3541519[Team 2],$CU21,tblActuals3541519[Team 1],DH$3)+SUMIFS(tblActuals3541519[Team 1 Points],tblActuals3541519[Team 1],$CU21,tblActuals3541519[Team 2],DH$3)</f>
        <v>0</v>
      </c>
      <c r="DI21" s="56">
        <f>SUMIFS(tblActuals3541519[Team 2 Points],tblActuals3541519[Team 2],$CU21,tblActuals3541519[Team 1],DI$3)+SUMIFS(tblActuals3541519[Team 1 Points],tblActuals3541519[Team 1],$CU21,tblActuals3541519[Team 2],DI$3)</f>
        <v>0</v>
      </c>
      <c r="DJ21" s="56">
        <f>SUMIFS(tblActuals3541519[Team 2 Points],tblActuals3541519[Team 2],$CU21,tblActuals3541519[Team 1],DJ$3)+SUMIFS(tblActuals3541519[Team 1 Points],tblActuals3541519[Team 1],$CU21,tblActuals3541519[Team 2],DJ$3)</f>
        <v>0</v>
      </c>
      <c r="DK21" s="56">
        <f>SUMIFS(tblActuals3541519[Team 2 Points],tblActuals3541519[Team 2],$CU21,tblActuals3541519[Team 1],DK$3)+SUMIFS(tblActuals3541519[Team 1 Points],tblActuals3541519[Team 1],$CU21,tblActuals3541519[Team 2],DK$3)</f>
        <v>0</v>
      </c>
      <c r="DL21" s="56">
        <f>SUMIFS(tblActuals3541519[Team 2 Points],tblActuals3541519[Team 2],$CU21,tblActuals3541519[Team 1],DL$3)+SUMIFS(tblActuals3541519[Team 1 Points],tblActuals3541519[Team 1],$CU21,tblActuals3541519[Team 2],DL$3)</f>
        <v>0</v>
      </c>
      <c r="DM21" s="56">
        <f>SUMIFS(tblActuals3541519[Team 2 Points],tblActuals3541519[Team 2],$CU21,tblActuals3541519[Team 1],DM$3)+SUMIFS(tblActuals3541519[Team 1 Points],tblActuals3541519[Team 1],$CU21,tblActuals3541519[Team 2],DM$3)</f>
        <v>0</v>
      </c>
      <c r="DN21" s="56">
        <f>SUMIFS(tblActuals3541519[Team 2 Points],tblActuals3541519[Team 2],$CU21,tblActuals3541519[Team 1],DN$3)+SUMIFS(tblActuals3541519[Team 1 Points],tblActuals3541519[Team 1],$CU21,tblActuals3541519[Team 2],DN$3)</f>
        <v>0</v>
      </c>
      <c r="DO21" s="56">
        <f>SUMIFS(tblActuals3541519[Team 2 Points],tblActuals3541519[Team 2],$CU21,tblActuals3541519[Team 1],DO$3)+SUMIFS(tblActuals3541519[Team 1 Points],tblActuals3541519[Team 1],$CU21,tblActuals3541519[Team 2],DO$3)</f>
        <v>0</v>
      </c>
      <c r="DP21" s="56">
        <f>SUMIFS(tblActuals3541519[Team 2 Points],tblActuals3541519[Team 2],$CU21,tblActuals3541519[Team 1],DP$3)+SUMIFS(tblActuals3541519[Team 1 Points],tblActuals3541519[Team 1],$CU21,tblActuals3541519[Team 2],DP$3)</f>
        <v>0</v>
      </c>
      <c r="DQ21" s="56">
        <f>SUMIFS(tblActuals3541519[Team 2 Points],tblActuals3541519[Team 2],$CU21,tblActuals3541519[Team 1],DQ$3)+SUMIFS(tblActuals3541519[Team 1 Points],tblActuals3541519[Team 1],$CU21,tblActuals3541519[Team 2],DQ$3)</f>
        <v>0</v>
      </c>
      <c r="DR21" s="56">
        <f>SUMIFS(tblActuals3541519[Team 2 Points],tblActuals3541519[Team 2],$CU21,tblActuals3541519[Team 1],DR$3)+SUMIFS(tblActuals3541519[Team 1 Points],tblActuals3541519[Team 1],$CU21,tblActuals3541519[Team 2],DR$3)</f>
        <v>0</v>
      </c>
      <c r="DS21" s="56">
        <f>SUMIFS(tblActuals3541519[Team 2 Points],tblActuals3541519[Team 2],$CU21,tblActuals3541519[Team 1],DS$3)+SUMIFS(tblActuals3541519[Team 1 Points],tblActuals3541519[Team 1],$CU21,tblActuals3541519[Team 2],DS$3)</f>
        <v>0</v>
      </c>
      <c r="DT21" s="57"/>
      <c r="DU21" s="57"/>
      <c r="DV21" s="57"/>
      <c r="DW21" s="57"/>
      <c r="DX21" s="57"/>
      <c r="DY21" s="57"/>
      <c r="DZ21" s="57"/>
      <c r="EA21" s="57"/>
      <c r="EB21" s="4"/>
      <c r="EC21" s="4" t="s">
        <v>130</v>
      </c>
      <c r="ED21" s="56">
        <f>SUMIFS(tblActuals3541519[Team 2 GD],tblActuals3541519[Team 2],$CU21,tblActuals3541519[Team 1],ED$3)+SUMIFS(tblActuals3541519[Team 1 GD],tblActuals3541519[Team 1],$CU21,tblActuals3541519[Team 2],ED$3)</f>
        <v>0</v>
      </c>
      <c r="EE21" s="56">
        <f>SUMIFS(tblActuals3541519[Team 2 GD],tblActuals3541519[Team 2],$CU21,tblActuals3541519[Team 1],EE$3)+SUMIFS(tblActuals3541519[Team 1 GD],tblActuals3541519[Team 1],$CU21,tblActuals3541519[Team 2],EE$3)</f>
        <v>0</v>
      </c>
      <c r="EF21" s="56">
        <f>SUMIFS(tblActuals3541519[Team 2 GD],tblActuals3541519[Team 2],$CU21,tblActuals3541519[Team 1],EF$3)+SUMIFS(tblActuals3541519[Team 1 GD],tblActuals3541519[Team 1],$CU21,tblActuals3541519[Team 2],EF$3)</f>
        <v>0</v>
      </c>
      <c r="EG21" s="56">
        <f>SUMIFS(tblActuals3541519[Team 2 GD],tblActuals3541519[Team 2],$CU21,tblActuals3541519[Team 1],EG$3)+SUMIFS(tblActuals3541519[Team 1 GD],tblActuals3541519[Team 1],$CU21,tblActuals3541519[Team 2],EG$3)</f>
        <v>0</v>
      </c>
      <c r="EH21" s="56">
        <f>SUMIFS(tblActuals3541519[Team 2 GD],tblActuals3541519[Team 2],$CU21,tblActuals3541519[Team 1],EH$3)+SUMIFS(tblActuals3541519[Team 1 GD],tblActuals3541519[Team 1],$CU21,tblActuals3541519[Team 2],EH$3)</f>
        <v>0</v>
      </c>
      <c r="EI21" s="56">
        <f>SUMIFS(tblActuals3541519[Team 2 GD],tblActuals3541519[Team 2],$CU21,tblActuals3541519[Team 1],EI$3)+SUMIFS(tblActuals3541519[Team 1 GD],tblActuals3541519[Team 1],$CU21,tblActuals3541519[Team 2],EI$3)</f>
        <v>0</v>
      </c>
      <c r="EJ21" s="56">
        <f>SUMIFS(tblActuals3541519[Team 2 GD],tblActuals3541519[Team 2],$CU21,tblActuals3541519[Team 1],EJ$3)+SUMIFS(tblActuals3541519[Team 1 GD],tblActuals3541519[Team 1],$CU21,tblActuals3541519[Team 2],EJ$3)</f>
        <v>0</v>
      </c>
      <c r="EK21" s="56">
        <f>SUMIFS(tblActuals3541519[Team 2 GD],tblActuals3541519[Team 2],$CU21,tblActuals3541519[Team 1],EK$3)+SUMIFS(tblActuals3541519[Team 1 GD],tblActuals3541519[Team 1],$CU21,tblActuals3541519[Team 2],EK$3)</f>
        <v>0</v>
      </c>
      <c r="EL21" s="56">
        <f>SUMIFS(tblActuals3541519[Team 2 GD],tblActuals3541519[Team 2],$CU21,tblActuals3541519[Team 1],EL$3)+SUMIFS(tblActuals3541519[Team 1 GD],tblActuals3541519[Team 1],$CU21,tblActuals3541519[Team 2],EL$3)</f>
        <v>0</v>
      </c>
      <c r="EM21" s="56">
        <f>SUMIFS(tblActuals3541519[Team 2 GD],tblActuals3541519[Team 2],$CU21,tblActuals3541519[Team 1],EM$3)+SUMIFS(tblActuals3541519[Team 1 GD],tblActuals3541519[Team 1],$CU21,tblActuals3541519[Team 2],EM$3)</f>
        <v>0</v>
      </c>
      <c r="EN21" s="56">
        <f>SUMIFS(tblActuals3541519[Team 2 GD],tblActuals3541519[Team 2],$CU21,tblActuals3541519[Team 1],EN$3)+SUMIFS(tblActuals3541519[Team 1 GD],tblActuals3541519[Team 1],$CU21,tblActuals3541519[Team 2],EN$3)</f>
        <v>0</v>
      </c>
      <c r="EO21" s="56">
        <f>SUMIFS(tblActuals3541519[Team 2 GD],tblActuals3541519[Team 2],$CU21,tblActuals3541519[Team 1],EO$3)+SUMIFS(tblActuals3541519[Team 1 GD],tblActuals3541519[Team 1],$CU21,tblActuals3541519[Team 2],EO$3)</f>
        <v>0</v>
      </c>
      <c r="EP21" s="56">
        <f>SUMIFS(tblActuals3541519[Team 2 GD],tblActuals3541519[Team 2],$CU21,tblActuals3541519[Team 1],EP$3)+SUMIFS(tblActuals3541519[Team 1 GD],tblActuals3541519[Team 1],$CU21,tblActuals3541519[Team 2],EP$3)</f>
        <v>0</v>
      </c>
      <c r="EQ21" s="56">
        <f>SUMIFS(tblActuals3541519[Team 2 GD],tblActuals3541519[Team 2],$CU21,tblActuals3541519[Team 1],EQ$3)+SUMIFS(tblActuals3541519[Team 1 GD],tblActuals3541519[Team 1],$CU21,tblActuals3541519[Team 2],EQ$3)</f>
        <v>0</v>
      </c>
      <c r="ER21" s="56">
        <f>SUMIFS(tblActuals3541519[Team 2 GD],tblActuals3541519[Team 2],$CU21,tblActuals3541519[Team 1],ER$3)+SUMIFS(tblActuals3541519[Team 1 GD],tblActuals3541519[Team 1],$CU21,tblActuals3541519[Team 2],ER$3)</f>
        <v>0</v>
      </c>
      <c r="ES21" s="56">
        <f>SUMIFS(tblActuals3541519[Team 2 GD],tblActuals3541519[Team 2],$CU21,tblActuals3541519[Team 1],ES$3)+SUMIFS(tblActuals3541519[Team 1 GD],tblActuals3541519[Team 1],$CU21,tblActuals3541519[Team 2],ES$3)</f>
        <v>0</v>
      </c>
      <c r="ET21" s="56">
        <f>SUMIFS(tblActuals3541519[Team 2 GD],tblActuals3541519[Team 2],$CU21,tblActuals3541519[Team 1],ET$3)+SUMIFS(tblActuals3541519[Team 1 GD],tblActuals3541519[Team 1],$CU21,tblActuals3541519[Team 2],ET$3)</f>
        <v>0</v>
      </c>
      <c r="EU21" s="56">
        <f>SUMIFS(tblActuals3541519[Team 2 GD],tblActuals3541519[Team 2],$CU21,tblActuals3541519[Team 1],EU$3)+SUMIFS(tblActuals3541519[Team 1 GD],tblActuals3541519[Team 1],$CU21,tblActuals3541519[Team 2],EU$3)</f>
        <v>0</v>
      </c>
      <c r="EV21" s="56">
        <f>SUMIFS(tblActuals3541519[Team 2 GD],tblActuals3541519[Team 2],$CU21,tblActuals3541519[Team 1],EV$3)+SUMIFS(tblActuals3541519[Team 1 GD],tblActuals3541519[Team 1],$CU21,tblActuals3541519[Team 2],EV$3)</f>
        <v>0</v>
      </c>
      <c r="EW21" s="56">
        <f>SUMIFS(tblActuals3541519[Team 2 GD],tblActuals3541519[Team 2],$CU21,tblActuals3541519[Team 1],EW$3)+SUMIFS(tblActuals3541519[Team 1 GD],tblActuals3541519[Team 1],$CU21,tblActuals3541519[Team 2],EW$3)</f>
        <v>0</v>
      </c>
      <c r="EX21" s="56">
        <f>SUMIFS(tblActuals3541519[Team 2 GD],tblActuals3541519[Team 2],$CU21,tblActuals3541519[Team 1],EX$3)+SUMIFS(tblActuals3541519[Team 1 GD],tblActuals3541519[Team 1],$CU21,tblActuals3541519[Team 2],EX$3)</f>
        <v>0</v>
      </c>
      <c r="EY21" s="56">
        <f>SUMIFS(tblActuals3541519[Team 2 GD],tblActuals3541519[Team 2],$CU21,tblActuals3541519[Team 1],EY$3)+SUMIFS(tblActuals3541519[Team 1 GD],tblActuals3541519[Team 1],$CU21,tblActuals3541519[Team 2],EY$3)</f>
        <v>0</v>
      </c>
      <c r="EZ21" s="56">
        <f>SUMIFS(tblActuals3541519[Team 2 GD],tblActuals3541519[Team 2],$CU21,tblActuals3541519[Team 1],EZ$3)+SUMIFS(tblActuals3541519[Team 1 GD],tblActuals3541519[Team 1],$CU21,tblActuals3541519[Team 2],EZ$3)</f>
        <v>0</v>
      </c>
      <c r="FA21" s="56">
        <f>SUMIFS(tblActuals3541519[Team 2 GD],tblActuals3541519[Team 2],$CU21,tblActuals3541519[Team 1],FA$3)+SUMIFS(tblActuals3541519[Team 1 GD],tblActuals3541519[Team 1],$CU21,tblActuals3541519[Team 2],FA$3)</f>
        <v>0</v>
      </c>
      <c r="FB21" s="57"/>
      <c r="FC21" s="57"/>
      <c r="FD21" s="57"/>
      <c r="FE21" s="57"/>
      <c r="FF21" s="57"/>
      <c r="FG21" s="57"/>
      <c r="FH21" s="57"/>
      <c r="FI21" s="57"/>
      <c r="FJ21" s="4"/>
      <c r="FK21" s="4" t="s">
        <v>130</v>
      </c>
      <c r="FL21" s="56">
        <f>SUMIFS(tblActuals3541519[Team 2 Goals],tblActuals3541519[Team 2],$CU21,tblActuals3541519[Team 1],FL$3)+SUMIFS(tblActuals3541519[Team 1 Goals],tblActuals3541519[Team 1],$CU21,tblActuals3541519[Team 2],FL$3)</f>
        <v>0</v>
      </c>
      <c r="FM21" s="56">
        <f>SUMIFS(tblActuals3541519[Team 2 Goals],tblActuals3541519[Team 2],$CU21,tblActuals3541519[Team 1],FM$3)+SUMIFS(tblActuals3541519[Team 1 Goals],tblActuals3541519[Team 1],$CU21,tblActuals3541519[Team 2],FM$3)</f>
        <v>0</v>
      </c>
      <c r="FN21" s="56">
        <f>SUMIFS(tblActuals3541519[Team 2 Goals],tblActuals3541519[Team 2],$CU21,tblActuals3541519[Team 1],FN$3)+SUMIFS(tblActuals3541519[Team 1 Goals],tblActuals3541519[Team 1],$CU21,tblActuals3541519[Team 2],FN$3)</f>
        <v>0</v>
      </c>
      <c r="FO21" s="56">
        <f>SUMIFS(tblActuals3541519[Team 2 Goals],tblActuals3541519[Team 2],$CU21,tblActuals3541519[Team 1],FO$3)+SUMIFS(tblActuals3541519[Team 1 Goals],tblActuals3541519[Team 1],$CU21,tblActuals3541519[Team 2],FO$3)</f>
        <v>0</v>
      </c>
      <c r="FP21" s="56">
        <f>SUMIFS(tblActuals3541519[Team 2 Goals],tblActuals3541519[Team 2],$CU21,tblActuals3541519[Team 1],FP$3)+SUMIFS(tblActuals3541519[Team 1 Goals],tblActuals3541519[Team 1],$CU21,tblActuals3541519[Team 2],FP$3)</f>
        <v>0</v>
      </c>
      <c r="FQ21" s="56">
        <f>SUMIFS(tblActuals3541519[Team 2 Goals],tblActuals3541519[Team 2],$CU21,tblActuals3541519[Team 1],FQ$3)+SUMIFS(tblActuals3541519[Team 1 Goals],tblActuals3541519[Team 1],$CU21,tblActuals3541519[Team 2],FQ$3)</f>
        <v>0</v>
      </c>
      <c r="FR21" s="56">
        <f>SUMIFS(tblActuals3541519[Team 2 Goals],tblActuals3541519[Team 2],$CU21,tblActuals3541519[Team 1],FR$3)+SUMIFS(tblActuals3541519[Team 1 Goals],tblActuals3541519[Team 1],$CU21,tblActuals3541519[Team 2],FR$3)</f>
        <v>0</v>
      </c>
      <c r="FS21" s="56">
        <f>SUMIFS(tblActuals3541519[Team 2 Goals],tblActuals3541519[Team 2],$CU21,tblActuals3541519[Team 1],FS$3)+SUMIFS(tblActuals3541519[Team 1 Goals],tblActuals3541519[Team 1],$CU21,tblActuals3541519[Team 2],FS$3)</f>
        <v>0</v>
      </c>
      <c r="FT21" s="56">
        <f>SUMIFS(tblActuals3541519[Team 2 Goals],tblActuals3541519[Team 2],$CU21,tblActuals3541519[Team 1],FT$3)+SUMIFS(tblActuals3541519[Team 1 Goals],tblActuals3541519[Team 1],$CU21,tblActuals3541519[Team 2],FT$3)</f>
        <v>0</v>
      </c>
      <c r="FU21" s="56">
        <f>SUMIFS(tblActuals3541519[Team 2 Goals],tblActuals3541519[Team 2],$CU21,tblActuals3541519[Team 1],FU$3)+SUMIFS(tblActuals3541519[Team 1 Goals],tblActuals3541519[Team 1],$CU21,tblActuals3541519[Team 2],FU$3)</f>
        <v>0</v>
      </c>
      <c r="FV21" s="56">
        <f>SUMIFS(tblActuals3541519[Team 2 Goals],tblActuals3541519[Team 2],$CU21,tblActuals3541519[Team 1],FV$3)+SUMIFS(tblActuals3541519[Team 1 Goals],tblActuals3541519[Team 1],$CU21,tblActuals3541519[Team 2],FV$3)</f>
        <v>0</v>
      </c>
      <c r="FW21" s="56">
        <f>SUMIFS(tblActuals3541519[Team 2 Goals],tblActuals3541519[Team 2],$CU21,tblActuals3541519[Team 1],FW$3)+SUMIFS(tblActuals3541519[Team 1 Goals],tblActuals3541519[Team 1],$CU21,tblActuals3541519[Team 2],FW$3)</f>
        <v>0</v>
      </c>
      <c r="FX21" s="56">
        <f>SUMIFS(tblActuals3541519[Team 2 Goals],tblActuals3541519[Team 2],$CU21,tblActuals3541519[Team 1],FX$3)+SUMIFS(tblActuals3541519[Team 1 Goals],tblActuals3541519[Team 1],$CU21,tblActuals3541519[Team 2],FX$3)</f>
        <v>0</v>
      </c>
      <c r="FY21" s="56">
        <f>SUMIFS(tblActuals3541519[Team 2 Goals],tblActuals3541519[Team 2],$CU21,tblActuals3541519[Team 1],FY$3)+SUMIFS(tblActuals3541519[Team 1 Goals],tblActuals3541519[Team 1],$CU21,tblActuals3541519[Team 2],FY$3)</f>
        <v>0</v>
      </c>
      <c r="FZ21" s="56">
        <f>SUMIFS(tblActuals3541519[Team 2 Goals],tblActuals3541519[Team 2],$CU21,tblActuals3541519[Team 1],FZ$3)+SUMIFS(tblActuals3541519[Team 1 Goals],tblActuals3541519[Team 1],$CU21,tblActuals3541519[Team 2],FZ$3)</f>
        <v>0</v>
      </c>
      <c r="GA21" s="56">
        <f>SUMIFS(tblActuals3541519[Team 2 Goals],tblActuals3541519[Team 2],$CU21,tblActuals3541519[Team 1],GA$3)+SUMIFS(tblActuals3541519[Team 1 Goals],tblActuals3541519[Team 1],$CU21,tblActuals3541519[Team 2],GA$3)</f>
        <v>0</v>
      </c>
      <c r="GB21" s="56">
        <f>SUMIFS(tblActuals3541519[Team 2 Goals],tblActuals3541519[Team 2],$CU21,tblActuals3541519[Team 1],GB$3)+SUMIFS(tblActuals3541519[Team 1 Goals],tblActuals3541519[Team 1],$CU21,tblActuals3541519[Team 2],GB$3)</f>
        <v>0</v>
      </c>
      <c r="GC21" s="56">
        <f>SUMIFS(tblActuals3541519[Team 2 Goals],tblActuals3541519[Team 2],$CU21,tblActuals3541519[Team 1],GC$3)+SUMIFS(tblActuals3541519[Team 1 Goals],tblActuals3541519[Team 1],$CU21,tblActuals3541519[Team 2],GC$3)</f>
        <v>0</v>
      </c>
      <c r="GD21" s="56">
        <f>SUMIFS(tblActuals3541519[Team 2 Goals],tblActuals3541519[Team 2],$CU21,tblActuals3541519[Team 1],GD$3)+SUMIFS(tblActuals3541519[Team 1 Goals],tblActuals3541519[Team 1],$CU21,tblActuals3541519[Team 2],GD$3)</f>
        <v>0</v>
      </c>
      <c r="GE21" s="56">
        <f>SUMIFS(tblActuals3541519[Team 2 Goals],tblActuals3541519[Team 2],$CU21,tblActuals3541519[Team 1],GE$3)+SUMIFS(tblActuals3541519[Team 1 Goals],tblActuals3541519[Team 1],$CU21,tblActuals3541519[Team 2],GE$3)</f>
        <v>0</v>
      </c>
      <c r="GF21" s="56">
        <f>SUMIFS(tblActuals3541519[Team 2 Goals],tblActuals3541519[Team 2],$CU21,tblActuals3541519[Team 1],GF$3)+SUMIFS(tblActuals3541519[Team 1 Goals],tblActuals3541519[Team 1],$CU21,tblActuals3541519[Team 2],GF$3)</f>
        <v>0</v>
      </c>
      <c r="GG21" s="56">
        <f>SUMIFS(tblActuals3541519[Team 2 Goals],tblActuals3541519[Team 2],$CU21,tblActuals3541519[Team 1],GG$3)+SUMIFS(tblActuals3541519[Team 1 Goals],tblActuals3541519[Team 1],$CU21,tblActuals3541519[Team 2],GG$3)</f>
        <v>0</v>
      </c>
      <c r="GH21" s="56">
        <f>SUMIFS(tblActuals3541519[Team 2 Goals],tblActuals3541519[Team 2],$CU21,tblActuals3541519[Team 1],GH$3)+SUMIFS(tblActuals3541519[Team 1 Goals],tblActuals3541519[Team 1],$CU21,tblActuals3541519[Team 2],GH$3)</f>
        <v>0</v>
      </c>
      <c r="GI21" s="56">
        <f>SUMIFS(tblActuals3541519[Team 2 Goals],tblActuals3541519[Team 2],$CU21,tblActuals3541519[Team 1],GI$3)+SUMIFS(tblActuals3541519[Team 1 Goals],tblActuals3541519[Team 1],$CU21,tblActuals3541519[Team 2],GI$3)</f>
        <v>0</v>
      </c>
      <c r="GJ21" s="57"/>
      <c r="GK21" s="57"/>
      <c r="GL21" s="37"/>
      <c r="GM21" s="37"/>
      <c r="GN21" s="37"/>
      <c r="GO21" s="37"/>
      <c r="GP21" s="37"/>
      <c r="GQ21" s="37"/>
      <c r="GR21" s="75"/>
      <c r="GS21" s="156"/>
      <c r="GT21" s="156"/>
      <c r="GU21" s="75"/>
      <c r="GV21" s="75"/>
      <c r="GW21" s="75"/>
      <c r="GX21" s="75"/>
      <c r="GY21" s="75"/>
      <c r="GZ21" s="75"/>
    </row>
    <row r="22" spans="1:221" s="11" customFormat="1" ht="30" customHeight="1" thickBot="1" x14ac:dyDescent="0.3">
      <c r="A22" s="20"/>
      <c r="B22" s="122">
        <v>19</v>
      </c>
      <c r="C22" s="122" t="s">
        <v>7</v>
      </c>
      <c r="D22" s="123">
        <v>45464</v>
      </c>
      <c r="E22" s="122" t="s">
        <v>80</v>
      </c>
      <c r="F22" s="124">
        <v>0.75</v>
      </c>
      <c r="G22" s="125">
        <f t="shared" si="11"/>
        <v>45464.5</v>
      </c>
      <c r="H22" s="122" t="s">
        <v>107</v>
      </c>
      <c r="I22" s="126"/>
      <c r="J22" s="118"/>
      <c r="K22" s="118"/>
      <c r="L22" s="174">
        <f>IF(I22="",0,IFERROR(IF(SCORING.RULES!$C$8="No",1,((VLOOKUP($B22,ACTUALS!$B$4:$L$100,7,FALSE)=$H22)+(VLOOKUP($B22,ACTUALS!$B$4:$L$100,7,FALSE)=S22)))*(M22+N22+O22+P22+Q22),0))+$R22</f>
        <v>0</v>
      </c>
      <c r="M22" s="168">
        <f>IFERROR(IF($B22="","",IF(U22=INDEX(ACTUALS!$AA$4:$AA$100,MATCH($B22,ACTUALS!$B$4:$B$100,0),1),CorrectScore,0)),0)</f>
        <v>0</v>
      </c>
      <c r="N22" s="157" t="str">
        <f>IFERROR(IF(I22="","",IF(INDEX(ACTUALS!$AB$4:$AB$100,MATCH($B22,ACTUALS!$B$4:$B$100,0),1)=(AB22+AC22+AH22+AI22),CorrectNumberofGoals,0)),0)</f>
        <v/>
      </c>
      <c r="O22" s="157"/>
      <c r="P22" s="157">
        <f>IFERROR(IF(B22="","",IF(INDEX(ACTUALS!$L$4:$L$100,MATCH($B22,ACTUALS!$B$4:$B$100,0),1)=W22,CorrectResult,0)),0)</f>
        <v>3</v>
      </c>
      <c r="Q22" s="157"/>
      <c r="R22" s="157"/>
      <c r="S22" s="157" t="str">
        <f t="shared" si="0"/>
        <v/>
      </c>
      <c r="T22" s="157"/>
      <c r="U22" s="157" t="str">
        <f t="shared" si="1"/>
        <v/>
      </c>
      <c r="V22" s="157" t="str">
        <f t="shared" si="2"/>
        <v/>
      </c>
      <c r="W22" s="119" t="str">
        <f>IF(tblActuals3541519[[#This Row],[SCORE]]="","",IF(AB22=AC22,"Draw",IF(AB22&gt;AC22,X22,Y22)))</f>
        <v/>
      </c>
      <c r="X22" s="120" t="str">
        <f>IF(tblActuals3541519[[#This Row],[TEAMS]]="","",LEFT(H22,FIND(" -",H22,1)-1))</f>
        <v>Poland</v>
      </c>
      <c r="Y22" s="120" t="str">
        <f>IF(tblActuals3541519[[#This Row],[TEAMS]]="","",MID(H22,FIND("-",H22,1)+2,LEN(H22)-FIND("-",H22,1)+2))</f>
        <v>Austria</v>
      </c>
      <c r="Z22" s="120" t="str">
        <f>IF(tblActuals3541519[[#This Row],[Team 1 Goals]]&gt;tblActuals3541519[[#This Row],[Team 2 Goals]],tblActuals3541519[[#This Row],[Team 1]],IF(tblActuals3541519[[#This Row],[Team 2 Goals]]&gt;tblActuals3541519[[#This Row],[Team 1 Goals]],tblActuals3541519[[#This Row],[Team 2]],""))</f>
        <v/>
      </c>
      <c r="AA22" s="120" t="str">
        <f>IF(tblActuals3541519[[#This Row],[Winner]]=tblActuals3541519[[#This Row],[Team 1]],tblActuals3541519[[#This Row],[Team 2]],IF(tblActuals3541519[[#This Row],[Winner]]=tblActuals3541519[[#This Row],[Team 2]],tblActuals3541519[[#This Row],[Team 1]],""))</f>
        <v/>
      </c>
      <c r="AB22" s="120" t="str">
        <f>IF(tblActuals3541519[[#This Row],[SCORE]]="","",LEFT(I22,FIND(":",I22,1)-1)*1)</f>
        <v/>
      </c>
      <c r="AC22" s="120" t="str">
        <f>IF(tblActuals3541519[[#This Row],[SCORE]]="","",MID(I22,FIND(":",I22,1)+1,LEN(I22)-FIND(":",I22,1)+1)*1)</f>
        <v/>
      </c>
      <c r="AD22" s="120" t="str">
        <f>IF(OR(tblActuals3541519[[#This Row],[Team 1 Goals]]="",tblActuals3541519[[#This Row],[Team 2 Goals]]=""),"",tblActuals3541519[[#This Row],[Team 1 Goals]]-tblActuals3541519[[#This Row],[Team 2 Goals]])</f>
        <v/>
      </c>
      <c r="AE22" s="120" t="str">
        <f>IF(OR(tblActuals3541519[[#This Row],[Team 1 Goals]]="",tblActuals3541519[[#This Row],[Team 2 Goals]]=""),"",tblActuals3541519[[#This Row],[Team 2 Goals]]-tblActuals3541519[[#This Row],[Team 1 Goals]])</f>
        <v/>
      </c>
      <c r="AF22" s="120" t="str">
        <f>IF(tblActuals3541519[[#This Row],[SCORE]]="","",IF(tblActuals3541519[[#This Row],[WINNER / RESULT]]="Draw",1,IF(tblActuals3541519[[#This Row],[WINNER / RESULT]]=tblActuals3541519[[#This Row],[Team 1]],3,0)))</f>
        <v/>
      </c>
      <c r="AG22" s="120" t="str">
        <f>IF(tblActuals3541519[[#This Row],[SCORE]]="","",IF(tblActuals3541519[[#This Row],[WINNER / RESULT]]="Draw",1,IF(tblActuals3541519[[#This Row],[WINNER / RESULT]]=tblActuals3541519[[#This Row],[Team 2]],3,0)))</f>
        <v/>
      </c>
      <c r="AH22" s="121"/>
      <c r="AI22" s="121"/>
      <c r="AJ22" s="121"/>
      <c r="AK22" s="121"/>
      <c r="AL22" s="120" t="e">
        <f>tblActuals3541519[[#This Row],[Team 1 Goals]]+tblActuals3541519[[#This Row],[Team 1 ET Goals]]&amp;":"&amp;tblActuals3541519[[#This Row],[Team 2 Goals]]+tblActuals3541519[[#This Row],[Team 2 ET Goals]]</f>
        <v>#VALUE!</v>
      </c>
      <c r="AM22" s="120" t="e">
        <f>+tblActuals3541519[[#This Row],[Team 1 Goals]]+tblActuals3541519[[#This Row],[Team 2 Goals]]</f>
        <v>#VALUE!</v>
      </c>
      <c r="AN22" s="161">
        <f t="shared" si="3"/>
        <v>45464</v>
      </c>
      <c r="AT22" s="77"/>
      <c r="AU22" s="148"/>
      <c r="AV22" s="148"/>
      <c r="AW22" s="148"/>
      <c r="AX22" s="148"/>
      <c r="AY22" s="148"/>
      <c r="AZ22" s="75"/>
      <c r="BA22" s="4"/>
      <c r="BB22" s="4"/>
      <c r="BC22" s="4" t="s">
        <v>7</v>
      </c>
      <c r="BD22" s="4" t="s">
        <v>32</v>
      </c>
      <c r="BE22" s="4">
        <f>COUNTIF(tblActuals3541519[Winner],BD22)</f>
        <v>0</v>
      </c>
      <c r="BF22" s="4">
        <f>COUNTIFS(tblActuals3541519[Team 2],BD22,tblActuals3541519[WINNER / RESULT],"Draw")+COUNTIFS(tblActuals3541519[Team 1],BD22,tblActuals3541519[WINNER / RESULT],"Draw")</f>
        <v>0</v>
      </c>
      <c r="BG22" s="4">
        <f>COUNTIF(tblActuals3541519[Loser],BD22)</f>
        <v>0</v>
      </c>
      <c r="BH22" s="4">
        <f>BF22+(3*BE22)</f>
        <v>0</v>
      </c>
      <c r="BI22" s="4">
        <f>SUMIFS(tblActuals3541519[Team 1 Goals],tblActuals3541519[Team 1],BD22)+SUMIFS(tblActuals3541519[Team 2 Goals],tblActuals3541519[Team 2],BD22)</f>
        <v>0</v>
      </c>
      <c r="BJ22" s="4">
        <f>SUMIFS(tblActuals3541519[Team 2 Goals],tblActuals3541519[Team 1],BD22)+SUMIFS(tblActuals3541519[Team 1 Goals],tblActuals3541519[Team 2],BD22)</f>
        <v>0</v>
      </c>
      <c r="BK22" s="4">
        <f>BI22-BJ22</f>
        <v>0</v>
      </c>
      <c r="BL22" s="4">
        <f ca="1">RANK(BY22,$BY$19:$BY$22,1)</f>
        <v>4</v>
      </c>
      <c r="BM22" s="4" t="str">
        <f t="shared" si="4"/>
        <v/>
      </c>
      <c r="BN22" s="4" t="str">
        <f ca="1">IF(BM22="",BL22&amp;BC22,BM22&amp;BC22)</f>
        <v>4D</v>
      </c>
      <c r="BO22" s="4">
        <f>RANK(BH22,$BH$19:$BH$22,0)</f>
        <v>1</v>
      </c>
      <c r="BP22" s="4" cm="1">
        <f t="array" aca="1" ref="BP22" ca="1">SUMPRODUCT((OFFSET($CV$3:$EA$3,MATCH($BD22,$CU$4:$CU$35,0),0))*((IF($BO20=$BO22,$CV$3:$EA$3=$BD20,0))+(IF($BO19=$BO22,$CV$3:$EA$3=$BD19,0))+(IF($BO21=$BO22,$CV$3:$EA$3=$BD21,0))))</f>
        <v>0</v>
      </c>
      <c r="BQ22" s="4" cm="1">
        <f t="array" aca="1" ref="BQ22" ca="1">SUMPRODUCT((OFFSET($ED$3:$FI$3,MATCH($BD22,$EC$4:$EC$35,0),0))*((IF($BO20=$BO22,$ED$3:$FI$3=$BD20,0))+(IF($BO19=$BO22,$ED$3:$FI$3=$BD19,0))+(IF($BO21=$BO22,$ED$3:$FI$3=$BD21,0))))</f>
        <v>0</v>
      </c>
      <c r="BR22" s="4" cm="1">
        <f t="array" aca="1" ref="BR22" ca="1">SUMPRODUCT((OFFSET($FL$3:$GQ$3,MATCH($BD22,$FK$4:$FK$35,0),0))*((IF($BO20=$BO22,$FL$3:$GQ$3=$BD20,0))+(IF($BO19=$BO22,$FL$3:$GQ$3=$BD19,0))+(IF($BO21=$BO22,$FL$3:$GQ$3=$BD21,0))))</f>
        <v>0</v>
      </c>
      <c r="BS22" s="4" cm="1">
        <f t="array" aca="1" ref="BS22" ca="1">SUMPRODUCT((OFFSET($CV$3:$EA$3,MATCH($BD22,$CU$4:$CU$35,0),0))*((IF($BO20&lt;&gt;$BO22,$CV$3:$EA$3=$BD20,0))+(IF($BO19&lt;&gt;$BO22,$CV$3:$EA$3=$BD19,0))+(IF($BO21&lt;&gt;$BO22,$CV$3:$EA$3=$BD21,0))))</f>
        <v>0</v>
      </c>
      <c r="BT22" s="4" cm="1">
        <f t="array" aca="1" ref="BT22" ca="1">SUMPRODUCT((OFFSET($ED$3:$FI$3,MATCH($BD22,$EC$4:$EC$35,0),0))*((IF($BO20&lt;&gt;$BO22,$ED$3:$FI$3=$BD20,0))+(IF($BO19&lt;&gt;$BO22,$ED$3:$FI$3=$BD19,0))+(IF($BO21&lt;&gt;$BO22,$ED$3:$FI$3=$BD21,0))))</f>
        <v>0</v>
      </c>
      <c r="BU22" s="4" cm="1">
        <f t="array" aca="1" ref="BU22" ca="1">SUMPRODUCT((OFFSET($FL$3:$GQ$3,MATCH($BD22,$FK$4:$FK$35,0),0))*((IF($BO20&lt;&gt;$BO22,$FL$3:$GQ$3=$BD20,0))+(IF($BO19&lt;&gt;$BO22,$FL$3:$GQ$3=$BD19,0))+(IF($BO21&lt;&gt;$BO22,$FL$3:$GQ$3=$BD21,0))))</f>
        <v>0</v>
      </c>
      <c r="BV22" s="4">
        <f>BK22</f>
        <v>0</v>
      </c>
      <c r="BW22" s="4">
        <f>BI22</f>
        <v>0</v>
      </c>
      <c r="BX22" s="4">
        <f ca="1">(BP22/10)+(BQ22/100)+(BR22/1000)+(BT22/10000)+(BU22/100000)+(BV22/1000000)+(BW22/10000000)+(ROW(BS19)/100000000)</f>
        <v>1.9000000000000001E-7</v>
      </c>
      <c r="BY22" s="4">
        <f ca="1">+BO22-BX22</f>
        <v>0.99999981000000004</v>
      </c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U22" s="4" t="s">
        <v>131</v>
      </c>
      <c r="CV22" s="56">
        <f>SUMIFS(tblActuals3541519[Team 2 Points],tblActuals3541519[Team 2],$CU22,tblActuals3541519[Team 1],CV$3)+SUMIFS(tblActuals3541519[Team 1 Points],tblActuals3541519[Team 1],$CU22,tblActuals3541519[Team 2],CV$3)</f>
        <v>0</v>
      </c>
      <c r="CW22" s="56">
        <f>SUMIFS(tblActuals3541519[Team 2 Points],tblActuals3541519[Team 2],$CU22,tblActuals3541519[Team 1],CW$3)+SUMIFS(tblActuals3541519[Team 1 Points],tblActuals3541519[Team 1],$CU22,tblActuals3541519[Team 2],CW$3)</f>
        <v>0</v>
      </c>
      <c r="CX22" s="56">
        <f>SUMIFS(tblActuals3541519[Team 2 Points],tblActuals3541519[Team 2],$CU22,tblActuals3541519[Team 1],CX$3)+SUMIFS(tblActuals3541519[Team 1 Points],tblActuals3541519[Team 1],$CU22,tblActuals3541519[Team 2],CX$3)</f>
        <v>0</v>
      </c>
      <c r="CY22" s="56">
        <f>SUMIFS(tblActuals3541519[Team 2 Points],tblActuals3541519[Team 2],$CU22,tblActuals3541519[Team 1],CY$3)+SUMIFS(tblActuals3541519[Team 1 Points],tblActuals3541519[Team 1],$CU22,tblActuals3541519[Team 2],CY$3)</f>
        <v>0</v>
      </c>
      <c r="CZ22" s="56">
        <f>SUMIFS(tblActuals3541519[Team 2 Points],tblActuals3541519[Team 2],$CU22,tblActuals3541519[Team 1],CZ$3)+SUMIFS(tblActuals3541519[Team 1 Points],tblActuals3541519[Team 1],$CU22,tblActuals3541519[Team 2],CZ$3)</f>
        <v>0</v>
      </c>
      <c r="DA22" s="56">
        <f>SUMIFS(tblActuals3541519[Team 2 Points],tblActuals3541519[Team 2],$CU22,tblActuals3541519[Team 1],DA$3)+SUMIFS(tblActuals3541519[Team 1 Points],tblActuals3541519[Team 1],$CU22,tblActuals3541519[Team 2],DA$3)</f>
        <v>0</v>
      </c>
      <c r="DB22" s="56">
        <f>SUMIFS(tblActuals3541519[Team 2 Points],tblActuals3541519[Team 2],$CU22,tblActuals3541519[Team 1],DB$3)+SUMIFS(tblActuals3541519[Team 1 Points],tblActuals3541519[Team 1],$CU22,tblActuals3541519[Team 2],DB$3)</f>
        <v>0</v>
      </c>
      <c r="DC22" s="56">
        <f>SUMIFS(tblActuals3541519[Team 2 Points],tblActuals3541519[Team 2],$CU22,tblActuals3541519[Team 1],DC$3)+SUMIFS(tblActuals3541519[Team 1 Points],tblActuals3541519[Team 1],$CU22,tblActuals3541519[Team 2],DC$3)</f>
        <v>0</v>
      </c>
      <c r="DD22" s="56">
        <f>SUMIFS(tblActuals3541519[Team 2 Points],tblActuals3541519[Team 2],$CU22,tblActuals3541519[Team 1],DD$3)+SUMIFS(tblActuals3541519[Team 1 Points],tblActuals3541519[Team 1],$CU22,tblActuals3541519[Team 2],DD$3)</f>
        <v>0</v>
      </c>
      <c r="DE22" s="56">
        <f>SUMIFS(tblActuals3541519[Team 2 Points],tblActuals3541519[Team 2],$CU22,tblActuals3541519[Team 1],DE$3)+SUMIFS(tblActuals3541519[Team 1 Points],tblActuals3541519[Team 1],$CU22,tblActuals3541519[Team 2],DE$3)</f>
        <v>0</v>
      </c>
      <c r="DF22" s="56">
        <f>SUMIFS(tblActuals3541519[Team 2 Points],tblActuals3541519[Team 2],$CU22,tblActuals3541519[Team 1],DF$3)+SUMIFS(tblActuals3541519[Team 1 Points],tblActuals3541519[Team 1],$CU22,tblActuals3541519[Team 2],DF$3)</f>
        <v>0</v>
      </c>
      <c r="DG22" s="56">
        <f>SUMIFS(tblActuals3541519[Team 2 Points],tblActuals3541519[Team 2],$CU22,tblActuals3541519[Team 1],DG$3)+SUMIFS(tblActuals3541519[Team 1 Points],tblActuals3541519[Team 1],$CU22,tblActuals3541519[Team 2],DG$3)</f>
        <v>0</v>
      </c>
      <c r="DH22" s="56">
        <f>SUMIFS(tblActuals3541519[Team 2 Points],tblActuals3541519[Team 2],$CU22,tblActuals3541519[Team 1],DH$3)+SUMIFS(tblActuals3541519[Team 1 Points],tblActuals3541519[Team 1],$CU22,tblActuals3541519[Team 2],DH$3)</f>
        <v>0</v>
      </c>
      <c r="DI22" s="56">
        <f>SUMIFS(tblActuals3541519[Team 2 Points],tblActuals3541519[Team 2],$CU22,tblActuals3541519[Team 1],DI$3)+SUMIFS(tblActuals3541519[Team 1 Points],tblActuals3541519[Team 1],$CU22,tblActuals3541519[Team 2],DI$3)</f>
        <v>0</v>
      </c>
      <c r="DJ22" s="56">
        <f>SUMIFS(tblActuals3541519[Team 2 Points],tblActuals3541519[Team 2],$CU22,tblActuals3541519[Team 1],DJ$3)+SUMIFS(tblActuals3541519[Team 1 Points],tblActuals3541519[Team 1],$CU22,tblActuals3541519[Team 2],DJ$3)</f>
        <v>0</v>
      </c>
      <c r="DK22" s="56">
        <f>SUMIFS(tblActuals3541519[Team 2 Points],tblActuals3541519[Team 2],$CU22,tblActuals3541519[Team 1],DK$3)+SUMIFS(tblActuals3541519[Team 1 Points],tblActuals3541519[Team 1],$CU22,tblActuals3541519[Team 2],DK$3)</f>
        <v>0</v>
      </c>
      <c r="DL22" s="56">
        <f>SUMIFS(tblActuals3541519[Team 2 Points],tblActuals3541519[Team 2],$CU22,tblActuals3541519[Team 1],DL$3)+SUMIFS(tblActuals3541519[Team 1 Points],tblActuals3541519[Team 1],$CU22,tblActuals3541519[Team 2],DL$3)</f>
        <v>0</v>
      </c>
      <c r="DM22" s="56">
        <f>SUMIFS(tblActuals3541519[Team 2 Points],tblActuals3541519[Team 2],$CU22,tblActuals3541519[Team 1],DM$3)+SUMIFS(tblActuals3541519[Team 1 Points],tblActuals3541519[Team 1],$CU22,tblActuals3541519[Team 2],DM$3)</f>
        <v>0</v>
      </c>
      <c r="DN22" s="56">
        <f>SUMIFS(tblActuals3541519[Team 2 Points],tblActuals3541519[Team 2],$CU22,tblActuals3541519[Team 1],DN$3)+SUMIFS(tblActuals3541519[Team 1 Points],tblActuals3541519[Team 1],$CU22,tblActuals3541519[Team 2],DN$3)</f>
        <v>0</v>
      </c>
      <c r="DO22" s="56">
        <f>SUMIFS(tblActuals3541519[Team 2 Points],tblActuals3541519[Team 2],$CU22,tblActuals3541519[Team 1],DO$3)+SUMIFS(tblActuals3541519[Team 1 Points],tblActuals3541519[Team 1],$CU22,tblActuals3541519[Team 2],DO$3)</f>
        <v>0</v>
      </c>
      <c r="DP22" s="56">
        <f>SUMIFS(tblActuals3541519[Team 2 Points],tblActuals3541519[Team 2],$CU22,tblActuals3541519[Team 1],DP$3)+SUMIFS(tblActuals3541519[Team 1 Points],tblActuals3541519[Team 1],$CU22,tblActuals3541519[Team 2],DP$3)</f>
        <v>0</v>
      </c>
      <c r="DQ22" s="56">
        <f>SUMIFS(tblActuals3541519[Team 2 Points],tblActuals3541519[Team 2],$CU22,tblActuals3541519[Team 1],DQ$3)+SUMIFS(tblActuals3541519[Team 1 Points],tblActuals3541519[Team 1],$CU22,tblActuals3541519[Team 2],DQ$3)</f>
        <v>0</v>
      </c>
      <c r="DR22" s="56">
        <f>SUMIFS(tblActuals3541519[Team 2 Points],tblActuals3541519[Team 2],$CU22,tblActuals3541519[Team 1],DR$3)+SUMIFS(tblActuals3541519[Team 1 Points],tblActuals3541519[Team 1],$CU22,tblActuals3541519[Team 2],DR$3)</f>
        <v>0</v>
      </c>
      <c r="DS22" s="56">
        <f>SUMIFS(tblActuals3541519[Team 2 Points],tblActuals3541519[Team 2],$CU22,tblActuals3541519[Team 1],DS$3)+SUMIFS(tblActuals3541519[Team 1 Points],tblActuals3541519[Team 1],$CU22,tblActuals3541519[Team 2],DS$3)</f>
        <v>0</v>
      </c>
      <c r="DT22" s="57"/>
      <c r="DU22" s="57"/>
      <c r="DV22" s="57"/>
      <c r="DW22" s="57"/>
      <c r="DX22" s="57"/>
      <c r="DY22" s="57"/>
      <c r="DZ22" s="57"/>
      <c r="EA22" s="57"/>
      <c r="EB22" s="4"/>
      <c r="EC22" s="4" t="s">
        <v>131</v>
      </c>
      <c r="ED22" s="56">
        <f>SUMIFS(tblActuals3541519[Team 2 GD],tblActuals3541519[Team 2],$CU22,tblActuals3541519[Team 1],ED$3)+SUMIFS(tblActuals3541519[Team 1 GD],tblActuals3541519[Team 1],$CU22,tblActuals3541519[Team 2],ED$3)</f>
        <v>0</v>
      </c>
      <c r="EE22" s="56">
        <f>SUMIFS(tblActuals3541519[Team 2 GD],tblActuals3541519[Team 2],$CU22,tblActuals3541519[Team 1],EE$3)+SUMIFS(tblActuals3541519[Team 1 GD],tblActuals3541519[Team 1],$CU22,tblActuals3541519[Team 2],EE$3)</f>
        <v>0</v>
      </c>
      <c r="EF22" s="56">
        <f>SUMIFS(tblActuals3541519[Team 2 GD],tblActuals3541519[Team 2],$CU22,tblActuals3541519[Team 1],EF$3)+SUMIFS(tblActuals3541519[Team 1 GD],tblActuals3541519[Team 1],$CU22,tblActuals3541519[Team 2],EF$3)</f>
        <v>0</v>
      </c>
      <c r="EG22" s="56">
        <f>SUMIFS(tblActuals3541519[Team 2 GD],tblActuals3541519[Team 2],$CU22,tblActuals3541519[Team 1],EG$3)+SUMIFS(tblActuals3541519[Team 1 GD],tblActuals3541519[Team 1],$CU22,tblActuals3541519[Team 2],EG$3)</f>
        <v>0</v>
      </c>
      <c r="EH22" s="56">
        <f>SUMIFS(tblActuals3541519[Team 2 GD],tblActuals3541519[Team 2],$CU22,tblActuals3541519[Team 1],EH$3)+SUMIFS(tblActuals3541519[Team 1 GD],tblActuals3541519[Team 1],$CU22,tblActuals3541519[Team 2],EH$3)</f>
        <v>0</v>
      </c>
      <c r="EI22" s="56">
        <f>SUMIFS(tblActuals3541519[Team 2 GD],tblActuals3541519[Team 2],$CU22,tblActuals3541519[Team 1],EI$3)+SUMIFS(tblActuals3541519[Team 1 GD],tblActuals3541519[Team 1],$CU22,tblActuals3541519[Team 2],EI$3)</f>
        <v>0</v>
      </c>
      <c r="EJ22" s="56">
        <f>SUMIFS(tblActuals3541519[Team 2 GD],tblActuals3541519[Team 2],$CU22,tblActuals3541519[Team 1],EJ$3)+SUMIFS(tblActuals3541519[Team 1 GD],tblActuals3541519[Team 1],$CU22,tblActuals3541519[Team 2],EJ$3)</f>
        <v>0</v>
      </c>
      <c r="EK22" s="56">
        <f>SUMIFS(tblActuals3541519[Team 2 GD],tblActuals3541519[Team 2],$CU22,tblActuals3541519[Team 1],EK$3)+SUMIFS(tblActuals3541519[Team 1 GD],tblActuals3541519[Team 1],$CU22,tblActuals3541519[Team 2],EK$3)</f>
        <v>0</v>
      </c>
      <c r="EL22" s="56">
        <f>SUMIFS(tblActuals3541519[Team 2 GD],tblActuals3541519[Team 2],$CU22,tblActuals3541519[Team 1],EL$3)+SUMIFS(tblActuals3541519[Team 1 GD],tblActuals3541519[Team 1],$CU22,tblActuals3541519[Team 2],EL$3)</f>
        <v>0</v>
      </c>
      <c r="EM22" s="56">
        <f>SUMIFS(tblActuals3541519[Team 2 GD],tblActuals3541519[Team 2],$CU22,tblActuals3541519[Team 1],EM$3)+SUMIFS(tblActuals3541519[Team 1 GD],tblActuals3541519[Team 1],$CU22,tblActuals3541519[Team 2],EM$3)</f>
        <v>0</v>
      </c>
      <c r="EN22" s="56">
        <f>SUMIFS(tblActuals3541519[Team 2 GD],tblActuals3541519[Team 2],$CU22,tblActuals3541519[Team 1],EN$3)+SUMIFS(tblActuals3541519[Team 1 GD],tblActuals3541519[Team 1],$CU22,tblActuals3541519[Team 2],EN$3)</f>
        <v>0</v>
      </c>
      <c r="EO22" s="56">
        <f>SUMIFS(tblActuals3541519[Team 2 GD],tblActuals3541519[Team 2],$CU22,tblActuals3541519[Team 1],EO$3)+SUMIFS(tblActuals3541519[Team 1 GD],tblActuals3541519[Team 1],$CU22,tblActuals3541519[Team 2],EO$3)</f>
        <v>0</v>
      </c>
      <c r="EP22" s="56">
        <f>SUMIFS(tblActuals3541519[Team 2 GD],tblActuals3541519[Team 2],$CU22,tblActuals3541519[Team 1],EP$3)+SUMIFS(tblActuals3541519[Team 1 GD],tblActuals3541519[Team 1],$CU22,tblActuals3541519[Team 2],EP$3)</f>
        <v>0</v>
      </c>
      <c r="EQ22" s="56">
        <f>SUMIFS(tblActuals3541519[Team 2 GD],tblActuals3541519[Team 2],$CU22,tblActuals3541519[Team 1],EQ$3)+SUMIFS(tblActuals3541519[Team 1 GD],tblActuals3541519[Team 1],$CU22,tblActuals3541519[Team 2],EQ$3)</f>
        <v>0</v>
      </c>
      <c r="ER22" s="56">
        <f>SUMIFS(tblActuals3541519[Team 2 GD],tblActuals3541519[Team 2],$CU22,tblActuals3541519[Team 1],ER$3)+SUMIFS(tblActuals3541519[Team 1 GD],tblActuals3541519[Team 1],$CU22,tblActuals3541519[Team 2],ER$3)</f>
        <v>0</v>
      </c>
      <c r="ES22" s="56">
        <f>SUMIFS(tblActuals3541519[Team 2 GD],tblActuals3541519[Team 2],$CU22,tblActuals3541519[Team 1],ES$3)+SUMIFS(tblActuals3541519[Team 1 GD],tblActuals3541519[Team 1],$CU22,tblActuals3541519[Team 2],ES$3)</f>
        <v>0</v>
      </c>
      <c r="ET22" s="56">
        <f>SUMIFS(tblActuals3541519[Team 2 GD],tblActuals3541519[Team 2],$CU22,tblActuals3541519[Team 1],ET$3)+SUMIFS(tblActuals3541519[Team 1 GD],tblActuals3541519[Team 1],$CU22,tblActuals3541519[Team 2],ET$3)</f>
        <v>0</v>
      </c>
      <c r="EU22" s="56">
        <f>SUMIFS(tblActuals3541519[Team 2 GD],tblActuals3541519[Team 2],$CU22,tblActuals3541519[Team 1],EU$3)+SUMIFS(tblActuals3541519[Team 1 GD],tblActuals3541519[Team 1],$CU22,tblActuals3541519[Team 2],EU$3)</f>
        <v>0</v>
      </c>
      <c r="EV22" s="56">
        <f>SUMIFS(tblActuals3541519[Team 2 GD],tblActuals3541519[Team 2],$CU22,tblActuals3541519[Team 1],EV$3)+SUMIFS(tblActuals3541519[Team 1 GD],tblActuals3541519[Team 1],$CU22,tblActuals3541519[Team 2],EV$3)</f>
        <v>0</v>
      </c>
      <c r="EW22" s="56">
        <f>SUMIFS(tblActuals3541519[Team 2 GD],tblActuals3541519[Team 2],$CU22,tblActuals3541519[Team 1],EW$3)+SUMIFS(tblActuals3541519[Team 1 GD],tblActuals3541519[Team 1],$CU22,tblActuals3541519[Team 2],EW$3)</f>
        <v>0</v>
      </c>
      <c r="EX22" s="56">
        <f>SUMIFS(tblActuals3541519[Team 2 GD],tblActuals3541519[Team 2],$CU22,tblActuals3541519[Team 1],EX$3)+SUMIFS(tblActuals3541519[Team 1 GD],tblActuals3541519[Team 1],$CU22,tblActuals3541519[Team 2],EX$3)</f>
        <v>0</v>
      </c>
      <c r="EY22" s="56">
        <f>SUMIFS(tblActuals3541519[Team 2 GD],tblActuals3541519[Team 2],$CU22,tblActuals3541519[Team 1],EY$3)+SUMIFS(tblActuals3541519[Team 1 GD],tblActuals3541519[Team 1],$CU22,tblActuals3541519[Team 2],EY$3)</f>
        <v>0</v>
      </c>
      <c r="EZ22" s="56">
        <f>SUMIFS(tblActuals3541519[Team 2 GD],tblActuals3541519[Team 2],$CU22,tblActuals3541519[Team 1],EZ$3)+SUMIFS(tblActuals3541519[Team 1 GD],tblActuals3541519[Team 1],$CU22,tblActuals3541519[Team 2],EZ$3)</f>
        <v>0</v>
      </c>
      <c r="FA22" s="56">
        <f>SUMIFS(tblActuals3541519[Team 2 GD],tblActuals3541519[Team 2],$CU22,tblActuals3541519[Team 1],FA$3)+SUMIFS(tblActuals3541519[Team 1 GD],tblActuals3541519[Team 1],$CU22,tblActuals3541519[Team 2],FA$3)</f>
        <v>0</v>
      </c>
      <c r="FB22" s="57"/>
      <c r="FC22" s="57"/>
      <c r="FD22" s="57"/>
      <c r="FE22" s="57"/>
      <c r="FF22" s="57"/>
      <c r="FG22" s="57"/>
      <c r="FH22" s="57"/>
      <c r="FI22" s="57"/>
      <c r="FJ22" s="4"/>
      <c r="FK22" s="4" t="s">
        <v>131</v>
      </c>
      <c r="FL22" s="56">
        <f>SUMIFS(tblActuals3541519[Team 2 Goals],tblActuals3541519[Team 2],$CU22,tblActuals3541519[Team 1],FL$3)+SUMIFS(tblActuals3541519[Team 1 Goals],tblActuals3541519[Team 1],$CU22,tblActuals3541519[Team 2],FL$3)</f>
        <v>0</v>
      </c>
      <c r="FM22" s="56">
        <f>SUMIFS(tblActuals3541519[Team 2 Goals],tblActuals3541519[Team 2],$CU22,tblActuals3541519[Team 1],FM$3)+SUMIFS(tblActuals3541519[Team 1 Goals],tblActuals3541519[Team 1],$CU22,tblActuals3541519[Team 2],FM$3)</f>
        <v>0</v>
      </c>
      <c r="FN22" s="56">
        <f>SUMIFS(tblActuals3541519[Team 2 Goals],tblActuals3541519[Team 2],$CU22,tblActuals3541519[Team 1],FN$3)+SUMIFS(tblActuals3541519[Team 1 Goals],tblActuals3541519[Team 1],$CU22,tblActuals3541519[Team 2],FN$3)</f>
        <v>0</v>
      </c>
      <c r="FO22" s="56">
        <f>SUMIFS(tblActuals3541519[Team 2 Goals],tblActuals3541519[Team 2],$CU22,tblActuals3541519[Team 1],FO$3)+SUMIFS(tblActuals3541519[Team 1 Goals],tblActuals3541519[Team 1],$CU22,tblActuals3541519[Team 2],FO$3)</f>
        <v>0</v>
      </c>
      <c r="FP22" s="56">
        <f>SUMIFS(tblActuals3541519[Team 2 Goals],tblActuals3541519[Team 2],$CU22,tblActuals3541519[Team 1],FP$3)+SUMIFS(tblActuals3541519[Team 1 Goals],tblActuals3541519[Team 1],$CU22,tblActuals3541519[Team 2],FP$3)</f>
        <v>0</v>
      </c>
      <c r="FQ22" s="56">
        <f>SUMIFS(tblActuals3541519[Team 2 Goals],tblActuals3541519[Team 2],$CU22,tblActuals3541519[Team 1],FQ$3)+SUMIFS(tblActuals3541519[Team 1 Goals],tblActuals3541519[Team 1],$CU22,tblActuals3541519[Team 2],FQ$3)</f>
        <v>0</v>
      </c>
      <c r="FR22" s="56">
        <f>SUMIFS(tblActuals3541519[Team 2 Goals],tblActuals3541519[Team 2],$CU22,tblActuals3541519[Team 1],FR$3)+SUMIFS(tblActuals3541519[Team 1 Goals],tblActuals3541519[Team 1],$CU22,tblActuals3541519[Team 2],FR$3)</f>
        <v>0</v>
      </c>
      <c r="FS22" s="56">
        <f>SUMIFS(tblActuals3541519[Team 2 Goals],tblActuals3541519[Team 2],$CU22,tblActuals3541519[Team 1],FS$3)+SUMIFS(tblActuals3541519[Team 1 Goals],tblActuals3541519[Team 1],$CU22,tblActuals3541519[Team 2],FS$3)</f>
        <v>0</v>
      </c>
      <c r="FT22" s="56">
        <f>SUMIFS(tblActuals3541519[Team 2 Goals],tblActuals3541519[Team 2],$CU22,tblActuals3541519[Team 1],FT$3)+SUMIFS(tblActuals3541519[Team 1 Goals],tblActuals3541519[Team 1],$CU22,tblActuals3541519[Team 2],FT$3)</f>
        <v>0</v>
      </c>
      <c r="FU22" s="56">
        <f>SUMIFS(tblActuals3541519[Team 2 Goals],tblActuals3541519[Team 2],$CU22,tblActuals3541519[Team 1],FU$3)+SUMIFS(tblActuals3541519[Team 1 Goals],tblActuals3541519[Team 1],$CU22,tblActuals3541519[Team 2],FU$3)</f>
        <v>0</v>
      </c>
      <c r="FV22" s="56">
        <f>SUMIFS(tblActuals3541519[Team 2 Goals],tblActuals3541519[Team 2],$CU22,tblActuals3541519[Team 1],FV$3)+SUMIFS(tblActuals3541519[Team 1 Goals],tblActuals3541519[Team 1],$CU22,tblActuals3541519[Team 2],FV$3)</f>
        <v>0</v>
      </c>
      <c r="FW22" s="56">
        <f>SUMIFS(tblActuals3541519[Team 2 Goals],tblActuals3541519[Team 2],$CU22,tblActuals3541519[Team 1],FW$3)+SUMIFS(tblActuals3541519[Team 1 Goals],tblActuals3541519[Team 1],$CU22,tblActuals3541519[Team 2],FW$3)</f>
        <v>0</v>
      </c>
      <c r="FX22" s="56">
        <f>SUMIFS(tblActuals3541519[Team 2 Goals],tblActuals3541519[Team 2],$CU22,tblActuals3541519[Team 1],FX$3)+SUMIFS(tblActuals3541519[Team 1 Goals],tblActuals3541519[Team 1],$CU22,tblActuals3541519[Team 2],FX$3)</f>
        <v>0</v>
      </c>
      <c r="FY22" s="56">
        <f>SUMIFS(tblActuals3541519[Team 2 Goals],tblActuals3541519[Team 2],$CU22,tblActuals3541519[Team 1],FY$3)+SUMIFS(tblActuals3541519[Team 1 Goals],tblActuals3541519[Team 1],$CU22,tblActuals3541519[Team 2],FY$3)</f>
        <v>0</v>
      </c>
      <c r="FZ22" s="56">
        <f>SUMIFS(tblActuals3541519[Team 2 Goals],tblActuals3541519[Team 2],$CU22,tblActuals3541519[Team 1],FZ$3)+SUMIFS(tblActuals3541519[Team 1 Goals],tblActuals3541519[Team 1],$CU22,tblActuals3541519[Team 2],FZ$3)</f>
        <v>0</v>
      </c>
      <c r="GA22" s="56">
        <f>SUMIFS(tblActuals3541519[Team 2 Goals],tblActuals3541519[Team 2],$CU22,tblActuals3541519[Team 1],GA$3)+SUMIFS(tblActuals3541519[Team 1 Goals],tblActuals3541519[Team 1],$CU22,tblActuals3541519[Team 2],GA$3)</f>
        <v>0</v>
      </c>
      <c r="GB22" s="56">
        <f>SUMIFS(tblActuals3541519[Team 2 Goals],tblActuals3541519[Team 2],$CU22,tblActuals3541519[Team 1],GB$3)+SUMIFS(tblActuals3541519[Team 1 Goals],tblActuals3541519[Team 1],$CU22,tblActuals3541519[Team 2],GB$3)</f>
        <v>0</v>
      </c>
      <c r="GC22" s="56">
        <f>SUMIFS(tblActuals3541519[Team 2 Goals],tblActuals3541519[Team 2],$CU22,tblActuals3541519[Team 1],GC$3)+SUMIFS(tblActuals3541519[Team 1 Goals],tblActuals3541519[Team 1],$CU22,tblActuals3541519[Team 2],GC$3)</f>
        <v>0</v>
      </c>
      <c r="GD22" s="56">
        <f>SUMIFS(tblActuals3541519[Team 2 Goals],tblActuals3541519[Team 2],$CU22,tblActuals3541519[Team 1],GD$3)+SUMIFS(tblActuals3541519[Team 1 Goals],tblActuals3541519[Team 1],$CU22,tblActuals3541519[Team 2],GD$3)</f>
        <v>0</v>
      </c>
      <c r="GE22" s="56">
        <f>SUMIFS(tblActuals3541519[Team 2 Goals],tblActuals3541519[Team 2],$CU22,tblActuals3541519[Team 1],GE$3)+SUMIFS(tblActuals3541519[Team 1 Goals],tblActuals3541519[Team 1],$CU22,tblActuals3541519[Team 2],GE$3)</f>
        <v>0</v>
      </c>
      <c r="GF22" s="56">
        <f>SUMIFS(tblActuals3541519[Team 2 Goals],tblActuals3541519[Team 2],$CU22,tblActuals3541519[Team 1],GF$3)+SUMIFS(tblActuals3541519[Team 1 Goals],tblActuals3541519[Team 1],$CU22,tblActuals3541519[Team 2],GF$3)</f>
        <v>0</v>
      </c>
      <c r="GG22" s="56">
        <f>SUMIFS(tblActuals3541519[Team 2 Goals],tblActuals3541519[Team 2],$CU22,tblActuals3541519[Team 1],GG$3)+SUMIFS(tblActuals3541519[Team 1 Goals],tblActuals3541519[Team 1],$CU22,tblActuals3541519[Team 2],GG$3)</f>
        <v>0</v>
      </c>
      <c r="GH22" s="56">
        <f>SUMIFS(tblActuals3541519[Team 2 Goals],tblActuals3541519[Team 2],$CU22,tblActuals3541519[Team 1],GH$3)+SUMIFS(tblActuals3541519[Team 1 Goals],tblActuals3541519[Team 1],$CU22,tblActuals3541519[Team 2],GH$3)</f>
        <v>0</v>
      </c>
      <c r="GI22" s="56">
        <f>SUMIFS(tblActuals3541519[Team 2 Goals],tblActuals3541519[Team 2],$CU22,tblActuals3541519[Team 1],GI$3)+SUMIFS(tblActuals3541519[Team 1 Goals],tblActuals3541519[Team 1],$CU22,tblActuals3541519[Team 2],GI$3)</f>
        <v>0</v>
      </c>
      <c r="GJ22" s="57"/>
      <c r="GK22" s="57"/>
      <c r="GL22" s="37"/>
      <c r="GM22" s="37"/>
      <c r="GN22" s="37"/>
      <c r="GO22" s="37"/>
      <c r="GP22" s="37"/>
      <c r="GQ22" s="37"/>
      <c r="GR22" s="75"/>
      <c r="GS22" s="157"/>
      <c r="GT22" s="157"/>
      <c r="GU22" s="75"/>
      <c r="GV22" s="75"/>
      <c r="GW22" s="75"/>
      <c r="GX22" s="75"/>
      <c r="GY22" s="75"/>
      <c r="GZ22" s="75"/>
    </row>
    <row r="23" spans="1:221" s="11" customFormat="1" ht="30" customHeight="1" thickBot="1" x14ac:dyDescent="0.3">
      <c r="A23" s="20"/>
      <c r="B23" s="122">
        <v>20</v>
      </c>
      <c r="C23" s="122" t="s">
        <v>7</v>
      </c>
      <c r="D23" s="123">
        <v>45464</v>
      </c>
      <c r="E23" s="122" t="s">
        <v>87</v>
      </c>
      <c r="F23" s="124">
        <v>0.875</v>
      </c>
      <c r="G23" s="125">
        <f t="shared" si="11"/>
        <v>45464.625</v>
      </c>
      <c r="H23" s="122" t="s">
        <v>108</v>
      </c>
      <c r="I23" s="126"/>
      <c r="J23" s="118"/>
      <c r="K23" s="118"/>
      <c r="L23" s="174">
        <f>IF(I23="",0,IFERROR(IF(SCORING.RULES!$C$8="No",1,((VLOOKUP($B23,ACTUALS!$B$4:$L$100,7,FALSE)=$H23)+(VLOOKUP($B23,ACTUALS!$B$4:$L$100,7,FALSE)=S23)))*(M23+N23+O23+P23+Q23),0))+$R23</f>
        <v>0</v>
      </c>
      <c r="M23" s="168">
        <f>IFERROR(IF($B23="","",IF(U23=INDEX(ACTUALS!$AA$4:$AA$100,MATCH($B23,ACTUALS!$B$4:$B$100,0),1),CorrectScore,0)),0)</f>
        <v>0</v>
      </c>
      <c r="N23" s="157" t="str">
        <f>IFERROR(IF(I23="","",IF(INDEX(ACTUALS!$AB$4:$AB$100,MATCH($B23,ACTUALS!$B$4:$B$100,0),1)=(AB23+AC23+AH23+AI23),CorrectNumberofGoals,0)),0)</f>
        <v/>
      </c>
      <c r="O23" s="157"/>
      <c r="P23" s="157">
        <f>IFERROR(IF(B23="","",IF(INDEX(ACTUALS!$L$4:$L$100,MATCH($B23,ACTUALS!$B$4:$B$100,0),1)=W23,CorrectResult,0)),0)</f>
        <v>3</v>
      </c>
      <c r="Q23" s="157"/>
      <c r="R23" s="157"/>
      <c r="S23" s="157" t="str">
        <f t="shared" si="0"/>
        <v/>
      </c>
      <c r="T23" s="157"/>
      <c r="U23" s="157" t="str">
        <f t="shared" si="1"/>
        <v/>
      </c>
      <c r="V23" s="157" t="str">
        <f t="shared" si="2"/>
        <v/>
      </c>
      <c r="W23" s="119" t="str">
        <f>IF(tblActuals3541519[[#This Row],[SCORE]]="","",IF(AB23=AC23,"Draw",IF(AB23&gt;AC23,X23,Y23)))</f>
        <v/>
      </c>
      <c r="X23" s="120" t="str">
        <f>IF(tblActuals3541519[[#This Row],[TEAMS]]="","",LEFT(H23,FIND(" -",H23,1)-1))</f>
        <v>Netherlands</v>
      </c>
      <c r="Y23" s="120" t="str">
        <f>IF(tblActuals3541519[[#This Row],[TEAMS]]="","",MID(H23,FIND("-",H23,1)+2,LEN(H23)-FIND("-",H23,1)+2))</f>
        <v>France</v>
      </c>
      <c r="Z23" s="120" t="str">
        <f>IF(tblActuals3541519[[#This Row],[Team 1 Goals]]&gt;tblActuals3541519[[#This Row],[Team 2 Goals]],tblActuals3541519[[#This Row],[Team 1]],IF(tblActuals3541519[[#This Row],[Team 2 Goals]]&gt;tblActuals3541519[[#This Row],[Team 1 Goals]],tblActuals3541519[[#This Row],[Team 2]],""))</f>
        <v/>
      </c>
      <c r="AA23" s="120" t="str">
        <f>IF(tblActuals3541519[[#This Row],[Winner]]=tblActuals3541519[[#This Row],[Team 1]],tblActuals3541519[[#This Row],[Team 2]],IF(tblActuals3541519[[#This Row],[Winner]]=tblActuals3541519[[#This Row],[Team 2]],tblActuals3541519[[#This Row],[Team 1]],""))</f>
        <v/>
      </c>
      <c r="AB23" s="120" t="str">
        <f>IF(tblActuals3541519[[#This Row],[SCORE]]="","",LEFT(I23,FIND(":",I23,1)-1)*1)</f>
        <v/>
      </c>
      <c r="AC23" s="120" t="str">
        <f>IF(tblActuals3541519[[#This Row],[SCORE]]="","",MID(I23,FIND(":",I23,1)+1,LEN(I23)-FIND(":",I23,1)+1)*1)</f>
        <v/>
      </c>
      <c r="AD23" s="120" t="str">
        <f>IF(OR(tblActuals3541519[[#This Row],[Team 1 Goals]]="",tblActuals3541519[[#This Row],[Team 2 Goals]]=""),"",tblActuals3541519[[#This Row],[Team 1 Goals]]-tblActuals3541519[[#This Row],[Team 2 Goals]])</f>
        <v/>
      </c>
      <c r="AE23" s="120" t="str">
        <f>IF(OR(tblActuals3541519[[#This Row],[Team 1 Goals]]="",tblActuals3541519[[#This Row],[Team 2 Goals]]=""),"",tblActuals3541519[[#This Row],[Team 2 Goals]]-tblActuals3541519[[#This Row],[Team 1 Goals]])</f>
        <v/>
      </c>
      <c r="AF23" s="120" t="str">
        <f>IF(tblActuals3541519[[#This Row],[SCORE]]="","",IF(tblActuals3541519[[#This Row],[WINNER / RESULT]]="Draw",1,IF(tblActuals3541519[[#This Row],[WINNER / RESULT]]=tblActuals3541519[[#This Row],[Team 1]],3,0)))</f>
        <v/>
      </c>
      <c r="AG23" s="120" t="str">
        <f>IF(tblActuals3541519[[#This Row],[SCORE]]="","",IF(tblActuals3541519[[#This Row],[WINNER / RESULT]]="Draw",1,IF(tblActuals3541519[[#This Row],[WINNER / RESULT]]=tblActuals3541519[[#This Row],[Team 2]],3,0)))</f>
        <v/>
      </c>
      <c r="AH23" s="121"/>
      <c r="AI23" s="121"/>
      <c r="AJ23" s="121"/>
      <c r="AK23" s="121"/>
      <c r="AL23" s="120" t="e">
        <f>tblActuals3541519[[#This Row],[Team 1 Goals]]+tblActuals3541519[[#This Row],[Team 1 ET Goals]]&amp;":"&amp;tblActuals3541519[[#This Row],[Team 2 Goals]]+tblActuals3541519[[#This Row],[Team 2 ET Goals]]</f>
        <v>#VALUE!</v>
      </c>
      <c r="AM23" s="120" t="e">
        <f>+tblActuals3541519[[#This Row],[Team 1 Goals]]+tblActuals3541519[[#This Row],[Team 2 Goals]]</f>
        <v>#VALUE!</v>
      </c>
      <c r="AN23" s="161">
        <f t="shared" si="3"/>
        <v>45464</v>
      </c>
      <c r="AT23" s="78"/>
      <c r="AU23" s="179" t="s">
        <v>54</v>
      </c>
      <c r="AV23" s="180"/>
      <c r="AW23" s="133" t="s">
        <v>46</v>
      </c>
      <c r="AX23" s="134" t="s">
        <v>57</v>
      </c>
      <c r="AY23" s="135" t="s">
        <v>11</v>
      </c>
      <c r="AZ23" s="75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 t="str">
        <f t="shared" si="4"/>
        <v/>
      </c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U23" s="4" t="s">
        <v>132</v>
      </c>
      <c r="CV23" s="56">
        <f>SUMIFS(tblActuals3541519[Team 2 Points],tblActuals3541519[Team 2],$CU23,tblActuals3541519[Team 1],CV$3)+SUMIFS(tblActuals3541519[Team 1 Points],tblActuals3541519[Team 1],$CU23,tblActuals3541519[Team 2],CV$3)</f>
        <v>0</v>
      </c>
      <c r="CW23" s="56">
        <f>SUMIFS(tblActuals3541519[Team 2 Points],tblActuals3541519[Team 2],$CU23,tblActuals3541519[Team 1],CW$3)+SUMIFS(tblActuals3541519[Team 1 Points],tblActuals3541519[Team 1],$CU23,tblActuals3541519[Team 2],CW$3)</f>
        <v>0</v>
      </c>
      <c r="CX23" s="56">
        <f>SUMIFS(tblActuals3541519[Team 2 Points],tblActuals3541519[Team 2],$CU23,tblActuals3541519[Team 1],CX$3)+SUMIFS(tblActuals3541519[Team 1 Points],tblActuals3541519[Team 1],$CU23,tblActuals3541519[Team 2],CX$3)</f>
        <v>0</v>
      </c>
      <c r="CY23" s="56">
        <f>SUMIFS(tblActuals3541519[Team 2 Points],tblActuals3541519[Team 2],$CU23,tblActuals3541519[Team 1],CY$3)+SUMIFS(tblActuals3541519[Team 1 Points],tblActuals3541519[Team 1],$CU23,tblActuals3541519[Team 2],CY$3)</f>
        <v>0</v>
      </c>
      <c r="CZ23" s="56">
        <f>SUMIFS(tblActuals3541519[Team 2 Points],tblActuals3541519[Team 2],$CU23,tblActuals3541519[Team 1],CZ$3)+SUMIFS(tblActuals3541519[Team 1 Points],tblActuals3541519[Team 1],$CU23,tblActuals3541519[Team 2],CZ$3)</f>
        <v>0</v>
      </c>
      <c r="DA23" s="56">
        <f>SUMIFS(tblActuals3541519[Team 2 Points],tblActuals3541519[Team 2],$CU23,tblActuals3541519[Team 1],DA$3)+SUMIFS(tblActuals3541519[Team 1 Points],tblActuals3541519[Team 1],$CU23,tblActuals3541519[Team 2],DA$3)</f>
        <v>0</v>
      </c>
      <c r="DB23" s="56">
        <f>SUMIFS(tblActuals3541519[Team 2 Points],tblActuals3541519[Team 2],$CU23,tblActuals3541519[Team 1],DB$3)+SUMIFS(tblActuals3541519[Team 1 Points],tblActuals3541519[Team 1],$CU23,tblActuals3541519[Team 2],DB$3)</f>
        <v>0</v>
      </c>
      <c r="DC23" s="56">
        <f>SUMIFS(tblActuals3541519[Team 2 Points],tblActuals3541519[Team 2],$CU23,tblActuals3541519[Team 1],DC$3)+SUMIFS(tblActuals3541519[Team 1 Points],tblActuals3541519[Team 1],$CU23,tblActuals3541519[Team 2],DC$3)</f>
        <v>0</v>
      </c>
      <c r="DD23" s="56">
        <f>SUMIFS(tblActuals3541519[Team 2 Points],tblActuals3541519[Team 2],$CU23,tblActuals3541519[Team 1],DD$3)+SUMIFS(tblActuals3541519[Team 1 Points],tblActuals3541519[Team 1],$CU23,tblActuals3541519[Team 2],DD$3)</f>
        <v>0</v>
      </c>
      <c r="DE23" s="56">
        <f>SUMIFS(tblActuals3541519[Team 2 Points],tblActuals3541519[Team 2],$CU23,tblActuals3541519[Team 1],DE$3)+SUMIFS(tblActuals3541519[Team 1 Points],tblActuals3541519[Team 1],$CU23,tblActuals3541519[Team 2],DE$3)</f>
        <v>0</v>
      </c>
      <c r="DF23" s="56">
        <f>SUMIFS(tblActuals3541519[Team 2 Points],tblActuals3541519[Team 2],$CU23,tblActuals3541519[Team 1],DF$3)+SUMIFS(tblActuals3541519[Team 1 Points],tblActuals3541519[Team 1],$CU23,tblActuals3541519[Team 2],DF$3)</f>
        <v>0</v>
      </c>
      <c r="DG23" s="56">
        <f>SUMIFS(tblActuals3541519[Team 2 Points],tblActuals3541519[Team 2],$CU23,tblActuals3541519[Team 1],DG$3)+SUMIFS(tblActuals3541519[Team 1 Points],tblActuals3541519[Team 1],$CU23,tblActuals3541519[Team 2],DG$3)</f>
        <v>0</v>
      </c>
      <c r="DH23" s="56">
        <f>SUMIFS(tblActuals3541519[Team 2 Points],tblActuals3541519[Team 2],$CU23,tblActuals3541519[Team 1],DH$3)+SUMIFS(tblActuals3541519[Team 1 Points],tblActuals3541519[Team 1],$CU23,tblActuals3541519[Team 2],DH$3)</f>
        <v>0</v>
      </c>
      <c r="DI23" s="56">
        <f>SUMIFS(tblActuals3541519[Team 2 Points],tblActuals3541519[Team 2],$CU23,tblActuals3541519[Team 1],DI$3)+SUMIFS(tblActuals3541519[Team 1 Points],tblActuals3541519[Team 1],$CU23,tblActuals3541519[Team 2],DI$3)</f>
        <v>0</v>
      </c>
      <c r="DJ23" s="56">
        <f>SUMIFS(tblActuals3541519[Team 2 Points],tblActuals3541519[Team 2],$CU23,tblActuals3541519[Team 1],DJ$3)+SUMIFS(tblActuals3541519[Team 1 Points],tblActuals3541519[Team 1],$CU23,tblActuals3541519[Team 2],DJ$3)</f>
        <v>0</v>
      </c>
      <c r="DK23" s="56">
        <f>SUMIFS(tblActuals3541519[Team 2 Points],tblActuals3541519[Team 2],$CU23,tblActuals3541519[Team 1],DK$3)+SUMIFS(tblActuals3541519[Team 1 Points],tblActuals3541519[Team 1],$CU23,tblActuals3541519[Team 2],DK$3)</f>
        <v>0</v>
      </c>
      <c r="DL23" s="56">
        <f>SUMIFS(tblActuals3541519[Team 2 Points],tblActuals3541519[Team 2],$CU23,tblActuals3541519[Team 1],DL$3)+SUMIFS(tblActuals3541519[Team 1 Points],tblActuals3541519[Team 1],$CU23,tblActuals3541519[Team 2],DL$3)</f>
        <v>0</v>
      </c>
      <c r="DM23" s="56">
        <f>SUMIFS(tblActuals3541519[Team 2 Points],tblActuals3541519[Team 2],$CU23,tblActuals3541519[Team 1],DM$3)+SUMIFS(tblActuals3541519[Team 1 Points],tblActuals3541519[Team 1],$CU23,tblActuals3541519[Team 2],DM$3)</f>
        <v>0</v>
      </c>
      <c r="DN23" s="56">
        <f>SUMIFS(tblActuals3541519[Team 2 Points],tblActuals3541519[Team 2],$CU23,tblActuals3541519[Team 1],DN$3)+SUMIFS(tblActuals3541519[Team 1 Points],tblActuals3541519[Team 1],$CU23,tblActuals3541519[Team 2],DN$3)</f>
        <v>0</v>
      </c>
      <c r="DO23" s="56">
        <f>SUMIFS(tblActuals3541519[Team 2 Points],tblActuals3541519[Team 2],$CU23,tblActuals3541519[Team 1],DO$3)+SUMIFS(tblActuals3541519[Team 1 Points],tblActuals3541519[Team 1],$CU23,tblActuals3541519[Team 2],DO$3)</f>
        <v>0</v>
      </c>
      <c r="DP23" s="56">
        <f>SUMIFS(tblActuals3541519[Team 2 Points],tblActuals3541519[Team 2],$CU23,tblActuals3541519[Team 1],DP$3)+SUMIFS(tblActuals3541519[Team 1 Points],tblActuals3541519[Team 1],$CU23,tblActuals3541519[Team 2],DP$3)</f>
        <v>0</v>
      </c>
      <c r="DQ23" s="56">
        <f>SUMIFS(tblActuals3541519[Team 2 Points],tblActuals3541519[Team 2],$CU23,tblActuals3541519[Team 1],DQ$3)+SUMIFS(tblActuals3541519[Team 1 Points],tblActuals3541519[Team 1],$CU23,tblActuals3541519[Team 2],DQ$3)</f>
        <v>0</v>
      </c>
      <c r="DR23" s="56">
        <f>SUMIFS(tblActuals3541519[Team 2 Points],tblActuals3541519[Team 2],$CU23,tblActuals3541519[Team 1],DR$3)+SUMIFS(tblActuals3541519[Team 1 Points],tblActuals3541519[Team 1],$CU23,tblActuals3541519[Team 2],DR$3)</f>
        <v>0</v>
      </c>
      <c r="DS23" s="56">
        <f>SUMIFS(tblActuals3541519[Team 2 Points],tblActuals3541519[Team 2],$CU23,tblActuals3541519[Team 1],DS$3)+SUMIFS(tblActuals3541519[Team 1 Points],tblActuals3541519[Team 1],$CU23,tblActuals3541519[Team 2],DS$3)</f>
        <v>0</v>
      </c>
      <c r="DT23" s="57"/>
      <c r="DU23" s="57"/>
      <c r="DV23" s="57"/>
      <c r="DW23" s="57"/>
      <c r="DX23" s="57"/>
      <c r="DY23" s="57"/>
      <c r="DZ23" s="57"/>
      <c r="EA23" s="57"/>
      <c r="EB23" s="4"/>
      <c r="EC23" s="4" t="s">
        <v>132</v>
      </c>
      <c r="ED23" s="56">
        <f>SUMIFS(tblActuals3541519[Team 2 GD],tblActuals3541519[Team 2],$CU23,tblActuals3541519[Team 1],ED$3)+SUMIFS(tblActuals3541519[Team 1 GD],tblActuals3541519[Team 1],$CU23,tblActuals3541519[Team 2],ED$3)</f>
        <v>0</v>
      </c>
      <c r="EE23" s="56">
        <f>SUMIFS(tblActuals3541519[Team 2 GD],tblActuals3541519[Team 2],$CU23,tblActuals3541519[Team 1],EE$3)+SUMIFS(tblActuals3541519[Team 1 GD],tblActuals3541519[Team 1],$CU23,tblActuals3541519[Team 2],EE$3)</f>
        <v>0</v>
      </c>
      <c r="EF23" s="56">
        <f>SUMIFS(tblActuals3541519[Team 2 GD],tblActuals3541519[Team 2],$CU23,tblActuals3541519[Team 1],EF$3)+SUMIFS(tblActuals3541519[Team 1 GD],tblActuals3541519[Team 1],$CU23,tblActuals3541519[Team 2],EF$3)</f>
        <v>0</v>
      </c>
      <c r="EG23" s="56">
        <f>SUMIFS(tblActuals3541519[Team 2 GD],tblActuals3541519[Team 2],$CU23,tblActuals3541519[Team 1],EG$3)+SUMIFS(tblActuals3541519[Team 1 GD],tblActuals3541519[Team 1],$CU23,tblActuals3541519[Team 2],EG$3)</f>
        <v>0</v>
      </c>
      <c r="EH23" s="56">
        <f>SUMIFS(tblActuals3541519[Team 2 GD],tblActuals3541519[Team 2],$CU23,tblActuals3541519[Team 1],EH$3)+SUMIFS(tblActuals3541519[Team 1 GD],tblActuals3541519[Team 1],$CU23,tblActuals3541519[Team 2],EH$3)</f>
        <v>0</v>
      </c>
      <c r="EI23" s="56">
        <f>SUMIFS(tblActuals3541519[Team 2 GD],tblActuals3541519[Team 2],$CU23,tblActuals3541519[Team 1],EI$3)+SUMIFS(tblActuals3541519[Team 1 GD],tblActuals3541519[Team 1],$CU23,tblActuals3541519[Team 2],EI$3)</f>
        <v>0</v>
      </c>
      <c r="EJ23" s="56">
        <f>SUMIFS(tblActuals3541519[Team 2 GD],tblActuals3541519[Team 2],$CU23,tblActuals3541519[Team 1],EJ$3)+SUMIFS(tblActuals3541519[Team 1 GD],tblActuals3541519[Team 1],$CU23,tblActuals3541519[Team 2],EJ$3)</f>
        <v>0</v>
      </c>
      <c r="EK23" s="56">
        <f>SUMIFS(tblActuals3541519[Team 2 GD],tblActuals3541519[Team 2],$CU23,tblActuals3541519[Team 1],EK$3)+SUMIFS(tblActuals3541519[Team 1 GD],tblActuals3541519[Team 1],$CU23,tblActuals3541519[Team 2],EK$3)</f>
        <v>0</v>
      </c>
      <c r="EL23" s="56">
        <f>SUMIFS(tblActuals3541519[Team 2 GD],tblActuals3541519[Team 2],$CU23,tblActuals3541519[Team 1],EL$3)+SUMIFS(tblActuals3541519[Team 1 GD],tblActuals3541519[Team 1],$CU23,tblActuals3541519[Team 2],EL$3)</f>
        <v>0</v>
      </c>
      <c r="EM23" s="56">
        <f>SUMIFS(tblActuals3541519[Team 2 GD],tblActuals3541519[Team 2],$CU23,tblActuals3541519[Team 1],EM$3)+SUMIFS(tblActuals3541519[Team 1 GD],tblActuals3541519[Team 1],$CU23,tblActuals3541519[Team 2],EM$3)</f>
        <v>0</v>
      </c>
      <c r="EN23" s="56">
        <f>SUMIFS(tblActuals3541519[Team 2 GD],tblActuals3541519[Team 2],$CU23,tblActuals3541519[Team 1],EN$3)+SUMIFS(tblActuals3541519[Team 1 GD],tblActuals3541519[Team 1],$CU23,tblActuals3541519[Team 2],EN$3)</f>
        <v>0</v>
      </c>
      <c r="EO23" s="56">
        <f>SUMIFS(tblActuals3541519[Team 2 GD],tblActuals3541519[Team 2],$CU23,tblActuals3541519[Team 1],EO$3)+SUMIFS(tblActuals3541519[Team 1 GD],tblActuals3541519[Team 1],$CU23,tblActuals3541519[Team 2],EO$3)</f>
        <v>0</v>
      </c>
      <c r="EP23" s="56">
        <f>SUMIFS(tblActuals3541519[Team 2 GD],tblActuals3541519[Team 2],$CU23,tblActuals3541519[Team 1],EP$3)+SUMIFS(tblActuals3541519[Team 1 GD],tblActuals3541519[Team 1],$CU23,tblActuals3541519[Team 2],EP$3)</f>
        <v>0</v>
      </c>
      <c r="EQ23" s="56">
        <f>SUMIFS(tblActuals3541519[Team 2 GD],tblActuals3541519[Team 2],$CU23,tblActuals3541519[Team 1],EQ$3)+SUMIFS(tblActuals3541519[Team 1 GD],tblActuals3541519[Team 1],$CU23,tblActuals3541519[Team 2],EQ$3)</f>
        <v>0</v>
      </c>
      <c r="ER23" s="56">
        <f>SUMIFS(tblActuals3541519[Team 2 GD],tblActuals3541519[Team 2],$CU23,tblActuals3541519[Team 1],ER$3)+SUMIFS(tblActuals3541519[Team 1 GD],tblActuals3541519[Team 1],$CU23,tblActuals3541519[Team 2],ER$3)</f>
        <v>0</v>
      </c>
      <c r="ES23" s="56">
        <f>SUMIFS(tblActuals3541519[Team 2 GD],tblActuals3541519[Team 2],$CU23,tblActuals3541519[Team 1],ES$3)+SUMIFS(tblActuals3541519[Team 1 GD],tblActuals3541519[Team 1],$CU23,tblActuals3541519[Team 2],ES$3)</f>
        <v>0</v>
      </c>
      <c r="ET23" s="56">
        <f>SUMIFS(tblActuals3541519[Team 2 GD],tblActuals3541519[Team 2],$CU23,tblActuals3541519[Team 1],ET$3)+SUMIFS(tblActuals3541519[Team 1 GD],tblActuals3541519[Team 1],$CU23,tblActuals3541519[Team 2],ET$3)</f>
        <v>0</v>
      </c>
      <c r="EU23" s="56">
        <f>SUMIFS(tblActuals3541519[Team 2 GD],tblActuals3541519[Team 2],$CU23,tblActuals3541519[Team 1],EU$3)+SUMIFS(tblActuals3541519[Team 1 GD],tblActuals3541519[Team 1],$CU23,tblActuals3541519[Team 2],EU$3)</f>
        <v>0</v>
      </c>
      <c r="EV23" s="56">
        <f>SUMIFS(tblActuals3541519[Team 2 GD],tblActuals3541519[Team 2],$CU23,tblActuals3541519[Team 1],EV$3)+SUMIFS(tblActuals3541519[Team 1 GD],tblActuals3541519[Team 1],$CU23,tblActuals3541519[Team 2],EV$3)</f>
        <v>0</v>
      </c>
      <c r="EW23" s="56">
        <f>SUMIFS(tblActuals3541519[Team 2 GD],tblActuals3541519[Team 2],$CU23,tblActuals3541519[Team 1],EW$3)+SUMIFS(tblActuals3541519[Team 1 GD],tblActuals3541519[Team 1],$CU23,tblActuals3541519[Team 2],EW$3)</f>
        <v>0</v>
      </c>
      <c r="EX23" s="56">
        <f>SUMIFS(tblActuals3541519[Team 2 GD],tblActuals3541519[Team 2],$CU23,tblActuals3541519[Team 1],EX$3)+SUMIFS(tblActuals3541519[Team 1 GD],tblActuals3541519[Team 1],$CU23,tblActuals3541519[Team 2],EX$3)</f>
        <v>0</v>
      </c>
      <c r="EY23" s="56">
        <f>SUMIFS(tblActuals3541519[Team 2 GD],tblActuals3541519[Team 2],$CU23,tblActuals3541519[Team 1],EY$3)+SUMIFS(tblActuals3541519[Team 1 GD],tblActuals3541519[Team 1],$CU23,tblActuals3541519[Team 2],EY$3)</f>
        <v>0</v>
      </c>
      <c r="EZ23" s="56">
        <f>SUMIFS(tblActuals3541519[Team 2 GD],tblActuals3541519[Team 2],$CU23,tblActuals3541519[Team 1],EZ$3)+SUMIFS(tblActuals3541519[Team 1 GD],tblActuals3541519[Team 1],$CU23,tblActuals3541519[Team 2],EZ$3)</f>
        <v>0</v>
      </c>
      <c r="FA23" s="56">
        <f>SUMIFS(tblActuals3541519[Team 2 GD],tblActuals3541519[Team 2],$CU23,tblActuals3541519[Team 1],FA$3)+SUMIFS(tblActuals3541519[Team 1 GD],tblActuals3541519[Team 1],$CU23,tblActuals3541519[Team 2],FA$3)</f>
        <v>0</v>
      </c>
      <c r="FB23" s="57"/>
      <c r="FC23" s="57"/>
      <c r="FD23" s="57"/>
      <c r="FE23" s="57"/>
      <c r="FF23" s="57"/>
      <c r="FG23" s="57"/>
      <c r="FH23" s="57"/>
      <c r="FI23" s="57"/>
      <c r="FJ23" s="4"/>
      <c r="FK23" s="4" t="s">
        <v>132</v>
      </c>
      <c r="FL23" s="56">
        <f>SUMIFS(tblActuals3541519[Team 2 Goals],tblActuals3541519[Team 2],$CU23,tblActuals3541519[Team 1],FL$3)+SUMIFS(tblActuals3541519[Team 1 Goals],tblActuals3541519[Team 1],$CU23,tblActuals3541519[Team 2],FL$3)</f>
        <v>0</v>
      </c>
      <c r="FM23" s="56">
        <f>SUMIFS(tblActuals3541519[Team 2 Goals],tblActuals3541519[Team 2],$CU23,tblActuals3541519[Team 1],FM$3)+SUMIFS(tblActuals3541519[Team 1 Goals],tblActuals3541519[Team 1],$CU23,tblActuals3541519[Team 2],FM$3)</f>
        <v>0</v>
      </c>
      <c r="FN23" s="56">
        <f>SUMIFS(tblActuals3541519[Team 2 Goals],tblActuals3541519[Team 2],$CU23,tblActuals3541519[Team 1],FN$3)+SUMIFS(tblActuals3541519[Team 1 Goals],tblActuals3541519[Team 1],$CU23,tblActuals3541519[Team 2],FN$3)</f>
        <v>0</v>
      </c>
      <c r="FO23" s="56">
        <f>SUMIFS(tblActuals3541519[Team 2 Goals],tblActuals3541519[Team 2],$CU23,tblActuals3541519[Team 1],FO$3)+SUMIFS(tblActuals3541519[Team 1 Goals],tblActuals3541519[Team 1],$CU23,tblActuals3541519[Team 2],FO$3)</f>
        <v>0</v>
      </c>
      <c r="FP23" s="56">
        <f>SUMIFS(tblActuals3541519[Team 2 Goals],tblActuals3541519[Team 2],$CU23,tblActuals3541519[Team 1],FP$3)+SUMIFS(tblActuals3541519[Team 1 Goals],tblActuals3541519[Team 1],$CU23,tblActuals3541519[Team 2],FP$3)</f>
        <v>0</v>
      </c>
      <c r="FQ23" s="56">
        <f>SUMIFS(tblActuals3541519[Team 2 Goals],tblActuals3541519[Team 2],$CU23,tblActuals3541519[Team 1],FQ$3)+SUMIFS(tblActuals3541519[Team 1 Goals],tblActuals3541519[Team 1],$CU23,tblActuals3541519[Team 2],FQ$3)</f>
        <v>0</v>
      </c>
      <c r="FR23" s="56">
        <f>SUMIFS(tblActuals3541519[Team 2 Goals],tblActuals3541519[Team 2],$CU23,tblActuals3541519[Team 1],FR$3)+SUMIFS(tblActuals3541519[Team 1 Goals],tblActuals3541519[Team 1],$CU23,tblActuals3541519[Team 2],FR$3)</f>
        <v>0</v>
      </c>
      <c r="FS23" s="56">
        <f>SUMIFS(tblActuals3541519[Team 2 Goals],tblActuals3541519[Team 2],$CU23,tblActuals3541519[Team 1],FS$3)+SUMIFS(tblActuals3541519[Team 1 Goals],tblActuals3541519[Team 1],$CU23,tblActuals3541519[Team 2],FS$3)</f>
        <v>0</v>
      </c>
      <c r="FT23" s="56">
        <f>SUMIFS(tblActuals3541519[Team 2 Goals],tblActuals3541519[Team 2],$CU23,tblActuals3541519[Team 1],FT$3)+SUMIFS(tblActuals3541519[Team 1 Goals],tblActuals3541519[Team 1],$CU23,tblActuals3541519[Team 2],FT$3)</f>
        <v>0</v>
      </c>
      <c r="FU23" s="56">
        <f>SUMIFS(tblActuals3541519[Team 2 Goals],tblActuals3541519[Team 2],$CU23,tblActuals3541519[Team 1],FU$3)+SUMIFS(tblActuals3541519[Team 1 Goals],tblActuals3541519[Team 1],$CU23,tblActuals3541519[Team 2],FU$3)</f>
        <v>0</v>
      </c>
      <c r="FV23" s="56">
        <f>SUMIFS(tblActuals3541519[Team 2 Goals],tblActuals3541519[Team 2],$CU23,tblActuals3541519[Team 1],FV$3)+SUMIFS(tblActuals3541519[Team 1 Goals],tblActuals3541519[Team 1],$CU23,tblActuals3541519[Team 2],FV$3)</f>
        <v>0</v>
      </c>
      <c r="FW23" s="56">
        <f>SUMIFS(tblActuals3541519[Team 2 Goals],tblActuals3541519[Team 2],$CU23,tblActuals3541519[Team 1],FW$3)+SUMIFS(tblActuals3541519[Team 1 Goals],tblActuals3541519[Team 1],$CU23,tblActuals3541519[Team 2],FW$3)</f>
        <v>0</v>
      </c>
      <c r="FX23" s="56">
        <f>SUMIFS(tblActuals3541519[Team 2 Goals],tblActuals3541519[Team 2],$CU23,tblActuals3541519[Team 1],FX$3)+SUMIFS(tblActuals3541519[Team 1 Goals],tblActuals3541519[Team 1],$CU23,tblActuals3541519[Team 2],FX$3)</f>
        <v>0</v>
      </c>
      <c r="FY23" s="56">
        <f>SUMIFS(tblActuals3541519[Team 2 Goals],tblActuals3541519[Team 2],$CU23,tblActuals3541519[Team 1],FY$3)+SUMIFS(tblActuals3541519[Team 1 Goals],tblActuals3541519[Team 1],$CU23,tblActuals3541519[Team 2],FY$3)</f>
        <v>0</v>
      </c>
      <c r="FZ23" s="56">
        <f>SUMIFS(tblActuals3541519[Team 2 Goals],tblActuals3541519[Team 2],$CU23,tblActuals3541519[Team 1],FZ$3)+SUMIFS(tblActuals3541519[Team 1 Goals],tblActuals3541519[Team 1],$CU23,tblActuals3541519[Team 2],FZ$3)</f>
        <v>0</v>
      </c>
      <c r="GA23" s="56">
        <f>SUMIFS(tblActuals3541519[Team 2 Goals],tblActuals3541519[Team 2],$CU23,tblActuals3541519[Team 1],GA$3)+SUMIFS(tblActuals3541519[Team 1 Goals],tblActuals3541519[Team 1],$CU23,tblActuals3541519[Team 2],GA$3)</f>
        <v>0</v>
      </c>
      <c r="GB23" s="56">
        <f>SUMIFS(tblActuals3541519[Team 2 Goals],tblActuals3541519[Team 2],$CU23,tblActuals3541519[Team 1],GB$3)+SUMIFS(tblActuals3541519[Team 1 Goals],tblActuals3541519[Team 1],$CU23,tblActuals3541519[Team 2],GB$3)</f>
        <v>0</v>
      </c>
      <c r="GC23" s="56">
        <f>SUMIFS(tblActuals3541519[Team 2 Goals],tblActuals3541519[Team 2],$CU23,tblActuals3541519[Team 1],GC$3)+SUMIFS(tblActuals3541519[Team 1 Goals],tblActuals3541519[Team 1],$CU23,tblActuals3541519[Team 2],GC$3)</f>
        <v>0</v>
      </c>
      <c r="GD23" s="56">
        <f>SUMIFS(tblActuals3541519[Team 2 Goals],tblActuals3541519[Team 2],$CU23,tblActuals3541519[Team 1],GD$3)+SUMIFS(tblActuals3541519[Team 1 Goals],tblActuals3541519[Team 1],$CU23,tblActuals3541519[Team 2],GD$3)</f>
        <v>0</v>
      </c>
      <c r="GE23" s="56">
        <f>SUMIFS(tblActuals3541519[Team 2 Goals],tblActuals3541519[Team 2],$CU23,tblActuals3541519[Team 1],GE$3)+SUMIFS(tblActuals3541519[Team 1 Goals],tblActuals3541519[Team 1],$CU23,tblActuals3541519[Team 2],GE$3)</f>
        <v>0</v>
      </c>
      <c r="GF23" s="56">
        <f>SUMIFS(tblActuals3541519[Team 2 Goals],tblActuals3541519[Team 2],$CU23,tblActuals3541519[Team 1],GF$3)+SUMIFS(tblActuals3541519[Team 1 Goals],tblActuals3541519[Team 1],$CU23,tblActuals3541519[Team 2],GF$3)</f>
        <v>0</v>
      </c>
      <c r="GG23" s="56">
        <f>SUMIFS(tblActuals3541519[Team 2 Goals],tblActuals3541519[Team 2],$CU23,tblActuals3541519[Team 1],GG$3)+SUMIFS(tblActuals3541519[Team 1 Goals],tblActuals3541519[Team 1],$CU23,tblActuals3541519[Team 2],GG$3)</f>
        <v>0</v>
      </c>
      <c r="GH23" s="56">
        <f>SUMIFS(tblActuals3541519[Team 2 Goals],tblActuals3541519[Team 2],$CU23,tblActuals3541519[Team 1],GH$3)+SUMIFS(tblActuals3541519[Team 1 Goals],tblActuals3541519[Team 1],$CU23,tblActuals3541519[Team 2],GH$3)</f>
        <v>0</v>
      </c>
      <c r="GI23" s="56">
        <f>SUMIFS(tblActuals3541519[Team 2 Goals],tblActuals3541519[Team 2],$CU23,tblActuals3541519[Team 1],GI$3)+SUMIFS(tblActuals3541519[Team 1 Goals],tblActuals3541519[Team 1],$CU23,tblActuals3541519[Team 2],GI$3)</f>
        <v>0</v>
      </c>
      <c r="GJ23" s="57"/>
      <c r="GK23" s="57"/>
      <c r="GL23" s="37"/>
      <c r="GM23" s="37"/>
      <c r="GN23" s="37"/>
      <c r="GO23" s="37"/>
      <c r="GP23" s="37"/>
      <c r="GQ23" s="37"/>
      <c r="GR23" s="75"/>
      <c r="GS23" s="148"/>
      <c r="GT23" s="158"/>
      <c r="GU23" s="75"/>
      <c r="GV23" s="75"/>
      <c r="GW23" s="75"/>
      <c r="GX23" s="75"/>
      <c r="GY23" s="75"/>
      <c r="GZ23" s="75"/>
    </row>
    <row r="24" spans="1:221" s="11" customFormat="1" ht="30" customHeight="1" x14ac:dyDescent="0.25">
      <c r="A24" s="20"/>
      <c r="B24" s="122">
        <v>21</v>
      </c>
      <c r="C24" s="122" t="s">
        <v>12</v>
      </c>
      <c r="D24" s="123">
        <v>45464</v>
      </c>
      <c r="E24" s="122" t="s">
        <v>85</v>
      </c>
      <c r="F24" s="124">
        <v>0.625</v>
      </c>
      <c r="G24" s="125">
        <f t="shared" si="11"/>
        <v>45464.375</v>
      </c>
      <c r="H24" s="122" t="s">
        <v>109</v>
      </c>
      <c r="I24" s="126"/>
      <c r="J24" s="118"/>
      <c r="K24" s="118"/>
      <c r="L24" s="174">
        <f>IF(I24="",0,IFERROR(IF(SCORING.RULES!$C$8="No",1,((VLOOKUP($B24,ACTUALS!$B$4:$L$100,7,FALSE)=$H24)+(VLOOKUP($B24,ACTUALS!$B$4:$L$100,7,FALSE)=S24)))*(M24+N24+O24+P24+Q24),0))+$R24</f>
        <v>0</v>
      </c>
      <c r="M24" s="168">
        <f>IFERROR(IF($B24="","",IF(U24=INDEX(ACTUALS!$AA$4:$AA$100,MATCH($B24,ACTUALS!$B$4:$B$100,0),1),CorrectScore,0)),0)</f>
        <v>0</v>
      </c>
      <c r="N24" s="157" t="str">
        <f>IFERROR(IF(I24="","",IF(INDEX(ACTUALS!$AB$4:$AB$100,MATCH($B24,ACTUALS!$B$4:$B$100,0),1)=(AB24+AC24+AH24+AI24),CorrectNumberofGoals,0)),0)</f>
        <v/>
      </c>
      <c r="O24" s="157"/>
      <c r="P24" s="157">
        <f>IFERROR(IF(B24="","",IF(INDEX(ACTUALS!$L$4:$L$100,MATCH($B24,ACTUALS!$B$4:$B$100,0),1)=W24,CorrectResult,0)),0)</f>
        <v>3</v>
      </c>
      <c r="Q24" s="157"/>
      <c r="R24" s="157"/>
      <c r="S24" s="157" t="str">
        <f t="shared" si="0"/>
        <v/>
      </c>
      <c r="T24" s="157"/>
      <c r="U24" s="157" t="str">
        <f t="shared" si="1"/>
        <v/>
      </c>
      <c r="V24" s="157" t="str">
        <f t="shared" si="2"/>
        <v/>
      </c>
      <c r="W24" s="119" t="str">
        <f>IF(tblActuals3541519[[#This Row],[SCORE]]="","",IF(AB24=AC24,"Draw",IF(AB24&gt;AC24,X24,Y24)))</f>
        <v/>
      </c>
      <c r="X24" s="120" t="str">
        <f>IF(tblActuals3541519[[#This Row],[TEAMS]]="","",LEFT(H24,FIND(" -",H24,1)-1))</f>
        <v>Slovakia</v>
      </c>
      <c r="Y24" s="120" t="str">
        <f>IF(tblActuals3541519[[#This Row],[TEAMS]]="","",MID(H24,FIND("-",H24,1)+2,LEN(H24)-FIND("-",H24,1)+2))</f>
        <v>Ukraine</v>
      </c>
      <c r="Z24" s="120" t="str">
        <f>IF(tblActuals3541519[[#This Row],[Team 1 Goals]]&gt;tblActuals3541519[[#This Row],[Team 2 Goals]],tblActuals3541519[[#This Row],[Team 1]],IF(tblActuals3541519[[#This Row],[Team 2 Goals]]&gt;tblActuals3541519[[#This Row],[Team 1 Goals]],tblActuals3541519[[#This Row],[Team 2]],""))</f>
        <v/>
      </c>
      <c r="AA24" s="120" t="str">
        <f>IF(tblActuals3541519[[#This Row],[Winner]]=tblActuals3541519[[#This Row],[Team 1]],tblActuals3541519[[#This Row],[Team 2]],IF(tblActuals3541519[[#This Row],[Winner]]=tblActuals3541519[[#This Row],[Team 2]],tblActuals3541519[[#This Row],[Team 1]],""))</f>
        <v/>
      </c>
      <c r="AB24" s="120" t="str">
        <f>IF(tblActuals3541519[[#This Row],[SCORE]]="","",LEFT(I24,FIND(":",I24,1)-1)*1)</f>
        <v/>
      </c>
      <c r="AC24" s="120" t="str">
        <f>IF(tblActuals3541519[[#This Row],[SCORE]]="","",MID(I24,FIND(":",I24,1)+1,LEN(I24)-FIND(":",I24,1)+1)*1)</f>
        <v/>
      </c>
      <c r="AD24" s="120" t="str">
        <f>IF(OR(tblActuals3541519[[#This Row],[Team 1 Goals]]="",tblActuals3541519[[#This Row],[Team 2 Goals]]=""),"",tblActuals3541519[[#This Row],[Team 1 Goals]]-tblActuals3541519[[#This Row],[Team 2 Goals]])</f>
        <v/>
      </c>
      <c r="AE24" s="120" t="str">
        <f>IF(OR(tblActuals3541519[[#This Row],[Team 1 Goals]]="",tblActuals3541519[[#This Row],[Team 2 Goals]]=""),"",tblActuals3541519[[#This Row],[Team 2 Goals]]-tblActuals3541519[[#This Row],[Team 1 Goals]])</f>
        <v/>
      </c>
      <c r="AF24" s="120" t="str">
        <f>IF(tblActuals3541519[[#This Row],[SCORE]]="","",IF(tblActuals3541519[[#This Row],[WINNER / RESULT]]="Draw",1,IF(tblActuals3541519[[#This Row],[WINNER / RESULT]]=tblActuals3541519[[#This Row],[Team 1]],3,0)))</f>
        <v/>
      </c>
      <c r="AG24" s="120" t="str">
        <f>IF(tblActuals3541519[[#This Row],[SCORE]]="","",IF(tblActuals3541519[[#This Row],[WINNER / RESULT]]="Draw",1,IF(tblActuals3541519[[#This Row],[WINNER / RESULT]]=tblActuals3541519[[#This Row],[Team 2]],3,0)))</f>
        <v/>
      </c>
      <c r="AH24" s="121"/>
      <c r="AI24" s="121"/>
      <c r="AJ24" s="121"/>
      <c r="AK24" s="121"/>
      <c r="AL24" s="120" t="e">
        <f>tblActuals3541519[[#This Row],[Team 1 Goals]]+tblActuals3541519[[#This Row],[Team 1 ET Goals]]&amp;":"&amp;tblActuals3541519[[#This Row],[Team 2 Goals]]+tblActuals3541519[[#This Row],[Team 2 ET Goals]]</f>
        <v>#VALUE!</v>
      </c>
      <c r="AM24" s="120" t="e">
        <f>+tblActuals3541519[[#This Row],[Team 1 Goals]]+tblActuals3541519[[#This Row],[Team 2 Goals]]</f>
        <v>#VALUE!</v>
      </c>
      <c r="AN24" s="161">
        <f t="shared" si="3"/>
        <v>45464</v>
      </c>
      <c r="AT24" s="77" t="s">
        <v>7</v>
      </c>
      <c r="AU24" s="136">
        <v>1</v>
      </c>
      <c r="AV24" s="137" t="str">
        <f ca="1">IFERROR(INDEX(BD:BD,MATCH("1"&amp;AT24,BN:BN,0),1),"")</f>
        <v>Austria</v>
      </c>
      <c r="AW24" s="137" t="str">
        <f ca="1">IF(AV24="","",VLOOKUP(AV24,BD:BI,2,FALSE)&amp;"-"&amp;VLOOKUP(AV24,BD:BI,3,FALSE)&amp;"-"&amp;VLOOKUP(AV24,BD:BI,4,FALSE))</f>
        <v>0-0-0</v>
      </c>
      <c r="AX24" s="137">
        <f ca="1">IF(AV24="","",VLOOKUP(AV24,BD:BK,8,FALSE))</f>
        <v>0</v>
      </c>
      <c r="AY24" s="138">
        <f ca="1">IF(AV24="","",VLOOKUP(AV24,BD:BN,5,FALSE))</f>
        <v>0</v>
      </c>
      <c r="AZ24" s="75"/>
      <c r="BA24" s="4"/>
      <c r="BB24" s="4"/>
      <c r="BC24" s="4" t="s">
        <v>12</v>
      </c>
      <c r="BD24" s="4" t="s">
        <v>29</v>
      </c>
      <c r="BE24" s="4">
        <f>COUNTIF(tblActuals3541519[Winner],BD24)</f>
        <v>0</v>
      </c>
      <c r="BF24" s="4">
        <f>COUNTIFS(tblActuals3541519[Team 2],BD24,tblActuals3541519[WINNER / RESULT],"Draw")+COUNTIFS(tblActuals3541519[Team 1],BD24,tblActuals3541519[WINNER / RESULT],"Draw")</f>
        <v>0</v>
      </c>
      <c r="BG24" s="4">
        <f>COUNTIF(tblActuals3541519[Loser],BD24)</f>
        <v>0</v>
      </c>
      <c r="BH24" s="4">
        <f>BF24+(3*BE24)</f>
        <v>0</v>
      </c>
      <c r="BI24" s="4">
        <f>SUMIFS(tblActuals3541519[Team 1 Goals],tblActuals3541519[Team 1],BD24)+SUMIFS(tblActuals3541519[Team 2 Goals],tblActuals3541519[Team 2],BD24)</f>
        <v>0</v>
      </c>
      <c r="BJ24" s="4">
        <f>SUMIFS(tblActuals3541519[Team 2 Goals],tblActuals3541519[Team 1],BD24)+SUMIFS(tblActuals3541519[Team 1 Goals],tblActuals3541519[Team 2],BD24)</f>
        <v>0</v>
      </c>
      <c r="BK24" s="4">
        <f>BI24-BJ24</f>
        <v>0</v>
      </c>
      <c r="BL24" s="4">
        <f ca="1">RANK(BY24,$BY$24:$BY$27,1)</f>
        <v>1</v>
      </c>
      <c r="BM24" s="4" t="str">
        <f t="shared" si="4"/>
        <v/>
      </c>
      <c r="BN24" s="4" t="str">
        <f ca="1">IF(BM24="",BL24&amp;BC24,BM24&amp;BC24)</f>
        <v>1E</v>
      </c>
      <c r="BO24" s="4">
        <f>RANK(BH24,$BH$24:$BH$27,0)</f>
        <v>1</v>
      </c>
      <c r="BP24" s="4" cm="1">
        <f t="array" aca="1" ref="BP24" ca="1">SUMPRODUCT((OFFSET($CV$3:$EA$3,MATCH($BD24,$CU$4:$CU$35,0),0))*((IF($BO26=$BO24,$CV$3:$EA$3=$BD26,0))+(IF($BO27=$BO24,$CV$3:$EA$3=$BD27,0))+(IF($BO25=$BO24,$CV$3:$EA$3=$BD25,0))))</f>
        <v>0</v>
      </c>
      <c r="BQ24" s="4" cm="1">
        <f t="array" aca="1" ref="BQ24" ca="1">SUMPRODUCT((OFFSET($ED$3:$FI$3,MATCH($BD24,$EC$4:$EC$35,0),0))*((IF($BO26=$BO24,$ED$3:$FI$3=$BD26,0))+(IF($BO27=$BO24,$ED$3:$FI$3=$BD27,0))+(IF($BO25=$BO24,$ED$3:$FI$3=$BD25,0))))</f>
        <v>0</v>
      </c>
      <c r="BR24" s="4" cm="1">
        <f t="array" aca="1" ref="BR24" ca="1">SUMPRODUCT((OFFSET($FL$3:$GQ$3,MATCH($BD24,$FK$4:$FK$35,0),0))*((IF($BO26=$BO24,$FL$3:$GQ$3=$BD26,0))+(IF($BO27=$BO24,$FL$3:$GQ$3=$BD27,0))+(IF($BO25=$BO24,$FL$3:$GQ$3=$BD25,0))))</f>
        <v>0</v>
      </c>
      <c r="BS24" s="4" cm="1">
        <f t="array" aca="1" ref="BS24" ca="1">SUMPRODUCT((OFFSET($CV$3:$EA$3,MATCH($BD24,$CU$4:$CU$35,0),0))*((IF($BO26&lt;&gt;$BO24,$CV$3:$EA$3=$BD26,0))+(IF($BO27&lt;&gt;$BO24,$CV$3:$EA$3=$BD27,0))+(IF($BO25&lt;&gt;$BO24,$CV$3:$EA$3=$BD25,0))))</f>
        <v>0</v>
      </c>
      <c r="BT24" s="4" cm="1">
        <f t="array" aca="1" ref="BT24" ca="1">SUMPRODUCT((OFFSET($ED$3:$FI$3,MATCH($BD24,$EC$4:$EC$35,0),0))*((IF($BO26&lt;&gt;$BO24,$ED$3:$FI$3=$BD26,0))+(IF($BO27&lt;&gt;$BO24,$ED$3:$FI$3=$BD27,0))+(IF($BO25&lt;&gt;$BO24,$ED$3:$FI$3=$BD25,0))))</f>
        <v>0</v>
      </c>
      <c r="BU24" s="4" cm="1">
        <f t="array" aca="1" ref="BU24" ca="1">SUMPRODUCT((OFFSET($FL$3:$GQ$3,MATCH($BD24,$FK$4:$FK$35,0),0))*((IF($BO26&lt;&gt;$BO24,$FL$3:$GQ$3=$BD26,0))+(IF($BO27&lt;&gt;$BO24,$FL$3:$GQ$3=$BD27,0))+(IF($BO25&lt;&gt;$BO24,$FL$3:$GQ$3=$BD25,0))))</f>
        <v>0</v>
      </c>
      <c r="BV24" s="4">
        <f>BK24</f>
        <v>0</v>
      </c>
      <c r="BW24" s="4">
        <f>BI24</f>
        <v>0</v>
      </c>
      <c r="BX24" s="4">
        <f ca="1">(BP24/10)+(BQ24/100)+(BR24/1000)+(BT24/10000)+(BU24/100000)+(BV24/1000000)+(BW24/10000000)+(ROW(BS27)/100000000)</f>
        <v>2.7000000000000001E-7</v>
      </c>
      <c r="BY24" s="4">
        <f ca="1">+BO24-BX24</f>
        <v>0.99999972999999998</v>
      </c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U24" s="4" t="s">
        <v>133</v>
      </c>
      <c r="CV24" s="56">
        <f>SUMIFS(tblActuals3541519[Team 2 Points],tblActuals3541519[Team 2],$CU24,tblActuals3541519[Team 1],CV$3)+SUMIFS(tblActuals3541519[Team 1 Points],tblActuals3541519[Team 1],$CU24,tblActuals3541519[Team 2],CV$3)</f>
        <v>0</v>
      </c>
      <c r="CW24" s="56">
        <f>SUMIFS(tblActuals3541519[Team 2 Points],tblActuals3541519[Team 2],$CU24,tblActuals3541519[Team 1],CW$3)+SUMIFS(tblActuals3541519[Team 1 Points],tblActuals3541519[Team 1],$CU24,tblActuals3541519[Team 2],CW$3)</f>
        <v>0</v>
      </c>
      <c r="CX24" s="56">
        <f>SUMIFS(tblActuals3541519[Team 2 Points],tblActuals3541519[Team 2],$CU24,tblActuals3541519[Team 1],CX$3)+SUMIFS(tblActuals3541519[Team 1 Points],tblActuals3541519[Team 1],$CU24,tblActuals3541519[Team 2],CX$3)</f>
        <v>0</v>
      </c>
      <c r="CY24" s="56">
        <f>SUMIFS(tblActuals3541519[Team 2 Points],tblActuals3541519[Team 2],$CU24,tblActuals3541519[Team 1],CY$3)+SUMIFS(tblActuals3541519[Team 1 Points],tblActuals3541519[Team 1],$CU24,tblActuals3541519[Team 2],CY$3)</f>
        <v>0</v>
      </c>
      <c r="CZ24" s="56">
        <f>SUMIFS(tblActuals3541519[Team 2 Points],tblActuals3541519[Team 2],$CU24,tblActuals3541519[Team 1],CZ$3)+SUMIFS(tblActuals3541519[Team 1 Points],tblActuals3541519[Team 1],$CU24,tblActuals3541519[Team 2],CZ$3)</f>
        <v>0</v>
      </c>
      <c r="DA24" s="56">
        <f>SUMIFS(tblActuals3541519[Team 2 Points],tblActuals3541519[Team 2],$CU24,tblActuals3541519[Team 1],DA$3)+SUMIFS(tblActuals3541519[Team 1 Points],tblActuals3541519[Team 1],$CU24,tblActuals3541519[Team 2],DA$3)</f>
        <v>0</v>
      </c>
      <c r="DB24" s="56">
        <f>SUMIFS(tblActuals3541519[Team 2 Points],tblActuals3541519[Team 2],$CU24,tblActuals3541519[Team 1],DB$3)+SUMIFS(tblActuals3541519[Team 1 Points],tblActuals3541519[Team 1],$CU24,tblActuals3541519[Team 2],DB$3)</f>
        <v>0</v>
      </c>
      <c r="DC24" s="56">
        <f>SUMIFS(tblActuals3541519[Team 2 Points],tblActuals3541519[Team 2],$CU24,tblActuals3541519[Team 1],DC$3)+SUMIFS(tblActuals3541519[Team 1 Points],tblActuals3541519[Team 1],$CU24,tblActuals3541519[Team 2],DC$3)</f>
        <v>0</v>
      </c>
      <c r="DD24" s="56">
        <f>SUMIFS(tblActuals3541519[Team 2 Points],tblActuals3541519[Team 2],$CU24,tblActuals3541519[Team 1],DD$3)+SUMIFS(tblActuals3541519[Team 1 Points],tblActuals3541519[Team 1],$CU24,tblActuals3541519[Team 2],DD$3)</f>
        <v>0</v>
      </c>
      <c r="DE24" s="56">
        <f>SUMIFS(tblActuals3541519[Team 2 Points],tblActuals3541519[Team 2],$CU24,tblActuals3541519[Team 1],DE$3)+SUMIFS(tblActuals3541519[Team 1 Points],tblActuals3541519[Team 1],$CU24,tblActuals3541519[Team 2],DE$3)</f>
        <v>0</v>
      </c>
      <c r="DF24" s="56">
        <f>SUMIFS(tblActuals3541519[Team 2 Points],tblActuals3541519[Team 2],$CU24,tblActuals3541519[Team 1],DF$3)+SUMIFS(tblActuals3541519[Team 1 Points],tblActuals3541519[Team 1],$CU24,tblActuals3541519[Team 2],DF$3)</f>
        <v>0</v>
      </c>
      <c r="DG24" s="56">
        <f>SUMIFS(tblActuals3541519[Team 2 Points],tblActuals3541519[Team 2],$CU24,tblActuals3541519[Team 1],DG$3)+SUMIFS(tblActuals3541519[Team 1 Points],tblActuals3541519[Team 1],$CU24,tblActuals3541519[Team 2],DG$3)</f>
        <v>0</v>
      </c>
      <c r="DH24" s="56">
        <f>SUMIFS(tblActuals3541519[Team 2 Points],tblActuals3541519[Team 2],$CU24,tblActuals3541519[Team 1],DH$3)+SUMIFS(tblActuals3541519[Team 1 Points],tblActuals3541519[Team 1],$CU24,tblActuals3541519[Team 2],DH$3)</f>
        <v>0</v>
      </c>
      <c r="DI24" s="56">
        <f>SUMIFS(tblActuals3541519[Team 2 Points],tblActuals3541519[Team 2],$CU24,tblActuals3541519[Team 1],DI$3)+SUMIFS(tblActuals3541519[Team 1 Points],tblActuals3541519[Team 1],$CU24,tblActuals3541519[Team 2],DI$3)</f>
        <v>0</v>
      </c>
      <c r="DJ24" s="56">
        <f>SUMIFS(tblActuals3541519[Team 2 Points],tblActuals3541519[Team 2],$CU24,tblActuals3541519[Team 1],DJ$3)+SUMIFS(tblActuals3541519[Team 1 Points],tblActuals3541519[Team 1],$CU24,tblActuals3541519[Team 2],DJ$3)</f>
        <v>0</v>
      </c>
      <c r="DK24" s="56">
        <f>SUMIFS(tblActuals3541519[Team 2 Points],tblActuals3541519[Team 2],$CU24,tblActuals3541519[Team 1],DK$3)+SUMIFS(tblActuals3541519[Team 1 Points],tblActuals3541519[Team 1],$CU24,tblActuals3541519[Team 2],DK$3)</f>
        <v>0</v>
      </c>
      <c r="DL24" s="56">
        <f>SUMIFS(tblActuals3541519[Team 2 Points],tblActuals3541519[Team 2],$CU24,tblActuals3541519[Team 1],DL$3)+SUMIFS(tblActuals3541519[Team 1 Points],tblActuals3541519[Team 1],$CU24,tblActuals3541519[Team 2],DL$3)</f>
        <v>0</v>
      </c>
      <c r="DM24" s="56">
        <f>SUMIFS(tblActuals3541519[Team 2 Points],tblActuals3541519[Team 2],$CU24,tblActuals3541519[Team 1],DM$3)+SUMIFS(tblActuals3541519[Team 1 Points],tblActuals3541519[Team 1],$CU24,tblActuals3541519[Team 2],DM$3)</f>
        <v>0</v>
      </c>
      <c r="DN24" s="56">
        <f>SUMIFS(tblActuals3541519[Team 2 Points],tblActuals3541519[Team 2],$CU24,tblActuals3541519[Team 1],DN$3)+SUMIFS(tblActuals3541519[Team 1 Points],tblActuals3541519[Team 1],$CU24,tblActuals3541519[Team 2],DN$3)</f>
        <v>0</v>
      </c>
      <c r="DO24" s="56">
        <f>SUMIFS(tblActuals3541519[Team 2 Points],tblActuals3541519[Team 2],$CU24,tblActuals3541519[Team 1],DO$3)+SUMIFS(tblActuals3541519[Team 1 Points],tblActuals3541519[Team 1],$CU24,tblActuals3541519[Team 2],DO$3)</f>
        <v>0</v>
      </c>
      <c r="DP24" s="56">
        <f>SUMIFS(tblActuals3541519[Team 2 Points],tblActuals3541519[Team 2],$CU24,tblActuals3541519[Team 1],DP$3)+SUMIFS(tblActuals3541519[Team 1 Points],tblActuals3541519[Team 1],$CU24,tblActuals3541519[Team 2],DP$3)</f>
        <v>0</v>
      </c>
      <c r="DQ24" s="56">
        <f>SUMIFS(tblActuals3541519[Team 2 Points],tblActuals3541519[Team 2],$CU24,tblActuals3541519[Team 1],DQ$3)+SUMIFS(tblActuals3541519[Team 1 Points],tblActuals3541519[Team 1],$CU24,tblActuals3541519[Team 2],DQ$3)</f>
        <v>0</v>
      </c>
      <c r="DR24" s="56">
        <f>SUMIFS(tblActuals3541519[Team 2 Points],tblActuals3541519[Team 2],$CU24,tblActuals3541519[Team 1],DR$3)+SUMIFS(tblActuals3541519[Team 1 Points],tblActuals3541519[Team 1],$CU24,tblActuals3541519[Team 2],DR$3)</f>
        <v>0</v>
      </c>
      <c r="DS24" s="56">
        <f>SUMIFS(tblActuals3541519[Team 2 Points],tblActuals3541519[Team 2],$CU24,tblActuals3541519[Team 1],DS$3)+SUMIFS(tblActuals3541519[Team 1 Points],tblActuals3541519[Team 1],$CU24,tblActuals3541519[Team 2],DS$3)</f>
        <v>0</v>
      </c>
      <c r="DT24" s="57"/>
      <c r="DU24" s="57"/>
      <c r="DV24" s="57"/>
      <c r="DW24" s="57"/>
      <c r="DX24" s="57"/>
      <c r="DY24" s="57"/>
      <c r="DZ24" s="57"/>
      <c r="EA24" s="57"/>
      <c r="EB24" s="4"/>
      <c r="EC24" s="4" t="s">
        <v>133</v>
      </c>
      <c r="ED24" s="56">
        <f>SUMIFS(tblActuals3541519[Team 2 GD],tblActuals3541519[Team 2],$CU24,tblActuals3541519[Team 1],ED$3)+SUMIFS(tblActuals3541519[Team 1 GD],tblActuals3541519[Team 1],$CU24,tblActuals3541519[Team 2],ED$3)</f>
        <v>0</v>
      </c>
      <c r="EE24" s="56">
        <f>SUMIFS(tblActuals3541519[Team 2 GD],tblActuals3541519[Team 2],$CU24,tblActuals3541519[Team 1],EE$3)+SUMIFS(tblActuals3541519[Team 1 GD],tblActuals3541519[Team 1],$CU24,tblActuals3541519[Team 2],EE$3)</f>
        <v>0</v>
      </c>
      <c r="EF24" s="56">
        <f>SUMIFS(tblActuals3541519[Team 2 GD],tblActuals3541519[Team 2],$CU24,tblActuals3541519[Team 1],EF$3)+SUMIFS(tblActuals3541519[Team 1 GD],tblActuals3541519[Team 1],$CU24,tblActuals3541519[Team 2],EF$3)</f>
        <v>0</v>
      </c>
      <c r="EG24" s="56">
        <f>SUMIFS(tblActuals3541519[Team 2 GD],tblActuals3541519[Team 2],$CU24,tblActuals3541519[Team 1],EG$3)+SUMIFS(tblActuals3541519[Team 1 GD],tblActuals3541519[Team 1],$CU24,tblActuals3541519[Team 2],EG$3)</f>
        <v>0</v>
      </c>
      <c r="EH24" s="56">
        <f>SUMIFS(tblActuals3541519[Team 2 GD],tblActuals3541519[Team 2],$CU24,tblActuals3541519[Team 1],EH$3)+SUMIFS(tblActuals3541519[Team 1 GD],tblActuals3541519[Team 1],$CU24,tblActuals3541519[Team 2],EH$3)</f>
        <v>0</v>
      </c>
      <c r="EI24" s="56">
        <f>SUMIFS(tblActuals3541519[Team 2 GD],tblActuals3541519[Team 2],$CU24,tblActuals3541519[Team 1],EI$3)+SUMIFS(tblActuals3541519[Team 1 GD],tblActuals3541519[Team 1],$CU24,tblActuals3541519[Team 2],EI$3)</f>
        <v>0</v>
      </c>
      <c r="EJ24" s="56">
        <f>SUMIFS(tblActuals3541519[Team 2 GD],tblActuals3541519[Team 2],$CU24,tblActuals3541519[Team 1],EJ$3)+SUMIFS(tblActuals3541519[Team 1 GD],tblActuals3541519[Team 1],$CU24,tblActuals3541519[Team 2],EJ$3)</f>
        <v>0</v>
      </c>
      <c r="EK24" s="56">
        <f>SUMIFS(tblActuals3541519[Team 2 GD],tblActuals3541519[Team 2],$CU24,tblActuals3541519[Team 1],EK$3)+SUMIFS(tblActuals3541519[Team 1 GD],tblActuals3541519[Team 1],$CU24,tblActuals3541519[Team 2],EK$3)</f>
        <v>0</v>
      </c>
      <c r="EL24" s="56">
        <f>SUMIFS(tblActuals3541519[Team 2 GD],tblActuals3541519[Team 2],$CU24,tblActuals3541519[Team 1],EL$3)+SUMIFS(tblActuals3541519[Team 1 GD],tblActuals3541519[Team 1],$CU24,tblActuals3541519[Team 2],EL$3)</f>
        <v>0</v>
      </c>
      <c r="EM24" s="56">
        <f>SUMIFS(tblActuals3541519[Team 2 GD],tblActuals3541519[Team 2],$CU24,tblActuals3541519[Team 1],EM$3)+SUMIFS(tblActuals3541519[Team 1 GD],tblActuals3541519[Team 1],$CU24,tblActuals3541519[Team 2],EM$3)</f>
        <v>0</v>
      </c>
      <c r="EN24" s="56">
        <f>SUMIFS(tblActuals3541519[Team 2 GD],tblActuals3541519[Team 2],$CU24,tblActuals3541519[Team 1],EN$3)+SUMIFS(tblActuals3541519[Team 1 GD],tblActuals3541519[Team 1],$CU24,tblActuals3541519[Team 2],EN$3)</f>
        <v>0</v>
      </c>
      <c r="EO24" s="56">
        <f>SUMIFS(tblActuals3541519[Team 2 GD],tblActuals3541519[Team 2],$CU24,tblActuals3541519[Team 1],EO$3)+SUMIFS(tblActuals3541519[Team 1 GD],tblActuals3541519[Team 1],$CU24,tblActuals3541519[Team 2],EO$3)</f>
        <v>0</v>
      </c>
      <c r="EP24" s="56">
        <f>SUMIFS(tblActuals3541519[Team 2 GD],tblActuals3541519[Team 2],$CU24,tblActuals3541519[Team 1],EP$3)+SUMIFS(tblActuals3541519[Team 1 GD],tblActuals3541519[Team 1],$CU24,tblActuals3541519[Team 2],EP$3)</f>
        <v>0</v>
      </c>
      <c r="EQ24" s="56">
        <f>SUMIFS(tblActuals3541519[Team 2 GD],tblActuals3541519[Team 2],$CU24,tblActuals3541519[Team 1],EQ$3)+SUMIFS(tblActuals3541519[Team 1 GD],tblActuals3541519[Team 1],$CU24,tblActuals3541519[Team 2],EQ$3)</f>
        <v>0</v>
      </c>
      <c r="ER24" s="56">
        <f>SUMIFS(tblActuals3541519[Team 2 GD],tblActuals3541519[Team 2],$CU24,tblActuals3541519[Team 1],ER$3)+SUMIFS(tblActuals3541519[Team 1 GD],tblActuals3541519[Team 1],$CU24,tblActuals3541519[Team 2],ER$3)</f>
        <v>0</v>
      </c>
      <c r="ES24" s="56">
        <f>SUMIFS(tblActuals3541519[Team 2 GD],tblActuals3541519[Team 2],$CU24,tblActuals3541519[Team 1],ES$3)+SUMIFS(tblActuals3541519[Team 1 GD],tblActuals3541519[Team 1],$CU24,tblActuals3541519[Team 2],ES$3)</f>
        <v>0</v>
      </c>
      <c r="ET24" s="56">
        <f>SUMIFS(tblActuals3541519[Team 2 GD],tblActuals3541519[Team 2],$CU24,tblActuals3541519[Team 1],ET$3)+SUMIFS(tblActuals3541519[Team 1 GD],tblActuals3541519[Team 1],$CU24,tblActuals3541519[Team 2],ET$3)</f>
        <v>0</v>
      </c>
      <c r="EU24" s="56">
        <f>SUMIFS(tblActuals3541519[Team 2 GD],tblActuals3541519[Team 2],$CU24,tblActuals3541519[Team 1],EU$3)+SUMIFS(tblActuals3541519[Team 1 GD],tblActuals3541519[Team 1],$CU24,tblActuals3541519[Team 2],EU$3)</f>
        <v>0</v>
      </c>
      <c r="EV24" s="56">
        <f>SUMIFS(tblActuals3541519[Team 2 GD],tblActuals3541519[Team 2],$CU24,tblActuals3541519[Team 1],EV$3)+SUMIFS(tblActuals3541519[Team 1 GD],tblActuals3541519[Team 1],$CU24,tblActuals3541519[Team 2],EV$3)</f>
        <v>0</v>
      </c>
      <c r="EW24" s="56">
        <f>SUMIFS(tblActuals3541519[Team 2 GD],tblActuals3541519[Team 2],$CU24,tblActuals3541519[Team 1],EW$3)+SUMIFS(tblActuals3541519[Team 1 GD],tblActuals3541519[Team 1],$CU24,tblActuals3541519[Team 2],EW$3)</f>
        <v>0</v>
      </c>
      <c r="EX24" s="56">
        <f>SUMIFS(tblActuals3541519[Team 2 GD],tblActuals3541519[Team 2],$CU24,tblActuals3541519[Team 1],EX$3)+SUMIFS(tblActuals3541519[Team 1 GD],tblActuals3541519[Team 1],$CU24,tblActuals3541519[Team 2],EX$3)</f>
        <v>0</v>
      </c>
      <c r="EY24" s="56">
        <f>SUMIFS(tblActuals3541519[Team 2 GD],tblActuals3541519[Team 2],$CU24,tblActuals3541519[Team 1],EY$3)+SUMIFS(tblActuals3541519[Team 1 GD],tblActuals3541519[Team 1],$CU24,tblActuals3541519[Team 2],EY$3)</f>
        <v>0</v>
      </c>
      <c r="EZ24" s="56">
        <f>SUMIFS(tblActuals3541519[Team 2 GD],tblActuals3541519[Team 2],$CU24,tblActuals3541519[Team 1],EZ$3)+SUMIFS(tblActuals3541519[Team 1 GD],tblActuals3541519[Team 1],$CU24,tblActuals3541519[Team 2],EZ$3)</f>
        <v>0</v>
      </c>
      <c r="FA24" s="56">
        <f>SUMIFS(tblActuals3541519[Team 2 GD],tblActuals3541519[Team 2],$CU24,tblActuals3541519[Team 1],FA$3)+SUMIFS(tblActuals3541519[Team 1 GD],tblActuals3541519[Team 1],$CU24,tblActuals3541519[Team 2],FA$3)</f>
        <v>0</v>
      </c>
      <c r="FB24" s="57"/>
      <c r="FC24" s="57"/>
      <c r="FD24" s="57"/>
      <c r="FE24" s="57"/>
      <c r="FF24" s="57"/>
      <c r="FG24" s="57"/>
      <c r="FH24" s="57"/>
      <c r="FI24" s="57"/>
      <c r="FJ24" s="4"/>
      <c r="FK24" s="4" t="s">
        <v>133</v>
      </c>
      <c r="FL24" s="56">
        <f>SUMIFS(tblActuals3541519[Team 2 Goals],tblActuals3541519[Team 2],$CU24,tblActuals3541519[Team 1],FL$3)+SUMIFS(tblActuals3541519[Team 1 Goals],tblActuals3541519[Team 1],$CU24,tblActuals3541519[Team 2],FL$3)</f>
        <v>0</v>
      </c>
      <c r="FM24" s="56">
        <f>SUMIFS(tblActuals3541519[Team 2 Goals],tblActuals3541519[Team 2],$CU24,tblActuals3541519[Team 1],FM$3)+SUMIFS(tblActuals3541519[Team 1 Goals],tblActuals3541519[Team 1],$CU24,tblActuals3541519[Team 2],FM$3)</f>
        <v>0</v>
      </c>
      <c r="FN24" s="56">
        <f>SUMIFS(tblActuals3541519[Team 2 Goals],tblActuals3541519[Team 2],$CU24,tblActuals3541519[Team 1],FN$3)+SUMIFS(tblActuals3541519[Team 1 Goals],tblActuals3541519[Team 1],$CU24,tblActuals3541519[Team 2],FN$3)</f>
        <v>0</v>
      </c>
      <c r="FO24" s="56">
        <f>SUMIFS(tblActuals3541519[Team 2 Goals],tblActuals3541519[Team 2],$CU24,tblActuals3541519[Team 1],FO$3)+SUMIFS(tblActuals3541519[Team 1 Goals],tblActuals3541519[Team 1],$CU24,tblActuals3541519[Team 2],FO$3)</f>
        <v>0</v>
      </c>
      <c r="FP24" s="56">
        <f>SUMIFS(tblActuals3541519[Team 2 Goals],tblActuals3541519[Team 2],$CU24,tblActuals3541519[Team 1],FP$3)+SUMIFS(tblActuals3541519[Team 1 Goals],tblActuals3541519[Team 1],$CU24,tblActuals3541519[Team 2],FP$3)</f>
        <v>0</v>
      </c>
      <c r="FQ24" s="56">
        <f>SUMIFS(tblActuals3541519[Team 2 Goals],tblActuals3541519[Team 2],$CU24,tblActuals3541519[Team 1],FQ$3)+SUMIFS(tblActuals3541519[Team 1 Goals],tblActuals3541519[Team 1],$CU24,tblActuals3541519[Team 2],FQ$3)</f>
        <v>0</v>
      </c>
      <c r="FR24" s="56">
        <f>SUMIFS(tblActuals3541519[Team 2 Goals],tblActuals3541519[Team 2],$CU24,tblActuals3541519[Team 1],FR$3)+SUMIFS(tblActuals3541519[Team 1 Goals],tblActuals3541519[Team 1],$CU24,tblActuals3541519[Team 2],FR$3)</f>
        <v>0</v>
      </c>
      <c r="FS24" s="56">
        <f>SUMIFS(tblActuals3541519[Team 2 Goals],tblActuals3541519[Team 2],$CU24,tblActuals3541519[Team 1],FS$3)+SUMIFS(tblActuals3541519[Team 1 Goals],tblActuals3541519[Team 1],$CU24,tblActuals3541519[Team 2],FS$3)</f>
        <v>0</v>
      </c>
      <c r="FT24" s="56">
        <f>SUMIFS(tblActuals3541519[Team 2 Goals],tblActuals3541519[Team 2],$CU24,tblActuals3541519[Team 1],FT$3)+SUMIFS(tblActuals3541519[Team 1 Goals],tblActuals3541519[Team 1],$CU24,tblActuals3541519[Team 2],FT$3)</f>
        <v>0</v>
      </c>
      <c r="FU24" s="56">
        <f>SUMIFS(tblActuals3541519[Team 2 Goals],tblActuals3541519[Team 2],$CU24,tblActuals3541519[Team 1],FU$3)+SUMIFS(tblActuals3541519[Team 1 Goals],tblActuals3541519[Team 1],$CU24,tblActuals3541519[Team 2],FU$3)</f>
        <v>0</v>
      </c>
      <c r="FV24" s="56">
        <f>SUMIFS(tblActuals3541519[Team 2 Goals],tblActuals3541519[Team 2],$CU24,tblActuals3541519[Team 1],FV$3)+SUMIFS(tblActuals3541519[Team 1 Goals],tblActuals3541519[Team 1],$CU24,tblActuals3541519[Team 2],FV$3)</f>
        <v>0</v>
      </c>
      <c r="FW24" s="56">
        <f>SUMIFS(tblActuals3541519[Team 2 Goals],tblActuals3541519[Team 2],$CU24,tblActuals3541519[Team 1],FW$3)+SUMIFS(tblActuals3541519[Team 1 Goals],tblActuals3541519[Team 1],$CU24,tblActuals3541519[Team 2],FW$3)</f>
        <v>0</v>
      </c>
      <c r="FX24" s="56">
        <f>SUMIFS(tblActuals3541519[Team 2 Goals],tblActuals3541519[Team 2],$CU24,tblActuals3541519[Team 1],FX$3)+SUMIFS(tblActuals3541519[Team 1 Goals],tblActuals3541519[Team 1],$CU24,tblActuals3541519[Team 2],FX$3)</f>
        <v>0</v>
      </c>
      <c r="FY24" s="56">
        <f>SUMIFS(tblActuals3541519[Team 2 Goals],tblActuals3541519[Team 2],$CU24,tblActuals3541519[Team 1],FY$3)+SUMIFS(tblActuals3541519[Team 1 Goals],tblActuals3541519[Team 1],$CU24,tblActuals3541519[Team 2],FY$3)</f>
        <v>0</v>
      </c>
      <c r="FZ24" s="56">
        <f>SUMIFS(tblActuals3541519[Team 2 Goals],tblActuals3541519[Team 2],$CU24,tblActuals3541519[Team 1],FZ$3)+SUMIFS(tblActuals3541519[Team 1 Goals],tblActuals3541519[Team 1],$CU24,tblActuals3541519[Team 2],FZ$3)</f>
        <v>0</v>
      </c>
      <c r="GA24" s="56">
        <f>SUMIFS(tblActuals3541519[Team 2 Goals],tblActuals3541519[Team 2],$CU24,tblActuals3541519[Team 1],GA$3)+SUMIFS(tblActuals3541519[Team 1 Goals],tblActuals3541519[Team 1],$CU24,tblActuals3541519[Team 2],GA$3)</f>
        <v>0</v>
      </c>
      <c r="GB24" s="56">
        <f>SUMIFS(tblActuals3541519[Team 2 Goals],tblActuals3541519[Team 2],$CU24,tblActuals3541519[Team 1],GB$3)+SUMIFS(tblActuals3541519[Team 1 Goals],tblActuals3541519[Team 1],$CU24,tblActuals3541519[Team 2],GB$3)</f>
        <v>0</v>
      </c>
      <c r="GC24" s="56">
        <f>SUMIFS(tblActuals3541519[Team 2 Goals],tblActuals3541519[Team 2],$CU24,tblActuals3541519[Team 1],GC$3)+SUMIFS(tblActuals3541519[Team 1 Goals],tblActuals3541519[Team 1],$CU24,tblActuals3541519[Team 2],GC$3)</f>
        <v>0</v>
      </c>
      <c r="GD24" s="56">
        <f>SUMIFS(tblActuals3541519[Team 2 Goals],tblActuals3541519[Team 2],$CU24,tblActuals3541519[Team 1],GD$3)+SUMIFS(tblActuals3541519[Team 1 Goals],tblActuals3541519[Team 1],$CU24,tblActuals3541519[Team 2],GD$3)</f>
        <v>0</v>
      </c>
      <c r="GE24" s="56">
        <f>SUMIFS(tblActuals3541519[Team 2 Goals],tblActuals3541519[Team 2],$CU24,tblActuals3541519[Team 1],GE$3)+SUMIFS(tblActuals3541519[Team 1 Goals],tblActuals3541519[Team 1],$CU24,tblActuals3541519[Team 2],GE$3)</f>
        <v>0</v>
      </c>
      <c r="GF24" s="56">
        <f>SUMIFS(tblActuals3541519[Team 2 Goals],tblActuals3541519[Team 2],$CU24,tblActuals3541519[Team 1],GF$3)+SUMIFS(tblActuals3541519[Team 1 Goals],tblActuals3541519[Team 1],$CU24,tblActuals3541519[Team 2],GF$3)</f>
        <v>0</v>
      </c>
      <c r="GG24" s="56">
        <f>SUMIFS(tblActuals3541519[Team 2 Goals],tblActuals3541519[Team 2],$CU24,tblActuals3541519[Team 1],GG$3)+SUMIFS(tblActuals3541519[Team 1 Goals],tblActuals3541519[Team 1],$CU24,tblActuals3541519[Team 2],GG$3)</f>
        <v>0</v>
      </c>
      <c r="GH24" s="56">
        <f>SUMIFS(tblActuals3541519[Team 2 Goals],tblActuals3541519[Team 2],$CU24,tblActuals3541519[Team 1],GH$3)+SUMIFS(tblActuals3541519[Team 1 Goals],tblActuals3541519[Team 1],$CU24,tblActuals3541519[Team 2],GH$3)</f>
        <v>0</v>
      </c>
      <c r="GI24" s="56">
        <f>SUMIFS(tblActuals3541519[Team 2 Goals],tblActuals3541519[Team 2],$CU24,tblActuals3541519[Team 1],GI$3)+SUMIFS(tblActuals3541519[Team 1 Goals],tblActuals3541519[Team 1],$CU24,tblActuals3541519[Team 2],GI$3)</f>
        <v>0</v>
      </c>
      <c r="GJ24" s="57"/>
      <c r="GK24" s="57"/>
      <c r="GL24" s="37"/>
      <c r="GM24" s="37"/>
      <c r="GN24" s="37"/>
      <c r="GO24" s="37"/>
      <c r="GP24" s="37"/>
      <c r="GQ24" s="37"/>
      <c r="GR24" s="75"/>
      <c r="GS24" s="148"/>
      <c r="GT24" s="148"/>
      <c r="GU24" s="75"/>
      <c r="GV24" s="75"/>
      <c r="GW24" s="75"/>
      <c r="GX24" s="75"/>
      <c r="GY24" s="75"/>
      <c r="GZ24" s="75"/>
    </row>
    <row r="25" spans="1:221" s="11" customFormat="1" ht="30" customHeight="1" x14ac:dyDescent="0.25">
      <c r="A25" s="20"/>
      <c r="B25" s="122">
        <v>22</v>
      </c>
      <c r="C25" s="122" t="s">
        <v>12</v>
      </c>
      <c r="D25" s="123">
        <v>45465</v>
      </c>
      <c r="E25" s="122" t="s">
        <v>79</v>
      </c>
      <c r="F25" s="124">
        <v>0.875</v>
      </c>
      <c r="G25" s="125">
        <f t="shared" si="11"/>
        <v>45465.625</v>
      </c>
      <c r="H25" s="122" t="s">
        <v>110</v>
      </c>
      <c r="I25" s="126"/>
      <c r="J25" s="118"/>
      <c r="K25" s="118"/>
      <c r="L25" s="174">
        <f>IF(I25="",0,IFERROR(IF(SCORING.RULES!$C$8="No",1,((VLOOKUP($B25,ACTUALS!$B$4:$L$100,7,FALSE)=$H25)+(VLOOKUP($B25,ACTUALS!$B$4:$L$100,7,FALSE)=S25)))*(M25+N25+O25+P25+Q25),0))+$R25</f>
        <v>0</v>
      </c>
      <c r="M25" s="168">
        <f>IFERROR(IF($B25="","",IF(U25=INDEX(ACTUALS!$AA$4:$AA$100,MATCH($B25,ACTUALS!$B$4:$B$100,0),1),CorrectScore,0)),0)</f>
        <v>0</v>
      </c>
      <c r="N25" s="157" t="str">
        <f>IFERROR(IF(I25="","",IF(INDEX(ACTUALS!$AB$4:$AB$100,MATCH($B25,ACTUALS!$B$4:$B$100,0),1)=(AB25+AC25+AH25+AI25),CorrectNumberofGoals,0)),0)</f>
        <v/>
      </c>
      <c r="O25" s="157"/>
      <c r="P25" s="157">
        <f>IFERROR(IF(B25="","",IF(INDEX(ACTUALS!$L$4:$L$100,MATCH($B25,ACTUALS!$B$4:$B$100,0),1)=W25,CorrectResult,0)),0)</f>
        <v>3</v>
      </c>
      <c r="Q25" s="157"/>
      <c r="R25" s="157"/>
      <c r="S25" s="157" t="str">
        <f t="shared" si="0"/>
        <v/>
      </c>
      <c r="T25" s="157"/>
      <c r="U25" s="157" t="str">
        <f t="shared" si="1"/>
        <v/>
      </c>
      <c r="V25" s="157" t="str">
        <f t="shared" si="2"/>
        <v/>
      </c>
      <c r="W25" s="119" t="str">
        <f>IF(tblActuals3541519[[#This Row],[SCORE]]="","",IF(AB25=AC25,"Draw",IF(AB25&gt;AC25,X25,Y25)))</f>
        <v/>
      </c>
      <c r="X25" s="120" t="str">
        <f>IF(tblActuals3541519[[#This Row],[TEAMS]]="","",LEFT(H25,FIND(" -",H25,1)-1))</f>
        <v>Belgium</v>
      </c>
      <c r="Y25" s="120" t="str">
        <f>IF(tblActuals3541519[[#This Row],[TEAMS]]="","",MID(H25,FIND("-",H25,1)+2,LEN(H25)-FIND("-",H25,1)+2))</f>
        <v>Romania</v>
      </c>
      <c r="Z25" s="120" t="str">
        <f>IF(tblActuals3541519[[#This Row],[Team 1 Goals]]&gt;tblActuals3541519[[#This Row],[Team 2 Goals]],tblActuals3541519[[#This Row],[Team 1]],IF(tblActuals3541519[[#This Row],[Team 2 Goals]]&gt;tblActuals3541519[[#This Row],[Team 1 Goals]],tblActuals3541519[[#This Row],[Team 2]],""))</f>
        <v/>
      </c>
      <c r="AA25" s="120" t="str">
        <f>IF(tblActuals3541519[[#This Row],[Winner]]=tblActuals3541519[[#This Row],[Team 1]],tblActuals3541519[[#This Row],[Team 2]],IF(tblActuals3541519[[#This Row],[Winner]]=tblActuals3541519[[#This Row],[Team 2]],tblActuals3541519[[#This Row],[Team 1]],""))</f>
        <v/>
      </c>
      <c r="AB25" s="120" t="str">
        <f>IF(tblActuals3541519[[#This Row],[SCORE]]="","",LEFT(I25,FIND(":",I25,1)-1)*1)</f>
        <v/>
      </c>
      <c r="AC25" s="120" t="str">
        <f>IF(tblActuals3541519[[#This Row],[SCORE]]="","",MID(I25,FIND(":",I25,1)+1,LEN(I25)-FIND(":",I25,1)+1)*1)</f>
        <v/>
      </c>
      <c r="AD25" s="120" t="str">
        <f>IF(OR(tblActuals3541519[[#This Row],[Team 1 Goals]]="",tblActuals3541519[[#This Row],[Team 2 Goals]]=""),"",tblActuals3541519[[#This Row],[Team 1 Goals]]-tblActuals3541519[[#This Row],[Team 2 Goals]])</f>
        <v/>
      </c>
      <c r="AE25" s="120" t="str">
        <f>IF(OR(tblActuals3541519[[#This Row],[Team 1 Goals]]="",tblActuals3541519[[#This Row],[Team 2 Goals]]=""),"",tblActuals3541519[[#This Row],[Team 2 Goals]]-tblActuals3541519[[#This Row],[Team 1 Goals]])</f>
        <v/>
      </c>
      <c r="AF25" s="120" t="str">
        <f>IF(tblActuals3541519[[#This Row],[SCORE]]="","",IF(tblActuals3541519[[#This Row],[WINNER / RESULT]]="Draw",1,IF(tblActuals3541519[[#This Row],[WINNER / RESULT]]=tblActuals3541519[[#This Row],[Team 1]],3,0)))</f>
        <v/>
      </c>
      <c r="AG25" s="120" t="str">
        <f>IF(tblActuals3541519[[#This Row],[SCORE]]="","",IF(tblActuals3541519[[#This Row],[WINNER / RESULT]]="Draw",1,IF(tblActuals3541519[[#This Row],[WINNER / RESULT]]=tblActuals3541519[[#This Row],[Team 2]],3,0)))</f>
        <v/>
      </c>
      <c r="AH25" s="121"/>
      <c r="AI25" s="121"/>
      <c r="AJ25" s="121"/>
      <c r="AK25" s="121"/>
      <c r="AL25" s="120" t="e">
        <f>tblActuals3541519[[#This Row],[Team 1 Goals]]+tblActuals3541519[[#This Row],[Team 1 ET Goals]]&amp;":"&amp;tblActuals3541519[[#This Row],[Team 2 Goals]]+tblActuals3541519[[#This Row],[Team 2 ET Goals]]</f>
        <v>#VALUE!</v>
      </c>
      <c r="AM25" s="120" t="e">
        <f>+tblActuals3541519[[#This Row],[Team 1 Goals]]+tblActuals3541519[[#This Row],[Team 2 Goals]]</f>
        <v>#VALUE!</v>
      </c>
      <c r="AN25" s="161">
        <f t="shared" si="3"/>
        <v>45465</v>
      </c>
      <c r="AT25" s="77" t="s">
        <v>7</v>
      </c>
      <c r="AU25" s="139">
        <v>2</v>
      </c>
      <c r="AV25" s="140" t="str">
        <f ca="1">IFERROR(INDEX(BD:BD,MATCH("2"&amp;AT25,BN:BN,0),1),"")</f>
        <v>France</v>
      </c>
      <c r="AW25" s="140" t="str">
        <f ca="1">IF(AV25="","",VLOOKUP(AV25,BD:BI,2,FALSE)&amp;"-"&amp;VLOOKUP(AV25,BD:BI,3,FALSE)&amp;"-"&amp;VLOOKUP(AV25,BD:BI,4,FALSE))</f>
        <v>0-0-0</v>
      </c>
      <c r="AX25" s="140">
        <f ca="1">IF(AV25="","",VLOOKUP(AV25,BD:BK,8,FALSE))</f>
        <v>0</v>
      </c>
      <c r="AY25" s="141">
        <f ca="1">IF(AV25="","",VLOOKUP(AV25,BD:BN,5,FALSE))</f>
        <v>0</v>
      </c>
      <c r="AZ25" s="75"/>
      <c r="BA25" s="4"/>
      <c r="BB25" s="4"/>
      <c r="BC25" s="4" t="s">
        <v>12</v>
      </c>
      <c r="BD25" s="4" t="s">
        <v>131</v>
      </c>
      <c r="BE25" s="4">
        <f>COUNTIF(tblActuals3541519[Winner],BD25)</f>
        <v>0</v>
      </c>
      <c r="BF25" s="4">
        <f>COUNTIFS(tblActuals3541519[Team 2],BD25,tblActuals3541519[WINNER / RESULT],"Draw")+COUNTIFS(tblActuals3541519[Team 1],BD25,tblActuals3541519[WINNER / RESULT],"Draw")</f>
        <v>0</v>
      </c>
      <c r="BG25" s="4">
        <f>COUNTIF(tblActuals3541519[Loser],BD25)</f>
        <v>0</v>
      </c>
      <c r="BH25" s="4">
        <f>BF25+(3*BE25)</f>
        <v>0</v>
      </c>
      <c r="BI25" s="4">
        <f>SUMIFS(tblActuals3541519[Team 1 Goals],tblActuals3541519[Team 1],BD25)+SUMIFS(tblActuals3541519[Team 2 Goals],tblActuals3541519[Team 2],BD25)</f>
        <v>0</v>
      </c>
      <c r="BJ25" s="4">
        <f>SUMIFS(tblActuals3541519[Team 2 Goals],tblActuals3541519[Team 1],BD25)+SUMIFS(tblActuals3541519[Team 1 Goals],tblActuals3541519[Team 2],BD25)</f>
        <v>0</v>
      </c>
      <c r="BK25" s="4">
        <f>BI25-BJ25</f>
        <v>0</v>
      </c>
      <c r="BL25" s="4">
        <f ca="1">RANK(BY25,$BY$24:$BY$27,1)</f>
        <v>2</v>
      </c>
      <c r="BM25" s="4" t="str">
        <f t="shared" si="4"/>
        <v/>
      </c>
      <c r="BN25" s="4" t="str">
        <f ca="1">IF(BM25="",BL25&amp;BC25,BM25&amp;BC25)</f>
        <v>2E</v>
      </c>
      <c r="BO25" s="4">
        <f>RANK(BH25,$BH$24:$BH$27,0)</f>
        <v>1</v>
      </c>
      <c r="BP25" s="4" cm="1">
        <f t="array" aca="1" ref="BP25" ca="1">SUMPRODUCT((OFFSET($CV$3:$EA$3,MATCH($BD25,$CU$4:$CU$35,0),0))*((IF($BO26=$BO25,$CV$3:$EA$3=$BD26,0))+(IF($BO27=$BO25,$CV$3:$EA$3=$BD27,0))+(IF($BO24=$BO25,$CV$3:$EA$3=$BD24,0))))</f>
        <v>0</v>
      </c>
      <c r="BQ25" s="4" cm="1">
        <f t="array" aca="1" ref="BQ25" ca="1">SUMPRODUCT((OFFSET($ED$3:$FI$3,MATCH($BD25,$EC$4:$EC$35,0),0))*((IF($BO26=$BO25,$ED$3:$FI$3=$BD26,0))+(IF($BO27=$BO25,$ED$3:$FI$3=$BD27,0))+(IF($BO24=$BO25,$ED$3:$FI$3=$BD24,0))))</f>
        <v>0</v>
      </c>
      <c r="BR25" s="4" cm="1">
        <f t="array" aca="1" ref="BR25" ca="1">SUMPRODUCT((OFFSET($FL$3:$GQ$3,MATCH($BD25,$FK$4:$FK$35,0),0))*((IF($BO26=$BO25,$FL$3:$GQ$3=$BD26,0))+(IF($BO27=$BO25,$FL$3:$GQ$3=$BD27,0))+(IF($BO24=$BO25,$FL$3:$GQ$3=$BD24,0))))</f>
        <v>0</v>
      </c>
      <c r="BS25" s="4" cm="1">
        <f t="array" aca="1" ref="BS25" ca="1">SUMPRODUCT((OFFSET($CV$3:$EA$3,MATCH($BD25,$CU$4:$CU$35,0),0))*((IF($BO26&lt;&gt;$BO25,$CV$3:$EA$3=$BD26,0))+(IF($BO27&lt;&gt;$BO25,$CV$3:$EA$3=$BD27,0))+(IF($BO24&lt;&gt;$BO25,$CV$3:$EA$3=$BD24,0))))</f>
        <v>0</v>
      </c>
      <c r="BT25" s="4" cm="1">
        <f t="array" aca="1" ref="BT25" ca="1">SUMPRODUCT((OFFSET($ED$3:$FI$3,MATCH($BD25,$EC$4:$EC$35,0),0))*((IF($BO26&lt;&gt;$BO25,$ED$3:$FI$3=$BD26,0))+(IF($BO27&lt;&gt;$BO25,$ED$3:$FI$3=$BD27,0))+(IF($BO24&lt;&gt;$BO25,$ED$3:$FI$3=$BD24,0))))</f>
        <v>0</v>
      </c>
      <c r="BU25" s="4" cm="1">
        <f t="array" aca="1" ref="BU25" ca="1">SUMPRODUCT((OFFSET($FL$3:$GQ$3,MATCH($BD25,$FK$4:$FK$35,0),0))*((IF($BO26&lt;&gt;$BO25,$FL$3:$GQ$3=$BD26,0))+(IF($BO27&lt;&gt;$BO25,$FL$3:$GQ$3=$BD27,0))+(IF($BO24&lt;&gt;$BO25,$FL$3:$GQ$3=$BD24,0))))</f>
        <v>0</v>
      </c>
      <c r="BV25" s="4">
        <f>BK25</f>
        <v>0</v>
      </c>
      <c r="BW25" s="4">
        <f>BI25</f>
        <v>0</v>
      </c>
      <c r="BX25" s="4">
        <f ca="1">(BP25/10)+(BQ25/100)+(BR25/1000)+(BT25/10000)+(BU25/100000)+(BV25/1000000)+(BW25/10000000)+(ROW(BS26)/100000000)</f>
        <v>2.6E-7</v>
      </c>
      <c r="BY25" s="4">
        <f ca="1">+BO25-BX25</f>
        <v>0.99999974000000003</v>
      </c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U25" s="4" t="s">
        <v>134</v>
      </c>
      <c r="CV25" s="56">
        <f>SUMIFS(tblActuals3541519[Team 2 Points],tblActuals3541519[Team 2],$CU25,tblActuals3541519[Team 1],CV$3)+SUMIFS(tblActuals3541519[Team 1 Points],tblActuals3541519[Team 1],$CU25,tblActuals3541519[Team 2],CV$3)</f>
        <v>0</v>
      </c>
      <c r="CW25" s="56">
        <f>SUMIFS(tblActuals3541519[Team 2 Points],tblActuals3541519[Team 2],$CU25,tblActuals3541519[Team 1],CW$3)+SUMIFS(tblActuals3541519[Team 1 Points],tblActuals3541519[Team 1],$CU25,tblActuals3541519[Team 2],CW$3)</f>
        <v>0</v>
      </c>
      <c r="CX25" s="56">
        <f>SUMIFS(tblActuals3541519[Team 2 Points],tblActuals3541519[Team 2],$CU25,tblActuals3541519[Team 1],CX$3)+SUMIFS(tblActuals3541519[Team 1 Points],tblActuals3541519[Team 1],$CU25,tblActuals3541519[Team 2],CX$3)</f>
        <v>0</v>
      </c>
      <c r="CY25" s="56">
        <f>SUMIFS(tblActuals3541519[Team 2 Points],tblActuals3541519[Team 2],$CU25,tblActuals3541519[Team 1],CY$3)+SUMIFS(tblActuals3541519[Team 1 Points],tblActuals3541519[Team 1],$CU25,tblActuals3541519[Team 2],CY$3)</f>
        <v>0</v>
      </c>
      <c r="CZ25" s="56">
        <f>SUMIFS(tblActuals3541519[Team 2 Points],tblActuals3541519[Team 2],$CU25,tblActuals3541519[Team 1],CZ$3)+SUMIFS(tblActuals3541519[Team 1 Points],tblActuals3541519[Team 1],$CU25,tblActuals3541519[Team 2],CZ$3)</f>
        <v>0</v>
      </c>
      <c r="DA25" s="56">
        <f>SUMIFS(tblActuals3541519[Team 2 Points],tblActuals3541519[Team 2],$CU25,tblActuals3541519[Team 1],DA$3)+SUMIFS(tblActuals3541519[Team 1 Points],tblActuals3541519[Team 1],$CU25,tblActuals3541519[Team 2],DA$3)</f>
        <v>0</v>
      </c>
      <c r="DB25" s="56">
        <f>SUMIFS(tblActuals3541519[Team 2 Points],tblActuals3541519[Team 2],$CU25,tblActuals3541519[Team 1],DB$3)+SUMIFS(tblActuals3541519[Team 1 Points],tblActuals3541519[Team 1],$CU25,tblActuals3541519[Team 2],DB$3)</f>
        <v>0</v>
      </c>
      <c r="DC25" s="56">
        <f>SUMIFS(tblActuals3541519[Team 2 Points],tblActuals3541519[Team 2],$CU25,tblActuals3541519[Team 1],DC$3)+SUMIFS(tblActuals3541519[Team 1 Points],tblActuals3541519[Team 1],$CU25,tblActuals3541519[Team 2],DC$3)</f>
        <v>0</v>
      </c>
      <c r="DD25" s="56">
        <f>SUMIFS(tblActuals3541519[Team 2 Points],tblActuals3541519[Team 2],$CU25,tblActuals3541519[Team 1],DD$3)+SUMIFS(tblActuals3541519[Team 1 Points],tblActuals3541519[Team 1],$CU25,tblActuals3541519[Team 2],DD$3)</f>
        <v>0</v>
      </c>
      <c r="DE25" s="56">
        <f>SUMIFS(tblActuals3541519[Team 2 Points],tblActuals3541519[Team 2],$CU25,tblActuals3541519[Team 1],DE$3)+SUMIFS(tblActuals3541519[Team 1 Points],tblActuals3541519[Team 1],$CU25,tblActuals3541519[Team 2],DE$3)</f>
        <v>0</v>
      </c>
      <c r="DF25" s="56">
        <f>SUMIFS(tblActuals3541519[Team 2 Points],tblActuals3541519[Team 2],$CU25,tblActuals3541519[Team 1],DF$3)+SUMIFS(tblActuals3541519[Team 1 Points],tblActuals3541519[Team 1],$CU25,tblActuals3541519[Team 2],DF$3)</f>
        <v>0</v>
      </c>
      <c r="DG25" s="56">
        <f>SUMIFS(tblActuals3541519[Team 2 Points],tblActuals3541519[Team 2],$CU25,tblActuals3541519[Team 1],DG$3)+SUMIFS(tblActuals3541519[Team 1 Points],tblActuals3541519[Team 1],$CU25,tblActuals3541519[Team 2],DG$3)</f>
        <v>0</v>
      </c>
      <c r="DH25" s="56">
        <f>SUMIFS(tblActuals3541519[Team 2 Points],tblActuals3541519[Team 2],$CU25,tblActuals3541519[Team 1],DH$3)+SUMIFS(tblActuals3541519[Team 1 Points],tblActuals3541519[Team 1],$CU25,tblActuals3541519[Team 2],DH$3)</f>
        <v>0</v>
      </c>
      <c r="DI25" s="56">
        <f>SUMIFS(tblActuals3541519[Team 2 Points],tblActuals3541519[Team 2],$CU25,tblActuals3541519[Team 1],DI$3)+SUMIFS(tblActuals3541519[Team 1 Points],tblActuals3541519[Team 1],$CU25,tblActuals3541519[Team 2],DI$3)</f>
        <v>0</v>
      </c>
      <c r="DJ25" s="56">
        <f>SUMIFS(tblActuals3541519[Team 2 Points],tblActuals3541519[Team 2],$CU25,tblActuals3541519[Team 1],DJ$3)+SUMIFS(tblActuals3541519[Team 1 Points],tblActuals3541519[Team 1],$CU25,tblActuals3541519[Team 2],DJ$3)</f>
        <v>0</v>
      </c>
      <c r="DK25" s="56">
        <f>SUMIFS(tblActuals3541519[Team 2 Points],tblActuals3541519[Team 2],$CU25,tblActuals3541519[Team 1],DK$3)+SUMIFS(tblActuals3541519[Team 1 Points],tblActuals3541519[Team 1],$CU25,tblActuals3541519[Team 2],DK$3)</f>
        <v>0</v>
      </c>
      <c r="DL25" s="56">
        <f>SUMIFS(tblActuals3541519[Team 2 Points],tblActuals3541519[Team 2],$CU25,tblActuals3541519[Team 1],DL$3)+SUMIFS(tblActuals3541519[Team 1 Points],tblActuals3541519[Team 1],$CU25,tblActuals3541519[Team 2],DL$3)</f>
        <v>0</v>
      </c>
      <c r="DM25" s="56">
        <f>SUMIFS(tblActuals3541519[Team 2 Points],tblActuals3541519[Team 2],$CU25,tblActuals3541519[Team 1],DM$3)+SUMIFS(tblActuals3541519[Team 1 Points],tblActuals3541519[Team 1],$CU25,tblActuals3541519[Team 2],DM$3)</f>
        <v>0</v>
      </c>
      <c r="DN25" s="56">
        <f>SUMIFS(tblActuals3541519[Team 2 Points],tblActuals3541519[Team 2],$CU25,tblActuals3541519[Team 1],DN$3)+SUMIFS(tblActuals3541519[Team 1 Points],tblActuals3541519[Team 1],$CU25,tblActuals3541519[Team 2],DN$3)</f>
        <v>0</v>
      </c>
      <c r="DO25" s="56">
        <f>SUMIFS(tblActuals3541519[Team 2 Points],tblActuals3541519[Team 2],$CU25,tblActuals3541519[Team 1],DO$3)+SUMIFS(tblActuals3541519[Team 1 Points],tblActuals3541519[Team 1],$CU25,tblActuals3541519[Team 2],DO$3)</f>
        <v>0</v>
      </c>
      <c r="DP25" s="56">
        <f>SUMIFS(tblActuals3541519[Team 2 Points],tblActuals3541519[Team 2],$CU25,tblActuals3541519[Team 1],DP$3)+SUMIFS(tblActuals3541519[Team 1 Points],tblActuals3541519[Team 1],$CU25,tblActuals3541519[Team 2],DP$3)</f>
        <v>0</v>
      </c>
      <c r="DQ25" s="56">
        <f>SUMIFS(tblActuals3541519[Team 2 Points],tblActuals3541519[Team 2],$CU25,tblActuals3541519[Team 1],DQ$3)+SUMIFS(tblActuals3541519[Team 1 Points],tblActuals3541519[Team 1],$CU25,tblActuals3541519[Team 2],DQ$3)</f>
        <v>0</v>
      </c>
      <c r="DR25" s="56">
        <f>SUMIFS(tblActuals3541519[Team 2 Points],tblActuals3541519[Team 2],$CU25,tblActuals3541519[Team 1],DR$3)+SUMIFS(tblActuals3541519[Team 1 Points],tblActuals3541519[Team 1],$CU25,tblActuals3541519[Team 2],DR$3)</f>
        <v>0</v>
      </c>
      <c r="DS25" s="56">
        <f>SUMIFS(tblActuals3541519[Team 2 Points],tblActuals3541519[Team 2],$CU25,tblActuals3541519[Team 1],DS$3)+SUMIFS(tblActuals3541519[Team 1 Points],tblActuals3541519[Team 1],$CU25,tblActuals3541519[Team 2],DS$3)</f>
        <v>0</v>
      </c>
      <c r="DT25" s="57"/>
      <c r="DU25" s="57"/>
      <c r="DV25" s="57"/>
      <c r="DW25" s="57"/>
      <c r="DX25" s="57"/>
      <c r="DY25" s="57"/>
      <c r="DZ25" s="57"/>
      <c r="EA25" s="57"/>
      <c r="EB25" s="4"/>
      <c r="EC25" s="4" t="s">
        <v>134</v>
      </c>
      <c r="ED25" s="56">
        <f>SUMIFS(tblActuals3541519[Team 2 GD],tblActuals3541519[Team 2],$CU25,tblActuals3541519[Team 1],ED$3)+SUMIFS(tblActuals3541519[Team 1 GD],tblActuals3541519[Team 1],$CU25,tblActuals3541519[Team 2],ED$3)</f>
        <v>0</v>
      </c>
      <c r="EE25" s="56">
        <f>SUMIFS(tblActuals3541519[Team 2 GD],tblActuals3541519[Team 2],$CU25,tblActuals3541519[Team 1],EE$3)+SUMIFS(tblActuals3541519[Team 1 GD],tblActuals3541519[Team 1],$CU25,tblActuals3541519[Team 2],EE$3)</f>
        <v>0</v>
      </c>
      <c r="EF25" s="56">
        <f>SUMIFS(tblActuals3541519[Team 2 GD],tblActuals3541519[Team 2],$CU25,tblActuals3541519[Team 1],EF$3)+SUMIFS(tblActuals3541519[Team 1 GD],tblActuals3541519[Team 1],$CU25,tblActuals3541519[Team 2],EF$3)</f>
        <v>0</v>
      </c>
      <c r="EG25" s="56">
        <f>SUMIFS(tblActuals3541519[Team 2 GD],tblActuals3541519[Team 2],$CU25,tblActuals3541519[Team 1],EG$3)+SUMIFS(tblActuals3541519[Team 1 GD],tblActuals3541519[Team 1],$CU25,tblActuals3541519[Team 2],EG$3)</f>
        <v>0</v>
      </c>
      <c r="EH25" s="56">
        <f>SUMIFS(tblActuals3541519[Team 2 GD],tblActuals3541519[Team 2],$CU25,tblActuals3541519[Team 1],EH$3)+SUMIFS(tblActuals3541519[Team 1 GD],tblActuals3541519[Team 1],$CU25,tblActuals3541519[Team 2],EH$3)</f>
        <v>0</v>
      </c>
      <c r="EI25" s="56">
        <f>SUMIFS(tblActuals3541519[Team 2 GD],tblActuals3541519[Team 2],$CU25,tblActuals3541519[Team 1],EI$3)+SUMIFS(tblActuals3541519[Team 1 GD],tblActuals3541519[Team 1],$CU25,tblActuals3541519[Team 2],EI$3)</f>
        <v>0</v>
      </c>
      <c r="EJ25" s="56">
        <f>SUMIFS(tblActuals3541519[Team 2 GD],tblActuals3541519[Team 2],$CU25,tblActuals3541519[Team 1],EJ$3)+SUMIFS(tblActuals3541519[Team 1 GD],tblActuals3541519[Team 1],$CU25,tblActuals3541519[Team 2],EJ$3)</f>
        <v>0</v>
      </c>
      <c r="EK25" s="56">
        <f>SUMIFS(tblActuals3541519[Team 2 GD],tblActuals3541519[Team 2],$CU25,tblActuals3541519[Team 1],EK$3)+SUMIFS(tblActuals3541519[Team 1 GD],tblActuals3541519[Team 1],$CU25,tblActuals3541519[Team 2],EK$3)</f>
        <v>0</v>
      </c>
      <c r="EL25" s="56">
        <f>SUMIFS(tblActuals3541519[Team 2 GD],tblActuals3541519[Team 2],$CU25,tblActuals3541519[Team 1],EL$3)+SUMIFS(tblActuals3541519[Team 1 GD],tblActuals3541519[Team 1],$CU25,tblActuals3541519[Team 2],EL$3)</f>
        <v>0</v>
      </c>
      <c r="EM25" s="56">
        <f>SUMIFS(tblActuals3541519[Team 2 GD],tblActuals3541519[Team 2],$CU25,tblActuals3541519[Team 1],EM$3)+SUMIFS(tblActuals3541519[Team 1 GD],tblActuals3541519[Team 1],$CU25,tblActuals3541519[Team 2],EM$3)</f>
        <v>0</v>
      </c>
      <c r="EN25" s="56">
        <f>SUMIFS(tblActuals3541519[Team 2 GD],tblActuals3541519[Team 2],$CU25,tblActuals3541519[Team 1],EN$3)+SUMIFS(tblActuals3541519[Team 1 GD],tblActuals3541519[Team 1],$CU25,tblActuals3541519[Team 2],EN$3)</f>
        <v>0</v>
      </c>
      <c r="EO25" s="56">
        <f>SUMIFS(tblActuals3541519[Team 2 GD],tblActuals3541519[Team 2],$CU25,tblActuals3541519[Team 1],EO$3)+SUMIFS(tblActuals3541519[Team 1 GD],tblActuals3541519[Team 1],$CU25,tblActuals3541519[Team 2],EO$3)</f>
        <v>0</v>
      </c>
      <c r="EP25" s="56">
        <f>SUMIFS(tblActuals3541519[Team 2 GD],tblActuals3541519[Team 2],$CU25,tblActuals3541519[Team 1],EP$3)+SUMIFS(tblActuals3541519[Team 1 GD],tblActuals3541519[Team 1],$CU25,tblActuals3541519[Team 2],EP$3)</f>
        <v>0</v>
      </c>
      <c r="EQ25" s="56">
        <f>SUMIFS(tblActuals3541519[Team 2 GD],tblActuals3541519[Team 2],$CU25,tblActuals3541519[Team 1],EQ$3)+SUMIFS(tblActuals3541519[Team 1 GD],tblActuals3541519[Team 1],$CU25,tblActuals3541519[Team 2],EQ$3)</f>
        <v>0</v>
      </c>
      <c r="ER25" s="56">
        <f>SUMIFS(tblActuals3541519[Team 2 GD],tblActuals3541519[Team 2],$CU25,tblActuals3541519[Team 1],ER$3)+SUMIFS(tblActuals3541519[Team 1 GD],tblActuals3541519[Team 1],$CU25,tblActuals3541519[Team 2],ER$3)</f>
        <v>0</v>
      </c>
      <c r="ES25" s="56">
        <f>SUMIFS(tblActuals3541519[Team 2 GD],tblActuals3541519[Team 2],$CU25,tblActuals3541519[Team 1],ES$3)+SUMIFS(tblActuals3541519[Team 1 GD],tblActuals3541519[Team 1],$CU25,tblActuals3541519[Team 2],ES$3)</f>
        <v>0</v>
      </c>
      <c r="ET25" s="56">
        <f>SUMIFS(tblActuals3541519[Team 2 GD],tblActuals3541519[Team 2],$CU25,tblActuals3541519[Team 1],ET$3)+SUMIFS(tblActuals3541519[Team 1 GD],tblActuals3541519[Team 1],$CU25,tblActuals3541519[Team 2],ET$3)</f>
        <v>0</v>
      </c>
      <c r="EU25" s="56">
        <f>SUMIFS(tblActuals3541519[Team 2 GD],tblActuals3541519[Team 2],$CU25,tblActuals3541519[Team 1],EU$3)+SUMIFS(tblActuals3541519[Team 1 GD],tblActuals3541519[Team 1],$CU25,tblActuals3541519[Team 2],EU$3)</f>
        <v>0</v>
      </c>
      <c r="EV25" s="56">
        <f>SUMIFS(tblActuals3541519[Team 2 GD],tblActuals3541519[Team 2],$CU25,tblActuals3541519[Team 1],EV$3)+SUMIFS(tblActuals3541519[Team 1 GD],tblActuals3541519[Team 1],$CU25,tblActuals3541519[Team 2],EV$3)</f>
        <v>0</v>
      </c>
      <c r="EW25" s="56">
        <f>SUMIFS(tblActuals3541519[Team 2 GD],tblActuals3541519[Team 2],$CU25,tblActuals3541519[Team 1],EW$3)+SUMIFS(tblActuals3541519[Team 1 GD],tblActuals3541519[Team 1],$CU25,tblActuals3541519[Team 2],EW$3)</f>
        <v>0</v>
      </c>
      <c r="EX25" s="56">
        <f>SUMIFS(tblActuals3541519[Team 2 GD],tblActuals3541519[Team 2],$CU25,tblActuals3541519[Team 1],EX$3)+SUMIFS(tblActuals3541519[Team 1 GD],tblActuals3541519[Team 1],$CU25,tblActuals3541519[Team 2],EX$3)</f>
        <v>0</v>
      </c>
      <c r="EY25" s="56">
        <f>SUMIFS(tblActuals3541519[Team 2 GD],tblActuals3541519[Team 2],$CU25,tblActuals3541519[Team 1],EY$3)+SUMIFS(tblActuals3541519[Team 1 GD],tblActuals3541519[Team 1],$CU25,tblActuals3541519[Team 2],EY$3)</f>
        <v>0</v>
      </c>
      <c r="EZ25" s="56">
        <f>SUMIFS(tblActuals3541519[Team 2 GD],tblActuals3541519[Team 2],$CU25,tblActuals3541519[Team 1],EZ$3)+SUMIFS(tblActuals3541519[Team 1 GD],tblActuals3541519[Team 1],$CU25,tblActuals3541519[Team 2],EZ$3)</f>
        <v>0</v>
      </c>
      <c r="FA25" s="56">
        <f>SUMIFS(tblActuals3541519[Team 2 GD],tblActuals3541519[Team 2],$CU25,tblActuals3541519[Team 1],FA$3)+SUMIFS(tblActuals3541519[Team 1 GD],tblActuals3541519[Team 1],$CU25,tblActuals3541519[Team 2],FA$3)</f>
        <v>0</v>
      </c>
      <c r="FB25" s="57"/>
      <c r="FC25" s="57"/>
      <c r="FD25" s="57"/>
      <c r="FE25" s="57"/>
      <c r="FF25" s="57"/>
      <c r="FG25" s="57"/>
      <c r="FH25" s="57"/>
      <c r="FI25" s="57"/>
      <c r="FJ25" s="4"/>
      <c r="FK25" s="4" t="s">
        <v>134</v>
      </c>
      <c r="FL25" s="56">
        <f>SUMIFS(tblActuals3541519[Team 2 Goals],tblActuals3541519[Team 2],$CU25,tblActuals3541519[Team 1],FL$3)+SUMIFS(tblActuals3541519[Team 1 Goals],tblActuals3541519[Team 1],$CU25,tblActuals3541519[Team 2],FL$3)</f>
        <v>0</v>
      </c>
      <c r="FM25" s="56">
        <f>SUMIFS(tblActuals3541519[Team 2 Goals],tblActuals3541519[Team 2],$CU25,tblActuals3541519[Team 1],FM$3)+SUMIFS(tblActuals3541519[Team 1 Goals],tblActuals3541519[Team 1],$CU25,tblActuals3541519[Team 2],FM$3)</f>
        <v>0</v>
      </c>
      <c r="FN25" s="56">
        <f>SUMIFS(tblActuals3541519[Team 2 Goals],tblActuals3541519[Team 2],$CU25,tblActuals3541519[Team 1],FN$3)+SUMIFS(tblActuals3541519[Team 1 Goals],tblActuals3541519[Team 1],$CU25,tblActuals3541519[Team 2],FN$3)</f>
        <v>0</v>
      </c>
      <c r="FO25" s="56">
        <f>SUMIFS(tblActuals3541519[Team 2 Goals],tblActuals3541519[Team 2],$CU25,tblActuals3541519[Team 1],FO$3)+SUMIFS(tblActuals3541519[Team 1 Goals],tblActuals3541519[Team 1],$CU25,tblActuals3541519[Team 2],FO$3)</f>
        <v>0</v>
      </c>
      <c r="FP25" s="56">
        <f>SUMIFS(tblActuals3541519[Team 2 Goals],tblActuals3541519[Team 2],$CU25,tblActuals3541519[Team 1],FP$3)+SUMIFS(tblActuals3541519[Team 1 Goals],tblActuals3541519[Team 1],$CU25,tblActuals3541519[Team 2],FP$3)</f>
        <v>0</v>
      </c>
      <c r="FQ25" s="56">
        <f>SUMIFS(tblActuals3541519[Team 2 Goals],tblActuals3541519[Team 2],$CU25,tblActuals3541519[Team 1],FQ$3)+SUMIFS(tblActuals3541519[Team 1 Goals],tblActuals3541519[Team 1],$CU25,tblActuals3541519[Team 2],FQ$3)</f>
        <v>0</v>
      </c>
      <c r="FR25" s="56">
        <f>SUMIFS(tblActuals3541519[Team 2 Goals],tblActuals3541519[Team 2],$CU25,tblActuals3541519[Team 1],FR$3)+SUMIFS(tblActuals3541519[Team 1 Goals],tblActuals3541519[Team 1],$CU25,tblActuals3541519[Team 2],FR$3)</f>
        <v>0</v>
      </c>
      <c r="FS25" s="56">
        <f>SUMIFS(tblActuals3541519[Team 2 Goals],tblActuals3541519[Team 2],$CU25,tblActuals3541519[Team 1],FS$3)+SUMIFS(tblActuals3541519[Team 1 Goals],tblActuals3541519[Team 1],$CU25,tblActuals3541519[Team 2],FS$3)</f>
        <v>0</v>
      </c>
      <c r="FT25" s="56">
        <f>SUMIFS(tblActuals3541519[Team 2 Goals],tblActuals3541519[Team 2],$CU25,tblActuals3541519[Team 1],FT$3)+SUMIFS(tblActuals3541519[Team 1 Goals],tblActuals3541519[Team 1],$CU25,tblActuals3541519[Team 2],FT$3)</f>
        <v>0</v>
      </c>
      <c r="FU25" s="56">
        <f>SUMIFS(tblActuals3541519[Team 2 Goals],tblActuals3541519[Team 2],$CU25,tblActuals3541519[Team 1],FU$3)+SUMIFS(tblActuals3541519[Team 1 Goals],tblActuals3541519[Team 1],$CU25,tblActuals3541519[Team 2],FU$3)</f>
        <v>0</v>
      </c>
      <c r="FV25" s="56">
        <f>SUMIFS(tblActuals3541519[Team 2 Goals],tblActuals3541519[Team 2],$CU25,tblActuals3541519[Team 1],FV$3)+SUMIFS(tblActuals3541519[Team 1 Goals],tblActuals3541519[Team 1],$CU25,tblActuals3541519[Team 2],FV$3)</f>
        <v>0</v>
      </c>
      <c r="FW25" s="56">
        <f>SUMIFS(tblActuals3541519[Team 2 Goals],tblActuals3541519[Team 2],$CU25,tblActuals3541519[Team 1],FW$3)+SUMIFS(tblActuals3541519[Team 1 Goals],tblActuals3541519[Team 1],$CU25,tblActuals3541519[Team 2],FW$3)</f>
        <v>0</v>
      </c>
      <c r="FX25" s="56">
        <f>SUMIFS(tblActuals3541519[Team 2 Goals],tblActuals3541519[Team 2],$CU25,tblActuals3541519[Team 1],FX$3)+SUMIFS(tblActuals3541519[Team 1 Goals],tblActuals3541519[Team 1],$CU25,tblActuals3541519[Team 2],FX$3)</f>
        <v>0</v>
      </c>
      <c r="FY25" s="56">
        <f>SUMIFS(tblActuals3541519[Team 2 Goals],tblActuals3541519[Team 2],$CU25,tblActuals3541519[Team 1],FY$3)+SUMIFS(tblActuals3541519[Team 1 Goals],tblActuals3541519[Team 1],$CU25,tblActuals3541519[Team 2],FY$3)</f>
        <v>0</v>
      </c>
      <c r="FZ25" s="56">
        <f>SUMIFS(tblActuals3541519[Team 2 Goals],tblActuals3541519[Team 2],$CU25,tblActuals3541519[Team 1],FZ$3)+SUMIFS(tblActuals3541519[Team 1 Goals],tblActuals3541519[Team 1],$CU25,tblActuals3541519[Team 2],FZ$3)</f>
        <v>0</v>
      </c>
      <c r="GA25" s="56">
        <f>SUMIFS(tblActuals3541519[Team 2 Goals],tblActuals3541519[Team 2],$CU25,tblActuals3541519[Team 1],GA$3)+SUMIFS(tblActuals3541519[Team 1 Goals],tblActuals3541519[Team 1],$CU25,tblActuals3541519[Team 2],GA$3)</f>
        <v>0</v>
      </c>
      <c r="GB25" s="56">
        <f>SUMIFS(tblActuals3541519[Team 2 Goals],tblActuals3541519[Team 2],$CU25,tblActuals3541519[Team 1],GB$3)+SUMIFS(tblActuals3541519[Team 1 Goals],tblActuals3541519[Team 1],$CU25,tblActuals3541519[Team 2],GB$3)</f>
        <v>0</v>
      </c>
      <c r="GC25" s="56">
        <f>SUMIFS(tblActuals3541519[Team 2 Goals],tblActuals3541519[Team 2],$CU25,tblActuals3541519[Team 1],GC$3)+SUMIFS(tblActuals3541519[Team 1 Goals],tblActuals3541519[Team 1],$CU25,tblActuals3541519[Team 2],GC$3)</f>
        <v>0</v>
      </c>
      <c r="GD25" s="56">
        <f>SUMIFS(tblActuals3541519[Team 2 Goals],tblActuals3541519[Team 2],$CU25,tblActuals3541519[Team 1],GD$3)+SUMIFS(tblActuals3541519[Team 1 Goals],tblActuals3541519[Team 1],$CU25,tblActuals3541519[Team 2],GD$3)</f>
        <v>0</v>
      </c>
      <c r="GE25" s="56">
        <f>SUMIFS(tblActuals3541519[Team 2 Goals],tblActuals3541519[Team 2],$CU25,tblActuals3541519[Team 1],GE$3)+SUMIFS(tblActuals3541519[Team 1 Goals],tblActuals3541519[Team 1],$CU25,tblActuals3541519[Team 2],GE$3)</f>
        <v>0</v>
      </c>
      <c r="GF25" s="56">
        <f>SUMIFS(tblActuals3541519[Team 2 Goals],tblActuals3541519[Team 2],$CU25,tblActuals3541519[Team 1],GF$3)+SUMIFS(tblActuals3541519[Team 1 Goals],tblActuals3541519[Team 1],$CU25,tblActuals3541519[Team 2],GF$3)</f>
        <v>0</v>
      </c>
      <c r="GG25" s="56">
        <f>SUMIFS(tblActuals3541519[Team 2 Goals],tblActuals3541519[Team 2],$CU25,tblActuals3541519[Team 1],GG$3)+SUMIFS(tblActuals3541519[Team 1 Goals],tblActuals3541519[Team 1],$CU25,tblActuals3541519[Team 2],GG$3)</f>
        <v>0</v>
      </c>
      <c r="GH25" s="56">
        <f>SUMIFS(tblActuals3541519[Team 2 Goals],tblActuals3541519[Team 2],$CU25,tblActuals3541519[Team 1],GH$3)+SUMIFS(tblActuals3541519[Team 1 Goals],tblActuals3541519[Team 1],$CU25,tblActuals3541519[Team 2],GH$3)</f>
        <v>0</v>
      </c>
      <c r="GI25" s="56">
        <f>SUMIFS(tblActuals3541519[Team 2 Goals],tblActuals3541519[Team 2],$CU25,tblActuals3541519[Team 1],GI$3)+SUMIFS(tblActuals3541519[Team 1 Goals],tblActuals3541519[Team 1],$CU25,tblActuals3541519[Team 2],GI$3)</f>
        <v>0</v>
      </c>
      <c r="GJ25" s="57"/>
      <c r="GK25" s="57"/>
      <c r="GL25" s="37"/>
      <c r="GM25" s="37"/>
      <c r="GN25" s="37"/>
      <c r="GO25" s="37"/>
      <c r="GP25" s="37"/>
      <c r="GQ25" s="37"/>
      <c r="GR25" s="75"/>
      <c r="GS25" s="148"/>
      <c r="GT25" s="148"/>
      <c r="GU25" s="75"/>
      <c r="GV25" s="75"/>
      <c r="GW25" s="75"/>
      <c r="GX25" s="75"/>
      <c r="GY25" s="75"/>
      <c r="GZ25" s="75"/>
    </row>
    <row r="26" spans="1:221" s="11" customFormat="1" ht="30" customHeight="1" x14ac:dyDescent="0.25">
      <c r="A26" s="20"/>
      <c r="B26" s="122">
        <v>23</v>
      </c>
      <c r="C26" s="122" t="s">
        <v>45</v>
      </c>
      <c r="D26" s="123">
        <v>45465</v>
      </c>
      <c r="E26" s="122" t="s">
        <v>81</v>
      </c>
      <c r="F26" s="124">
        <v>0.75</v>
      </c>
      <c r="G26" s="125">
        <f t="shared" si="11"/>
        <v>45465.5</v>
      </c>
      <c r="H26" s="122" t="s">
        <v>111</v>
      </c>
      <c r="I26" s="126"/>
      <c r="J26" s="118"/>
      <c r="K26" s="118"/>
      <c r="L26" s="174">
        <f>IF(I26="",0,IFERROR(IF(SCORING.RULES!$C$8="No",1,((VLOOKUP($B26,ACTUALS!$B$4:$L$100,7,FALSE)=$H26)+(VLOOKUP($B26,ACTUALS!$B$4:$L$100,7,FALSE)=S26)))*(M26+N26+O26+P26+Q26),0))+$R26</f>
        <v>0</v>
      </c>
      <c r="M26" s="168">
        <f>IFERROR(IF($B26="","",IF(U26=INDEX(ACTUALS!$AA$4:$AA$100,MATCH($B26,ACTUALS!$B$4:$B$100,0),1),CorrectScore,0)),0)</f>
        <v>0</v>
      </c>
      <c r="N26" s="157" t="str">
        <f>IFERROR(IF(I26="","",IF(INDEX(ACTUALS!$AB$4:$AB$100,MATCH($B26,ACTUALS!$B$4:$B$100,0),1)=(AB26+AC26+AH26+AI26),CorrectNumberofGoals,0)),0)</f>
        <v/>
      </c>
      <c r="O26" s="157"/>
      <c r="P26" s="157">
        <f>IFERROR(IF(B26="","",IF(INDEX(ACTUALS!$L$4:$L$100,MATCH($B26,ACTUALS!$B$4:$B$100,0),1)=W26,CorrectResult,0)),0)</f>
        <v>3</v>
      </c>
      <c r="Q26" s="157"/>
      <c r="R26" s="157"/>
      <c r="S26" s="157" t="str">
        <f t="shared" si="0"/>
        <v/>
      </c>
      <c r="T26" s="157"/>
      <c r="U26" s="157" t="str">
        <f t="shared" si="1"/>
        <v/>
      </c>
      <c r="V26" s="157" t="str">
        <f t="shared" si="2"/>
        <v/>
      </c>
      <c r="W26" s="119" t="str">
        <f>IF(tblActuals3541519[[#This Row],[SCORE]]="","",IF(AB26=AC26,"Draw",IF(AB26&gt;AC26,X26,Y26)))</f>
        <v/>
      </c>
      <c r="X26" s="120" t="str">
        <f>IF(tblActuals3541519[[#This Row],[TEAMS]]="","",LEFT(H26,FIND(" -",H26,1)-1))</f>
        <v>Turkey</v>
      </c>
      <c r="Y26" s="120" t="str">
        <f>IF(tblActuals3541519[[#This Row],[TEAMS]]="","",MID(H26,FIND("-",H26,1)+2,LEN(H26)-FIND("-",H26,1)+2))</f>
        <v>Portugal</v>
      </c>
      <c r="Z26" s="120" t="str">
        <f>IF(tblActuals3541519[[#This Row],[Team 1 Goals]]&gt;tblActuals3541519[[#This Row],[Team 2 Goals]],tblActuals3541519[[#This Row],[Team 1]],IF(tblActuals3541519[[#This Row],[Team 2 Goals]]&gt;tblActuals3541519[[#This Row],[Team 1 Goals]],tblActuals3541519[[#This Row],[Team 2]],""))</f>
        <v/>
      </c>
      <c r="AA26" s="120" t="str">
        <f>IF(tblActuals3541519[[#This Row],[Winner]]=tblActuals3541519[[#This Row],[Team 1]],tblActuals3541519[[#This Row],[Team 2]],IF(tblActuals3541519[[#This Row],[Winner]]=tblActuals3541519[[#This Row],[Team 2]],tblActuals3541519[[#This Row],[Team 1]],""))</f>
        <v/>
      </c>
      <c r="AB26" s="120" t="str">
        <f>IF(tblActuals3541519[[#This Row],[SCORE]]="","",LEFT(I26,FIND(":",I26,1)-1)*1)</f>
        <v/>
      </c>
      <c r="AC26" s="120" t="str">
        <f>IF(tblActuals3541519[[#This Row],[SCORE]]="","",MID(I26,FIND(":",I26,1)+1,LEN(I26)-FIND(":",I26,1)+1)*1)</f>
        <v/>
      </c>
      <c r="AD26" s="120" t="str">
        <f>IF(OR(tblActuals3541519[[#This Row],[Team 1 Goals]]="",tblActuals3541519[[#This Row],[Team 2 Goals]]=""),"",tblActuals3541519[[#This Row],[Team 1 Goals]]-tblActuals3541519[[#This Row],[Team 2 Goals]])</f>
        <v/>
      </c>
      <c r="AE26" s="120" t="str">
        <f>IF(OR(tblActuals3541519[[#This Row],[Team 1 Goals]]="",tblActuals3541519[[#This Row],[Team 2 Goals]]=""),"",tblActuals3541519[[#This Row],[Team 2 Goals]]-tblActuals3541519[[#This Row],[Team 1 Goals]])</f>
        <v/>
      </c>
      <c r="AF26" s="120" t="str">
        <f>IF(tblActuals3541519[[#This Row],[SCORE]]="","",IF(tblActuals3541519[[#This Row],[WINNER / RESULT]]="Draw",1,IF(tblActuals3541519[[#This Row],[WINNER / RESULT]]=tblActuals3541519[[#This Row],[Team 1]],3,0)))</f>
        <v/>
      </c>
      <c r="AG26" s="120" t="str">
        <f>IF(tblActuals3541519[[#This Row],[SCORE]]="","",IF(tblActuals3541519[[#This Row],[WINNER / RESULT]]="Draw",1,IF(tblActuals3541519[[#This Row],[WINNER / RESULT]]=tblActuals3541519[[#This Row],[Team 2]],3,0)))</f>
        <v/>
      </c>
      <c r="AH26" s="121"/>
      <c r="AI26" s="121"/>
      <c r="AJ26" s="121"/>
      <c r="AK26" s="121"/>
      <c r="AL26" s="120" t="e">
        <f>tblActuals3541519[[#This Row],[Team 1 Goals]]+tblActuals3541519[[#This Row],[Team 1 ET Goals]]&amp;":"&amp;tblActuals3541519[[#This Row],[Team 2 Goals]]+tblActuals3541519[[#This Row],[Team 2 ET Goals]]</f>
        <v>#VALUE!</v>
      </c>
      <c r="AM26" s="120" t="e">
        <f>+tblActuals3541519[[#This Row],[Team 1 Goals]]+tblActuals3541519[[#This Row],[Team 2 Goals]]</f>
        <v>#VALUE!</v>
      </c>
      <c r="AN26" s="161">
        <f t="shared" si="3"/>
        <v>45465</v>
      </c>
      <c r="AT26" s="77" t="s">
        <v>7</v>
      </c>
      <c r="AU26" s="142">
        <v>3</v>
      </c>
      <c r="AV26" s="143" t="str">
        <f ca="1">IFERROR(INDEX(BD:BD,MATCH("3"&amp;AT26,BN:BN,0),1),"")</f>
        <v>Netherlands</v>
      </c>
      <c r="AW26" s="143" t="str">
        <f ca="1">IF(AV26="","",VLOOKUP(AV26,BD:BI,2,FALSE)&amp;"-"&amp;VLOOKUP(AV26,BD:BI,3,FALSE)&amp;"-"&amp;VLOOKUP(AV26,BD:BI,4,FALSE))</f>
        <v>0-0-0</v>
      </c>
      <c r="AX26" s="143">
        <f ca="1">IF(AV26="","",VLOOKUP(AV26,BD:BK,8,FALSE))</f>
        <v>0</v>
      </c>
      <c r="AY26" s="144">
        <f ca="1">IF(AV26="","",VLOOKUP(AV26,BD:BN,5,FALSE))</f>
        <v>0</v>
      </c>
      <c r="AZ26" s="75" t="str">
        <f ca="1">IF(INDEX($AU$43:$AU$48,MATCH(AV26,$AV$43:$AV$48,0),1)&lt;=4,"X","")</f>
        <v>X</v>
      </c>
      <c r="BA26" s="4"/>
      <c r="BB26" s="4"/>
      <c r="BC26" s="4" t="s">
        <v>12</v>
      </c>
      <c r="BD26" s="4" t="s">
        <v>130</v>
      </c>
      <c r="BE26" s="4">
        <f>COUNTIF(tblActuals3541519[Winner],BD26)</f>
        <v>0</v>
      </c>
      <c r="BF26" s="4">
        <f>COUNTIFS(tblActuals3541519[Team 2],BD26,tblActuals3541519[WINNER / RESULT],"Draw")+COUNTIFS(tblActuals3541519[Team 1],BD26,tblActuals3541519[WINNER / RESULT],"Draw")</f>
        <v>0</v>
      </c>
      <c r="BG26" s="4">
        <f>COUNTIF(tblActuals3541519[Loser],BD26)</f>
        <v>0</v>
      </c>
      <c r="BH26" s="4">
        <f>BF26+(3*BE26)</f>
        <v>0</v>
      </c>
      <c r="BI26" s="4">
        <f>SUMIFS(tblActuals3541519[Team 1 Goals],tblActuals3541519[Team 1],BD26)+SUMIFS(tblActuals3541519[Team 2 Goals],tblActuals3541519[Team 2],BD26)</f>
        <v>0</v>
      </c>
      <c r="BJ26" s="4">
        <f>SUMIFS(tblActuals3541519[Team 2 Goals],tblActuals3541519[Team 1],BD26)+SUMIFS(tblActuals3541519[Team 1 Goals],tblActuals3541519[Team 2],BD26)</f>
        <v>0</v>
      </c>
      <c r="BK26" s="4">
        <f>BI26-BJ26</f>
        <v>0</v>
      </c>
      <c r="BL26" s="4">
        <f ca="1">RANK(BY26,$BY$24:$BY$27,1)</f>
        <v>3</v>
      </c>
      <c r="BM26" s="4" t="str">
        <f t="shared" si="4"/>
        <v/>
      </c>
      <c r="BN26" s="4" t="str">
        <f ca="1">IF(BM26="",BL26&amp;BC26,BM26&amp;BC26)</f>
        <v>3E</v>
      </c>
      <c r="BO26" s="4">
        <f>RANK(BH26,$BH$24:$BH$27,0)</f>
        <v>1</v>
      </c>
      <c r="BP26" s="4" cm="1">
        <f t="array" aca="1" ref="BP26" ca="1">SUMPRODUCT((OFFSET($CV$3:$EA$3,MATCH($BD26,$CU$4:$CU$35,0),0))*((IF($BO24=$BO26,$CV$3:$EA$3=$BD24,0))+(IF($BO27=$BO26,$CV$3:$EA$3=$BD27,0))+(IF($BO25=$BO26,$CV$3:$EA$3=$BD25,0))))</f>
        <v>0</v>
      </c>
      <c r="BQ26" s="4" cm="1">
        <f t="array" aca="1" ref="BQ26" ca="1">SUMPRODUCT((OFFSET($ED$3:$FI$3,MATCH($BD26,$EC$4:$EC$35,0),0))*((IF($BO24=$BO26,$ED$3:$FI$3=$BD24,0))+(IF($BO27=$BO26,$ED$3:$FI$3=$BD27,0))+(IF($BO25=$BO26,$ED$3:$FI$3=$BD25,0))))</f>
        <v>0</v>
      </c>
      <c r="BR26" s="4" cm="1">
        <f t="array" aca="1" ref="BR26" ca="1">SUMPRODUCT((OFFSET($FL$3:$GQ$3,MATCH($BD26,$FK$4:$FK$35,0),0))*((IF($BO24=$BO26,$FL$3:$GQ$3=$BD24,0))+(IF($BO27=$BO26,$FL$3:$GQ$3=$BD27,0))+(IF($BO25=$BO26,$FL$3:$GQ$3=$BD25,0))))</f>
        <v>0</v>
      </c>
      <c r="BS26" s="4" cm="1">
        <f t="array" aca="1" ref="BS26" ca="1">SUMPRODUCT((OFFSET($CV$3:$EA$3,MATCH($BD26,$CU$4:$CU$35,0),0))*((IF($BO24&lt;&gt;$BO26,$CV$3:$EA$3=$BD24,0))+(IF($BO27&lt;&gt;$BO26,$CV$3:$EA$3=$BD27,0))+(IF($BO25&lt;&gt;$BO26,$CV$3:$EA$3=$BD25,0))))</f>
        <v>0</v>
      </c>
      <c r="BT26" s="4" cm="1">
        <f t="array" aca="1" ref="BT26" ca="1">SUMPRODUCT((OFFSET($ED$3:$FI$3,MATCH($BD26,$EC$4:$EC$35,0),0))*((IF($BO24&lt;&gt;$BO26,$ED$3:$FI$3=$BD24,0))+(IF($BO27&lt;&gt;$BO26,$ED$3:$FI$3=$BD27,0))+(IF($BO25&lt;&gt;$BO26,$ED$3:$FI$3=$BD25,0))))</f>
        <v>0</v>
      </c>
      <c r="BU26" s="4" cm="1">
        <f t="array" aca="1" ref="BU26" ca="1">SUMPRODUCT((OFFSET($FL$3:$GQ$3,MATCH($BD26,$FK$4:$FK$35,0),0))*((IF($BO24&lt;&gt;$BO26,$FL$3:$GQ$3=$BD24,0))+(IF($BO27&lt;&gt;$BO26,$FL$3:$GQ$3=$BD27,0))+(IF($BO25&lt;&gt;$BO26,$FL$3:$GQ$3=$BD25,0))))</f>
        <v>0</v>
      </c>
      <c r="BV26" s="4">
        <f>BK26</f>
        <v>0</v>
      </c>
      <c r="BW26" s="4">
        <f>BI26</f>
        <v>0</v>
      </c>
      <c r="BX26" s="4">
        <f ca="1">(BP26/10)+(BQ26/100)+(BR26/1000)+(BT26/10000)+(BU26/100000)+(BV26/1000000)+(BW26/10000000)+(ROW(BS25)/100000000)</f>
        <v>2.4999999999999999E-7</v>
      </c>
      <c r="BY26" s="4">
        <f ca="1">+BO26-BX26</f>
        <v>0.99999974999999997</v>
      </c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U26" s="4" t="s">
        <v>30</v>
      </c>
      <c r="CV26" s="56">
        <f>SUMIFS(tblActuals3541519[Team 2 Points],tblActuals3541519[Team 2],$CU26,tblActuals3541519[Team 1],CV$3)+SUMIFS(tblActuals3541519[Team 1 Points],tblActuals3541519[Team 1],$CU26,tblActuals3541519[Team 2],CV$3)</f>
        <v>0</v>
      </c>
      <c r="CW26" s="56">
        <f>SUMIFS(tblActuals3541519[Team 2 Points],tblActuals3541519[Team 2],$CU26,tblActuals3541519[Team 1],CW$3)+SUMIFS(tblActuals3541519[Team 1 Points],tblActuals3541519[Team 1],$CU26,tblActuals3541519[Team 2],CW$3)</f>
        <v>0</v>
      </c>
      <c r="CX26" s="56">
        <f>SUMIFS(tblActuals3541519[Team 2 Points],tblActuals3541519[Team 2],$CU26,tblActuals3541519[Team 1],CX$3)+SUMIFS(tblActuals3541519[Team 1 Points],tblActuals3541519[Team 1],$CU26,tblActuals3541519[Team 2],CX$3)</f>
        <v>0</v>
      </c>
      <c r="CY26" s="56">
        <f>SUMIFS(tblActuals3541519[Team 2 Points],tblActuals3541519[Team 2],$CU26,tblActuals3541519[Team 1],CY$3)+SUMIFS(tblActuals3541519[Team 1 Points],tblActuals3541519[Team 1],$CU26,tblActuals3541519[Team 2],CY$3)</f>
        <v>0</v>
      </c>
      <c r="CZ26" s="56">
        <f>SUMIFS(tblActuals3541519[Team 2 Points],tblActuals3541519[Team 2],$CU26,tblActuals3541519[Team 1],CZ$3)+SUMIFS(tblActuals3541519[Team 1 Points],tblActuals3541519[Team 1],$CU26,tblActuals3541519[Team 2],CZ$3)</f>
        <v>0</v>
      </c>
      <c r="DA26" s="56">
        <f>SUMIFS(tblActuals3541519[Team 2 Points],tblActuals3541519[Team 2],$CU26,tblActuals3541519[Team 1],DA$3)+SUMIFS(tblActuals3541519[Team 1 Points],tblActuals3541519[Team 1],$CU26,tblActuals3541519[Team 2],DA$3)</f>
        <v>0</v>
      </c>
      <c r="DB26" s="56">
        <f>SUMIFS(tblActuals3541519[Team 2 Points],tblActuals3541519[Team 2],$CU26,tblActuals3541519[Team 1],DB$3)+SUMIFS(tblActuals3541519[Team 1 Points],tblActuals3541519[Team 1],$CU26,tblActuals3541519[Team 2],DB$3)</f>
        <v>0</v>
      </c>
      <c r="DC26" s="56">
        <f>SUMIFS(tblActuals3541519[Team 2 Points],tblActuals3541519[Team 2],$CU26,tblActuals3541519[Team 1],DC$3)+SUMIFS(tblActuals3541519[Team 1 Points],tblActuals3541519[Team 1],$CU26,tblActuals3541519[Team 2],DC$3)</f>
        <v>0</v>
      </c>
      <c r="DD26" s="56">
        <f>SUMIFS(tblActuals3541519[Team 2 Points],tblActuals3541519[Team 2],$CU26,tblActuals3541519[Team 1],DD$3)+SUMIFS(tblActuals3541519[Team 1 Points],tblActuals3541519[Team 1],$CU26,tblActuals3541519[Team 2],DD$3)</f>
        <v>0</v>
      </c>
      <c r="DE26" s="56">
        <f>SUMIFS(tblActuals3541519[Team 2 Points],tblActuals3541519[Team 2],$CU26,tblActuals3541519[Team 1],DE$3)+SUMIFS(tblActuals3541519[Team 1 Points],tblActuals3541519[Team 1],$CU26,tblActuals3541519[Team 2],DE$3)</f>
        <v>0</v>
      </c>
      <c r="DF26" s="56">
        <f>SUMIFS(tblActuals3541519[Team 2 Points],tblActuals3541519[Team 2],$CU26,tblActuals3541519[Team 1],DF$3)+SUMIFS(tblActuals3541519[Team 1 Points],tblActuals3541519[Team 1],$CU26,tblActuals3541519[Team 2],DF$3)</f>
        <v>0</v>
      </c>
      <c r="DG26" s="56">
        <f>SUMIFS(tblActuals3541519[Team 2 Points],tblActuals3541519[Team 2],$CU26,tblActuals3541519[Team 1],DG$3)+SUMIFS(tblActuals3541519[Team 1 Points],tblActuals3541519[Team 1],$CU26,tblActuals3541519[Team 2],DG$3)</f>
        <v>0</v>
      </c>
      <c r="DH26" s="56">
        <f>SUMIFS(tblActuals3541519[Team 2 Points],tblActuals3541519[Team 2],$CU26,tblActuals3541519[Team 1],DH$3)+SUMIFS(tblActuals3541519[Team 1 Points],tblActuals3541519[Team 1],$CU26,tblActuals3541519[Team 2],DH$3)</f>
        <v>0</v>
      </c>
      <c r="DI26" s="56">
        <f>SUMIFS(tblActuals3541519[Team 2 Points],tblActuals3541519[Team 2],$CU26,tblActuals3541519[Team 1],DI$3)+SUMIFS(tblActuals3541519[Team 1 Points],tblActuals3541519[Team 1],$CU26,tblActuals3541519[Team 2],DI$3)</f>
        <v>0</v>
      </c>
      <c r="DJ26" s="56">
        <f>SUMIFS(tblActuals3541519[Team 2 Points],tblActuals3541519[Team 2],$CU26,tblActuals3541519[Team 1],DJ$3)+SUMIFS(tblActuals3541519[Team 1 Points],tblActuals3541519[Team 1],$CU26,tblActuals3541519[Team 2],DJ$3)</f>
        <v>0</v>
      </c>
      <c r="DK26" s="56">
        <f>SUMIFS(tblActuals3541519[Team 2 Points],tblActuals3541519[Team 2],$CU26,tblActuals3541519[Team 1],DK$3)+SUMIFS(tblActuals3541519[Team 1 Points],tblActuals3541519[Team 1],$CU26,tblActuals3541519[Team 2],DK$3)</f>
        <v>0</v>
      </c>
      <c r="DL26" s="56">
        <f>SUMIFS(tblActuals3541519[Team 2 Points],tblActuals3541519[Team 2],$CU26,tblActuals3541519[Team 1],DL$3)+SUMIFS(tblActuals3541519[Team 1 Points],tblActuals3541519[Team 1],$CU26,tblActuals3541519[Team 2],DL$3)</f>
        <v>0</v>
      </c>
      <c r="DM26" s="56">
        <f>SUMIFS(tblActuals3541519[Team 2 Points],tblActuals3541519[Team 2],$CU26,tblActuals3541519[Team 1],DM$3)+SUMIFS(tblActuals3541519[Team 1 Points],tblActuals3541519[Team 1],$CU26,tblActuals3541519[Team 2],DM$3)</f>
        <v>0</v>
      </c>
      <c r="DN26" s="56">
        <f>SUMIFS(tblActuals3541519[Team 2 Points],tblActuals3541519[Team 2],$CU26,tblActuals3541519[Team 1],DN$3)+SUMIFS(tblActuals3541519[Team 1 Points],tblActuals3541519[Team 1],$CU26,tblActuals3541519[Team 2],DN$3)</f>
        <v>0</v>
      </c>
      <c r="DO26" s="56">
        <f>SUMIFS(tblActuals3541519[Team 2 Points],tblActuals3541519[Team 2],$CU26,tblActuals3541519[Team 1],DO$3)+SUMIFS(tblActuals3541519[Team 1 Points],tblActuals3541519[Team 1],$CU26,tblActuals3541519[Team 2],DO$3)</f>
        <v>0</v>
      </c>
      <c r="DP26" s="56">
        <f>SUMIFS(tblActuals3541519[Team 2 Points],tblActuals3541519[Team 2],$CU26,tblActuals3541519[Team 1],DP$3)+SUMIFS(tblActuals3541519[Team 1 Points],tblActuals3541519[Team 1],$CU26,tblActuals3541519[Team 2],DP$3)</f>
        <v>0</v>
      </c>
      <c r="DQ26" s="56">
        <f>SUMIFS(tblActuals3541519[Team 2 Points],tblActuals3541519[Team 2],$CU26,tblActuals3541519[Team 1],DQ$3)+SUMIFS(tblActuals3541519[Team 1 Points],tblActuals3541519[Team 1],$CU26,tblActuals3541519[Team 2],DQ$3)</f>
        <v>0</v>
      </c>
      <c r="DR26" s="56">
        <f>SUMIFS(tblActuals3541519[Team 2 Points],tblActuals3541519[Team 2],$CU26,tblActuals3541519[Team 1],DR$3)+SUMIFS(tblActuals3541519[Team 1 Points],tblActuals3541519[Team 1],$CU26,tblActuals3541519[Team 2],DR$3)</f>
        <v>0</v>
      </c>
      <c r="DS26" s="56">
        <f>SUMIFS(tblActuals3541519[Team 2 Points],tblActuals3541519[Team 2],$CU26,tblActuals3541519[Team 1],DS$3)+SUMIFS(tblActuals3541519[Team 1 Points],tblActuals3541519[Team 1],$CU26,tblActuals3541519[Team 2],DS$3)</f>
        <v>0</v>
      </c>
      <c r="DT26" s="57"/>
      <c r="DU26" s="57"/>
      <c r="DV26" s="57"/>
      <c r="DW26" s="57"/>
      <c r="DX26" s="57"/>
      <c r="DY26" s="57"/>
      <c r="DZ26" s="57"/>
      <c r="EA26" s="57"/>
      <c r="EB26" s="4"/>
      <c r="EC26" s="4" t="s">
        <v>30</v>
      </c>
      <c r="ED26" s="56">
        <f>SUMIFS(tblActuals3541519[Team 2 GD],tblActuals3541519[Team 2],$CU26,tblActuals3541519[Team 1],ED$3)+SUMIFS(tblActuals3541519[Team 1 GD],tblActuals3541519[Team 1],$CU26,tblActuals3541519[Team 2],ED$3)</f>
        <v>0</v>
      </c>
      <c r="EE26" s="56">
        <f>SUMIFS(tblActuals3541519[Team 2 GD],tblActuals3541519[Team 2],$CU26,tblActuals3541519[Team 1],EE$3)+SUMIFS(tblActuals3541519[Team 1 GD],tblActuals3541519[Team 1],$CU26,tblActuals3541519[Team 2],EE$3)</f>
        <v>0</v>
      </c>
      <c r="EF26" s="56">
        <f>SUMIFS(tblActuals3541519[Team 2 GD],tblActuals3541519[Team 2],$CU26,tblActuals3541519[Team 1],EF$3)+SUMIFS(tblActuals3541519[Team 1 GD],tblActuals3541519[Team 1],$CU26,tblActuals3541519[Team 2],EF$3)</f>
        <v>0</v>
      </c>
      <c r="EG26" s="56">
        <f>SUMIFS(tblActuals3541519[Team 2 GD],tblActuals3541519[Team 2],$CU26,tblActuals3541519[Team 1],EG$3)+SUMIFS(tblActuals3541519[Team 1 GD],tblActuals3541519[Team 1],$CU26,tblActuals3541519[Team 2],EG$3)</f>
        <v>0</v>
      </c>
      <c r="EH26" s="56">
        <f>SUMIFS(tblActuals3541519[Team 2 GD],tblActuals3541519[Team 2],$CU26,tblActuals3541519[Team 1],EH$3)+SUMIFS(tblActuals3541519[Team 1 GD],tblActuals3541519[Team 1],$CU26,tblActuals3541519[Team 2],EH$3)</f>
        <v>0</v>
      </c>
      <c r="EI26" s="56">
        <f>SUMIFS(tblActuals3541519[Team 2 GD],tblActuals3541519[Team 2],$CU26,tblActuals3541519[Team 1],EI$3)+SUMIFS(tblActuals3541519[Team 1 GD],tblActuals3541519[Team 1],$CU26,tblActuals3541519[Team 2],EI$3)</f>
        <v>0</v>
      </c>
      <c r="EJ26" s="56">
        <f>SUMIFS(tblActuals3541519[Team 2 GD],tblActuals3541519[Team 2],$CU26,tblActuals3541519[Team 1],EJ$3)+SUMIFS(tblActuals3541519[Team 1 GD],tblActuals3541519[Team 1],$CU26,tblActuals3541519[Team 2],EJ$3)</f>
        <v>0</v>
      </c>
      <c r="EK26" s="56">
        <f>SUMIFS(tblActuals3541519[Team 2 GD],tblActuals3541519[Team 2],$CU26,tblActuals3541519[Team 1],EK$3)+SUMIFS(tblActuals3541519[Team 1 GD],tblActuals3541519[Team 1],$CU26,tblActuals3541519[Team 2],EK$3)</f>
        <v>0</v>
      </c>
      <c r="EL26" s="56">
        <f>SUMIFS(tblActuals3541519[Team 2 GD],tblActuals3541519[Team 2],$CU26,tblActuals3541519[Team 1],EL$3)+SUMIFS(tblActuals3541519[Team 1 GD],tblActuals3541519[Team 1],$CU26,tblActuals3541519[Team 2],EL$3)</f>
        <v>0</v>
      </c>
      <c r="EM26" s="56">
        <f>SUMIFS(tblActuals3541519[Team 2 GD],tblActuals3541519[Team 2],$CU26,tblActuals3541519[Team 1],EM$3)+SUMIFS(tblActuals3541519[Team 1 GD],tblActuals3541519[Team 1],$CU26,tblActuals3541519[Team 2],EM$3)</f>
        <v>0</v>
      </c>
      <c r="EN26" s="56">
        <f>SUMIFS(tblActuals3541519[Team 2 GD],tblActuals3541519[Team 2],$CU26,tblActuals3541519[Team 1],EN$3)+SUMIFS(tblActuals3541519[Team 1 GD],tblActuals3541519[Team 1],$CU26,tblActuals3541519[Team 2],EN$3)</f>
        <v>0</v>
      </c>
      <c r="EO26" s="56">
        <f>SUMIFS(tblActuals3541519[Team 2 GD],tblActuals3541519[Team 2],$CU26,tblActuals3541519[Team 1],EO$3)+SUMIFS(tblActuals3541519[Team 1 GD],tblActuals3541519[Team 1],$CU26,tblActuals3541519[Team 2],EO$3)</f>
        <v>0</v>
      </c>
      <c r="EP26" s="56">
        <f>SUMIFS(tblActuals3541519[Team 2 GD],tblActuals3541519[Team 2],$CU26,tblActuals3541519[Team 1],EP$3)+SUMIFS(tblActuals3541519[Team 1 GD],tblActuals3541519[Team 1],$CU26,tblActuals3541519[Team 2],EP$3)</f>
        <v>0</v>
      </c>
      <c r="EQ26" s="56">
        <f>SUMIFS(tblActuals3541519[Team 2 GD],tblActuals3541519[Team 2],$CU26,tblActuals3541519[Team 1],EQ$3)+SUMIFS(tblActuals3541519[Team 1 GD],tblActuals3541519[Team 1],$CU26,tblActuals3541519[Team 2],EQ$3)</f>
        <v>0</v>
      </c>
      <c r="ER26" s="56">
        <f>SUMIFS(tblActuals3541519[Team 2 GD],tblActuals3541519[Team 2],$CU26,tblActuals3541519[Team 1],ER$3)+SUMIFS(tblActuals3541519[Team 1 GD],tblActuals3541519[Team 1],$CU26,tblActuals3541519[Team 2],ER$3)</f>
        <v>0</v>
      </c>
      <c r="ES26" s="56">
        <f>SUMIFS(tblActuals3541519[Team 2 GD],tblActuals3541519[Team 2],$CU26,tblActuals3541519[Team 1],ES$3)+SUMIFS(tblActuals3541519[Team 1 GD],tblActuals3541519[Team 1],$CU26,tblActuals3541519[Team 2],ES$3)</f>
        <v>0</v>
      </c>
      <c r="ET26" s="56">
        <f>SUMIFS(tblActuals3541519[Team 2 GD],tblActuals3541519[Team 2],$CU26,tblActuals3541519[Team 1],ET$3)+SUMIFS(tblActuals3541519[Team 1 GD],tblActuals3541519[Team 1],$CU26,tblActuals3541519[Team 2],ET$3)</f>
        <v>0</v>
      </c>
      <c r="EU26" s="56">
        <f>SUMIFS(tblActuals3541519[Team 2 GD],tblActuals3541519[Team 2],$CU26,tblActuals3541519[Team 1],EU$3)+SUMIFS(tblActuals3541519[Team 1 GD],tblActuals3541519[Team 1],$CU26,tblActuals3541519[Team 2],EU$3)</f>
        <v>0</v>
      </c>
      <c r="EV26" s="56">
        <f>SUMIFS(tblActuals3541519[Team 2 GD],tblActuals3541519[Team 2],$CU26,tblActuals3541519[Team 1],EV$3)+SUMIFS(tblActuals3541519[Team 1 GD],tblActuals3541519[Team 1],$CU26,tblActuals3541519[Team 2],EV$3)</f>
        <v>0</v>
      </c>
      <c r="EW26" s="56">
        <f>SUMIFS(tblActuals3541519[Team 2 GD],tblActuals3541519[Team 2],$CU26,tblActuals3541519[Team 1],EW$3)+SUMIFS(tblActuals3541519[Team 1 GD],tblActuals3541519[Team 1],$CU26,tblActuals3541519[Team 2],EW$3)</f>
        <v>0</v>
      </c>
      <c r="EX26" s="56">
        <f>SUMIFS(tblActuals3541519[Team 2 GD],tblActuals3541519[Team 2],$CU26,tblActuals3541519[Team 1],EX$3)+SUMIFS(tblActuals3541519[Team 1 GD],tblActuals3541519[Team 1],$CU26,tblActuals3541519[Team 2],EX$3)</f>
        <v>0</v>
      </c>
      <c r="EY26" s="56">
        <f>SUMIFS(tblActuals3541519[Team 2 GD],tblActuals3541519[Team 2],$CU26,tblActuals3541519[Team 1],EY$3)+SUMIFS(tblActuals3541519[Team 1 GD],tblActuals3541519[Team 1],$CU26,tblActuals3541519[Team 2],EY$3)</f>
        <v>0</v>
      </c>
      <c r="EZ26" s="56">
        <f>SUMIFS(tblActuals3541519[Team 2 GD],tblActuals3541519[Team 2],$CU26,tblActuals3541519[Team 1],EZ$3)+SUMIFS(tblActuals3541519[Team 1 GD],tblActuals3541519[Team 1],$CU26,tblActuals3541519[Team 2],EZ$3)</f>
        <v>0</v>
      </c>
      <c r="FA26" s="56">
        <f>SUMIFS(tblActuals3541519[Team 2 GD],tblActuals3541519[Team 2],$CU26,tblActuals3541519[Team 1],FA$3)+SUMIFS(tblActuals3541519[Team 1 GD],tblActuals3541519[Team 1],$CU26,tblActuals3541519[Team 2],FA$3)</f>
        <v>0</v>
      </c>
      <c r="FB26" s="57"/>
      <c r="FC26" s="57"/>
      <c r="FD26" s="57"/>
      <c r="FE26" s="57"/>
      <c r="FF26" s="57"/>
      <c r="FG26" s="57"/>
      <c r="FH26" s="57"/>
      <c r="FI26" s="57"/>
      <c r="FJ26" s="4"/>
      <c r="FK26" s="4" t="s">
        <v>30</v>
      </c>
      <c r="FL26" s="56">
        <f>SUMIFS(tblActuals3541519[Team 2 Goals],tblActuals3541519[Team 2],$CU26,tblActuals3541519[Team 1],FL$3)+SUMIFS(tblActuals3541519[Team 1 Goals],tblActuals3541519[Team 1],$CU26,tblActuals3541519[Team 2],FL$3)</f>
        <v>0</v>
      </c>
      <c r="FM26" s="56">
        <f>SUMIFS(tblActuals3541519[Team 2 Goals],tblActuals3541519[Team 2],$CU26,tblActuals3541519[Team 1],FM$3)+SUMIFS(tblActuals3541519[Team 1 Goals],tblActuals3541519[Team 1],$CU26,tblActuals3541519[Team 2],FM$3)</f>
        <v>0</v>
      </c>
      <c r="FN26" s="56">
        <f>SUMIFS(tblActuals3541519[Team 2 Goals],tblActuals3541519[Team 2],$CU26,tblActuals3541519[Team 1],FN$3)+SUMIFS(tblActuals3541519[Team 1 Goals],tblActuals3541519[Team 1],$CU26,tblActuals3541519[Team 2],FN$3)</f>
        <v>0</v>
      </c>
      <c r="FO26" s="56">
        <f>SUMIFS(tblActuals3541519[Team 2 Goals],tblActuals3541519[Team 2],$CU26,tblActuals3541519[Team 1],FO$3)+SUMIFS(tblActuals3541519[Team 1 Goals],tblActuals3541519[Team 1],$CU26,tblActuals3541519[Team 2],FO$3)</f>
        <v>0</v>
      </c>
      <c r="FP26" s="56">
        <f>SUMIFS(tblActuals3541519[Team 2 Goals],tblActuals3541519[Team 2],$CU26,tblActuals3541519[Team 1],FP$3)+SUMIFS(tblActuals3541519[Team 1 Goals],tblActuals3541519[Team 1],$CU26,tblActuals3541519[Team 2],FP$3)</f>
        <v>0</v>
      </c>
      <c r="FQ26" s="56">
        <f>SUMIFS(tblActuals3541519[Team 2 Goals],tblActuals3541519[Team 2],$CU26,tblActuals3541519[Team 1],FQ$3)+SUMIFS(tblActuals3541519[Team 1 Goals],tblActuals3541519[Team 1],$CU26,tblActuals3541519[Team 2],FQ$3)</f>
        <v>0</v>
      </c>
      <c r="FR26" s="56">
        <f>SUMIFS(tblActuals3541519[Team 2 Goals],tblActuals3541519[Team 2],$CU26,tblActuals3541519[Team 1],FR$3)+SUMIFS(tblActuals3541519[Team 1 Goals],tblActuals3541519[Team 1],$CU26,tblActuals3541519[Team 2],FR$3)</f>
        <v>0</v>
      </c>
      <c r="FS26" s="56">
        <f>SUMIFS(tblActuals3541519[Team 2 Goals],tblActuals3541519[Team 2],$CU26,tblActuals3541519[Team 1],FS$3)+SUMIFS(tblActuals3541519[Team 1 Goals],tblActuals3541519[Team 1],$CU26,tblActuals3541519[Team 2],FS$3)</f>
        <v>0</v>
      </c>
      <c r="FT26" s="56">
        <f>SUMIFS(tblActuals3541519[Team 2 Goals],tblActuals3541519[Team 2],$CU26,tblActuals3541519[Team 1],FT$3)+SUMIFS(tblActuals3541519[Team 1 Goals],tblActuals3541519[Team 1],$CU26,tblActuals3541519[Team 2],FT$3)</f>
        <v>0</v>
      </c>
      <c r="FU26" s="56">
        <f>SUMIFS(tblActuals3541519[Team 2 Goals],tblActuals3541519[Team 2],$CU26,tblActuals3541519[Team 1],FU$3)+SUMIFS(tblActuals3541519[Team 1 Goals],tblActuals3541519[Team 1],$CU26,tblActuals3541519[Team 2],FU$3)</f>
        <v>0</v>
      </c>
      <c r="FV26" s="56">
        <f>SUMIFS(tblActuals3541519[Team 2 Goals],tblActuals3541519[Team 2],$CU26,tblActuals3541519[Team 1],FV$3)+SUMIFS(tblActuals3541519[Team 1 Goals],tblActuals3541519[Team 1],$CU26,tblActuals3541519[Team 2],FV$3)</f>
        <v>0</v>
      </c>
      <c r="FW26" s="56">
        <f>SUMIFS(tblActuals3541519[Team 2 Goals],tblActuals3541519[Team 2],$CU26,tblActuals3541519[Team 1],FW$3)+SUMIFS(tblActuals3541519[Team 1 Goals],tblActuals3541519[Team 1],$CU26,tblActuals3541519[Team 2],FW$3)</f>
        <v>0</v>
      </c>
      <c r="FX26" s="56">
        <f>SUMIFS(tblActuals3541519[Team 2 Goals],tblActuals3541519[Team 2],$CU26,tblActuals3541519[Team 1],FX$3)+SUMIFS(tblActuals3541519[Team 1 Goals],tblActuals3541519[Team 1],$CU26,tblActuals3541519[Team 2],FX$3)</f>
        <v>0</v>
      </c>
      <c r="FY26" s="56">
        <f>SUMIFS(tblActuals3541519[Team 2 Goals],tblActuals3541519[Team 2],$CU26,tblActuals3541519[Team 1],FY$3)+SUMIFS(tblActuals3541519[Team 1 Goals],tblActuals3541519[Team 1],$CU26,tblActuals3541519[Team 2],FY$3)</f>
        <v>0</v>
      </c>
      <c r="FZ26" s="56">
        <f>SUMIFS(tblActuals3541519[Team 2 Goals],tblActuals3541519[Team 2],$CU26,tblActuals3541519[Team 1],FZ$3)+SUMIFS(tblActuals3541519[Team 1 Goals],tblActuals3541519[Team 1],$CU26,tblActuals3541519[Team 2],FZ$3)</f>
        <v>0</v>
      </c>
      <c r="GA26" s="56">
        <f>SUMIFS(tblActuals3541519[Team 2 Goals],tblActuals3541519[Team 2],$CU26,tblActuals3541519[Team 1],GA$3)+SUMIFS(tblActuals3541519[Team 1 Goals],tblActuals3541519[Team 1],$CU26,tblActuals3541519[Team 2],GA$3)</f>
        <v>0</v>
      </c>
      <c r="GB26" s="56">
        <f>SUMIFS(tblActuals3541519[Team 2 Goals],tblActuals3541519[Team 2],$CU26,tblActuals3541519[Team 1],GB$3)+SUMIFS(tblActuals3541519[Team 1 Goals],tblActuals3541519[Team 1],$CU26,tblActuals3541519[Team 2],GB$3)</f>
        <v>0</v>
      </c>
      <c r="GC26" s="56">
        <f>SUMIFS(tblActuals3541519[Team 2 Goals],tblActuals3541519[Team 2],$CU26,tblActuals3541519[Team 1],GC$3)+SUMIFS(tblActuals3541519[Team 1 Goals],tblActuals3541519[Team 1],$CU26,tblActuals3541519[Team 2],GC$3)</f>
        <v>0</v>
      </c>
      <c r="GD26" s="56">
        <f>SUMIFS(tblActuals3541519[Team 2 Goals],tblActuals3541519[Team 2],$CU26,tblActuals3541519[Team 1],GD$3)+SUMIFS(tblActuals3541519[Team 1 Goals],tblActuals3541519[Team 1],$CU26,tblActuals3541519[Team 2],GD$3)</f>
        <v>0</v>
      </c>
      <c r="GE26" s="56">
        <f>SUMIFS(tblActuals3541519[Team 2 Goals],tblActuals3541519[Team 2],$CU26,tblActuals3541519[Team 1],GE$3)+SUMIFS(tblActuals3541519[Team 1 Goals],tblActuals3541519[Team 1],$CU26,tblActuals3541519[Team 2],GE$3)</f>
        <v>0</v>
      </c>
      <c r="GF26" s="56">
        <f>SUMIFS(tblActuals3541519[Team 2 Goals],tblActuals3541519[Team 2],$CU26,tblActuals3541519[Team 1],GF$3)+SUMIFS(tblActuals3541519[Team 1 Goals],tblActuals3541519[Team 1],$CU26,tblActuals3541519[Team 2],GF$3)</f>
        <v>0</v>
      </c>
      <c r="GG26" s="56">
        <f>SUMIFS(tblActuals3541519[Team 2 Goals],tblActuals3541519[Team 2],$CU26,tblActuals3541519[Team 1],GG$3)+SUMIFS(tblActuals3541519[Team 1 Goals],tblActuals3541519[Team 1],$CU26,tblActuals3541519[Team 2],GG$3)</f>
        <v>0</v>
      </c>
      <c r="GH26" s="56">
        <f>SUMIFS(tblActuals3541519[Team 2 Goals],tblActuals3541519[Team 2],$CU26,tblActuals3541519[Team 1],GH$3)+SUMIFS(tblActuals3541519[Team 1 Goals],tblActuals3541519[Team 1],$CU26,tblActuals3541519[Team 2],GH$3)</f>
        <v>0</v>
      </c>
      <c r="GI26" s="56">
        <f>SUMIFS(tblActuals3541519[Team 2 Goals],tblActuals3541519[Team 2],$CU26,tblActuals3541519[Team 1],GI$3)+SUMIFS(tblActuals3541519[Team 1 Goals],tblActuals3541519[Team 1],$CU26,tblActuals3541519[Team 2],GI$3)</f>
        <v>0</v>
      </c>
      <c r="GJ26" s="57"/>
      <c r="GK26" s="57"/>
      <c r="GL26" s="37"/>
      <c r="GM26" s="37"/>
      <c r="GN26" s="37"/>
      <c r="GO26" s="37"/>
      <c r="GP26" s="37"/>
      <c r="GQ26" s="37"/>
      <c r="GR26" s="75"/>
      <c r="GS26" s="148"/>
      <c r="GT26" s="148"/>
      <c r="GU26" s="75"/>
      <c r="GV26" s="75"/>
      <c r="GW26" s="75"/>
      <c r="GX26" s="75"/>
      <c r="GY26" s="75"/>
      <c r="GZ26" s="75"/>
    </row>
    <row r="27" spans="1:221" s="11" customFormat="1" ht="30" customHeight="1" thickBot="1" x14ac:dyDescent="0.3">
      <c r="A27" s="20"/>
      <c r="B27" s="122">
        <v>24</v>
      </c>
      <c r="C27" s="122" t="s">
        <v>45</v>
      </c>
      <c r="D27" s="123">
        <v>45465</v>
      </c>
      <c r="E27" s="122" t="s">
        <v>84</v>
      </c>
      <c r="F27" s="124">
        <v>0.625</v>
      </c>
      <c r="G27" s="125">
        <f t="shared" si="11"/>
        <v>45465.375</v>
      </c>
      <c r="H27" s="122" t="s">
        <v>112</v>
      </c>
      <c r="I27" s="126"/>
      <c r="J27" s="118"/>
      <c r="K27" s="118"/>
      <c r="L27" s="174">
        <f>IF(I27="",0,IFERROR(IF(SCORING.RULES!$C$8="No",1,((VLOOKUP($B27,ACTUALS!$B$4:$L$100,7,FALSE)=$H27)+(VLOOKUP($B27,ACTUALS!$B$4:$L$100,7,FALSE)=S27)))*(M27+N27+O27+P27+Q27),0))+$R27</f>
        <v>0</v>
      </c>
      <c r="M27" s="168">
        <f>IFERROR(IF($B27="","",IF(U27=INDEX(ACTUALS!$AA$4:$AA$100,MATCH($B27,ACTUALS!$B$4:$B$100,0),1),CorrectScore,0)),0)</f>
        <v>0</v>
      </c>
      <c r="N27" s="157" t="str">
        <f>IFERROR(IF(I27="","",IF(INDEX(ACTUALS!$AB$4:$AB$100,MATCH($B27,ACTUALS!$B$4:$B$100,0),1)=(AB27+AC27+AH27+AI27),CorrectNumberofGoals,0)),0)</f>
        <v/>
      </c>
      <c r="O27" s="157"/>
      <c r="P27" s="157">
        <f>IFERROR(IF(B27="","",IF(INDEX(ACTUALS!$L$4:$L$100,MATCH($B27,ACTUALS!$B$4:$B$100,0),1)=W27,CorrectResult,0)),0)</f>
        <v>3</v>
      </c>
      <c r="Q27" s="157"/>
      <c r="R27" s="157"/>
      <c r="S27" s="157" t="str">
        <f t="shared" si="0"/>
        <v/>
      </c>
      <c r="T27" s="157"/>
      <c r="U27" s="157" t="str">
        <f t="shared" si="1"/>
        <v/>
      </c>
      <c r="V27" s="157" t="str">
        <f t="shared" si="2"/>
        <v/>
      </c>
      <c r="W27" s="119" t="str">
        <f>IF(tblActuals3541519[[#This Row],[SCORE]]="","",IF(AB27=AC27,"Draw",IF(AB27&gt;AC27,X27,Y27)))</f>
        <v/>
      </c>
      <c r="X27" s="120" t="str">
        <f>IF(tblActuals3541519[[#This Row],[TEAMS]]="","",LEFT(H27,FIND(" -",H27,1)-1))</f>
        <v>Georgia</v>
      </c>
      <c r="Y27" s="120" t="str">
        <f>IF(tblActuals3541519[[#This Row],[TEAMS]]="","",MID(H27,FIND("-",H27,1)+2,LEN(H27)-FIND("-",H27,1)+2))</f>
        <v>Czechia</v>
      </c>
      <c r="Z27" s="120" t="str">
        <f>IF(tblActuals3541519[[#This Row],[Team 1 Goals]]&gt;tblActuals3541519[[#This Row],[Team 2 Goals]],tblActuals3541519[[#This Row],[Team 1]],IF(tblActuals3541519[[#This Row],[Team 2 Goals]]&gt;tblActuals3541519[[#This Row],[Team 1 Goals]],tblActuals3541519[[#This Row],[Team 2]],""))</f>
        <v/>
      </c>
      <c r="AA27" s="120" t="str">
        <f>IF(tblActuals3541519[[#This Row],[Winner]]=tblActuals3541519[[#This Row],[Team 1]],tblActuals3541519[[#This Row],[Team 2]],IF(tblActuals3541519[[#This Row],[Winner]]=tblActuals3541519[[#This Row],[Team 2]],tblActuals3541519[[#This Row],[Team 1]],""))</f>
        <v/>
      </c>
      <c r="AB27" s="120" t="str">
        <f>IF(tblActuals3541519[[#This Row],[SCORE]]="","",LEFT(I27,FIND(":",I27,1)-1)*1)</f>
        <v/>
      </c>
      <c r="AC27" s="120" t="str">
        <f>IF(tblActuals3541519[[#This Row],[SCORE]]="","",MID(I27,FIND(":",I27,1)+1,LEN(I27)-FIND(":",I27,1)+1)*1)</f>
        <v/>
      </c>
      <c r="AD27" s="120" t="str">
        <f>IF(OR(tblActuals3541519[[#This Row],[Team 1 Goals]]="",tblActuals3541519[[#This Row],[Team 2 Goals]]=""),"",tblActuals3541519[[#This Row],[Team 1 Goals]]-tblActuals3541519[[#This Row],[Team 2 Goals]])</f>
        <v/>
      </c>
      <c r="AE27" s="120" t="str">
        <f>IF(OR(tblActuals3541519[[#This Row],[Team 1 Goals]]="",tblActuals3541519[[#This Row],[Team 2 Goals]]=""),"",tblActuals3541519[[#This Row],[Team 2 Goals]]-tblActuals3541519[[#This Row],[Team 1 Goals]])</f>
        <v/>
      </c>
      <c r="AF27" s="120" t="str">
        <f>IF(tblActuals3541519[[#This Row],[SCORE]]="","",IF(tblActuals3541519[[#This Row],[WINNER / RESULT]]="Draw",1,IF(tblActuals3541519[[#This Row],[WINNER / RESULT]]=tblActuals3541519[[#This Row],[Team 1]],3,0)))</f>
        <v/>
      </c>
      <c r="AG27" s="120" t="str">
        <f>IF(tblActuals3541519[[#This Row],[SCORE]]="","",IF(tblActuals3541519[[#This Row],[WINNER / RESULT]]="Draw",1,IF(tblActuals3541519[[#This Row],[WINNER / RESULT]]=tblActuals3541519[[#This Row],[Team 2]],3,0)))</f>
        <v/>
      </c>
      <c r="AH27" s="121"/>
      <c r="AI27" s="121"/>
      <c r="AJ27" s="121"/>
      <c r="AK27" s="121"/>
      <c r="AL27" s="120" t="e">
        <f>tblActuals3541519[[#This Row],[Team 1 Goals]]+tblActuals3541519[[#This Row],[Team 1 ET Goals]]&amp;":"&amp;tblActuals3541519[[#This Row],[Team 2 Goals]]+tblActuals3541519[[#This Row],[Team 2 ET Goals]]</f>
        <v>#VALUE!</v>
      </c>
      <c r="AM27" s="120" t="e">
        <f>+tblActuals3541519[[#This Row],[Team 1 Goals]]+tblActuals3541519[[#This Row],[Team 2 Goals]]</f>
        <v>#VALUE!</v>
      </c>
      <c r="AN27" s="161">
        <f t="shared" si="3"/>
        <v>45465</v>
      </c>
      <c r="AT27" s="77" t="s">
        <v>7</v>
      </c>
      <c r="AU27" s="145">
        <v>4</v>
      </c>
      <c r="AV27" s="146" t="str">
        <f ca="1">IFERROR(INDEX(BD:BD,MATCH("4"&amp;AT27,BN:BN,0),1),"")</f>
        <v>Poland</v>
      </c>
      <c r="AW27" s="146" t="str">
        <f ca="1">IF(AV27="","",VLOOKUP(AV27,BD:BI,2,FALSE)&amp;"-"&amp;VLOOKUP(AV27,BD:BI,3,FALSE)&amp;"-"&amp;VLOOKUP(AV27,BD:BI,4,FALSE))</f>
        <v>0-0-0</v>
      </c>
      <c r="AX27" s="146">
        <f ca="1">IF(AV27="","",VLOOKUP(AV27,BD:BK,8,FALSE))</f>
        <v>0</v>
      </c>
      <c r="AY27" s="147">
        <f ca="1">IF(AV27="","",VLOOKUP(AV27,BD:BN,5,FALSE))</f>
        <v>0</v>
      </c>
      <c r="AZ27" s="75"/>
      <c r="BA27" s="4"/>
      <c r="BB27" s="4"/>
      <c r="BC27" s="4" t="s">
        <v>12</v>
      </c>
      <c r="BD27" s="4" t="s">
        <v>132</v>
      </c>
      <c r="BE27" s="4">
        <f>COUNTIF(tblActuals3541519[Winner],BD27)</f>
        <v>0</v>
      </c>
      <c r="BF27" s="4">
        <f>COUNTIFS(tblActuals3541519[Team 2],BD27,tblActuals3541519[WINNER / RESULT],"Draw")+COUNTIFS(tblActuals3541519[Team 1],BD27,tblActuals3541519[WINNER / RESULT],"Draw")</f>
        <v>0</v>
      </c>
      <c r="BG27" s="4">
        <f>COUNTIF(tblActuals3541519[Loser],BD27)</f>
        <v>0</v>
      </c>
      <c r="BH27" s="4">
        <f>BF27+(3*BE27)</f>
        <v>0</v>
      </c>
      <c r="BI27" s="4">
        <f>SUMIFS(tblActuals3541519[Team 1 Goals],tblActuals3541519[Team 1],BD27)+SUMIFS(tblActuals3541519[Team 2 Goals],tblActuals3541519[Team 2],BD27)</f>
        <v>0</v>
      </c>
      <c r="BJ27" s="4">
        <f>SUMIFS(tblActuals3541519[Team 2 Goals],tblActuals3541519[Team 1],BD27)+SUMIFS(tblActuals3541519[Team 1 Goals],tblActuals3541519[Team 2],BD27)</f>
        <v>0</v>
      </c>
      <c r="BK27" s="4">
        <f>BI27-BJ27</f>
        <v>0</v>
      </c>
      <c r="BL27" s="4">
        <f ca="1">RANK(BY27,$BY$24:$BY$27,1)</f>
        <v>4</v>
      </c>
      <c r="BM27" s="4" t="str">
        <f t="shared" si="4"/>
        <v/>
      </c>
      <c r="BN27" s="4" t="str">
        <f ca="1">IF(BM27="",BL27&amp;BC27,BM27&amp;BC27)</f>
        <v>4E</v>
      </c>
      <c r="BO27" s="4">
        <f>RANK(BH27,$BH$24:$BH$27,0)</f>
        <v>1</v>
      </c>
      <c r="BP27" s="4" cm="1">
        <f t="array" aca="1" ref="BP27" ca="1">SUMPRODUCT((OFFSET($CV$3:$EA$3,MATCH($BD27,$CU$4:$CU$35,0),0))*((IF($BO25=$BO27,$CV$3:$EA$3=$BD25,0))+(IF($BO24=$BO27,$CV$3:$EA$3=$BD24,0))+(IF($BO26=$BO27,$CV$3:$EA$3=$BD26,0))))</f>
        <v>0</v>
      </c>
      <c r="BQ27" s="4" cm="1">
        <f t="array" aca="1" ref="BQ27" ca="1">SUMPRODUCT((OFFSET($ED$3:$FI$3,MATCH($BD27,$EC$4:$EC$35,0),0))*((IF($BO25=$BO27,$ED$3:$FI$3=$BD25,0))+(IF($BO24=$BO27,$ED$3:$FI$3=$BD24,0))+(IF($BO26=$BO27,$ED$3:$FI$3=$BD26,0))))</f>
        <v>0</v>
      </c>
      <c r="BR27" s="4" cm="1">
        <f t="array" aca="1" ref="BR27" ca="1">SUMPRODUCT((OFFSET($FL$3:$GQ$3,MATCH($BD27,$FK$4:$FK$35,0),0))*((IF($BO25=$BO27,$FL$3:$GQ$3=$BD25,0))+(IF($BO24=$BO27,$FL$3:$GQ$3=$BD24,0))+(IF($BO26=$BO27,$FL$3:$GQ$3=$BD26,0))))</f>
        <v>0</v>
      </c>
      <c r="BS27" s="4" cm="1">
        <f t="array" aca="1" ref="BS27" ca="1">SUMPRODUCT((OFFSET($CV$3:$EA$3,MATCH($BD27,$CU$4:$CU$35,0),0))*((IF($BO25&lt;&gt;$BO27,$CV$3:$EA$3=$BD25,0))+(IF($BO24&lt;&gt;$BO27,$CV$3:$EA$3=$BD24,0))+(IF($BO26&lt;&gt;$BO27,$CV$3:$EA$3=$BD26,0))))</f>
        <v>0</v>
      </c>
      <c r="BT27" s="4" cm="1">
        <f t="array" aca="1" ref="BT27" ca="1">SUMPRODUCT((OFFSET($ED$3:$FI$3,MATCH($BD27,$EC$4:$EC$35,0),0))*((IF($BO25&lt;&gt;$BO27,$ED$3:$FI$3=$BD25,0))+(IF($BO24&lt;&gt;$BO27,$ED$3:$FI$3=$BD24,0))+(IF($BO26&lt;&gt;$BO27,$ED$3:$FI$3=$BD26,0))))</f>
        <v>0</v>
      </c>
      <c r="BU27" s="4" cm="1">
        <f t="array" aca="1" ref="BU27" ca="1">SUMPRODUCT((OFFSET($FL$3:$GQ$3,MATCH($BD27,$FK$4:$FK$35,0),0))*((IF($BO25&lt;&gt;$BO27,$FL$3:$GQ$3=$BD25,0))+(IF($BO24&lt;&gt;$BO27,$FL$3:$GQ$3=$BD24,0))+(IF($BO26&lt;&gt;$BO27,$FL$3:$GQ$3=$BD26,0))))</f>
        <v>0</v>
      </c>
      <c r="BV27" s="4">
        <f>BK27</f>
        <v>0</v>
      </c>
      <c r="BW27" s="4">
        <f>BI27</f>
        <v>0</v>
      </c>
      <c r="BX27" s="4">
        <f ca="1">(BP27/10)+(BQ27/100)+(BR27/1000)+(BT27/10000)+(BU27/100000)+(BV27/1000000)+(BW27/10000000)+(ROW(BS24)/100000000)</f>
        <v>2.3999999999999998E-7</v>
      </c>
      <c r="BY27" s="4">
        <f ca="1">+BO27-BX27</f>
        <v>0.99999976000000002</v>
      </c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U27" s="4" t="s">
        <v>135</v>
      </c>
      <c r="CV27" s="56">
        <f>SUMIFS(tblActuals3541519[Team 2 Points],tblActuals3541519[Team 2],$CU27,tblActuals3541519[Team 1],CV$3)+SUMIFS(tblActuals3541519[Team 1 Points],tblActuals3541519[Team 1],$CU27,tblActuals3541519[Team 2],CV$3)</f>
        <v>0</v>
      </c>
      <c r="CW27" s="56">
        <f>SUMIFS(tblActuals3541519[Team 2 Points],tblActuals3541519[Team 2],$CU27,tblActuals3541519[Team 1],CW$3)+SUMIFS(tblActuals3541519[Team 1 Points],tblActuals3541519[Team 1],$CU27,tblActuals3541519[Team 2],CW$3)</f>
        <v>0</v>
      </c>
      <c r="CX27" s="56">
        <f>SUMIFS(tblActuals3541519[Team 2 Points],tblActuals3541519[Team 2],$CU27,tblActuals3541519[Team 1],CX$3)+SUMIFS(tblActuals3541519[Team 1 Points],tblActuals3541519[Team 1],$CU27,tblActuals3541519[Team 2],CX$3)</f>
        <v>0</v>
      </c>
      <c r="CY27" s="56">
        <f>SUMIFS(tblActuals3541519[Team 2 Points],tblActuals3541519[Team 2],$CU27,tblActuals3541519[Team 1],CY$3)+SUMIFS(tblActuals3541519[Team 1 Points],tblActuals3541519[Team 1],$CU27,tblActuals3541519[Team 2],CY$3)</f>
        <v>0</v>
      </c>
      <c r="CZ27" s="56">
        <f>SUMIFS(tblActuals3541519[Team 2 Points],tblActuals3541519[Team 2],$CU27,tblActuals3541519[Team 1],CZ$3)+SUMIFS(tblActuals3541519[Team 1 Points],tblActuals3541519[Team 1],$CU27,tblActuals3541519[Team 2],CZ$3)</f>
        <v>0</v>
      </c>
      <c r="DA27" s="56">
        <f>SUMIFS(tblActuals3541519[Team 2 Points],tblActuals3541519[Team 2],$CU27,tblActuals3541519[Team 1],DA$3)+SUMIFS(tblActuals3541519[Team 1 Points],tblActuals3541519[Team 1],$CU27,tblActuals3541519[Team 2],DA$3)</f>
        <v>0</v>
      </c>
      <c r="DB27" s="56">
        <f>SUMIFS(tblActuals3541519[Team 2 Points],tblActuals3541519[Team 2],$CU27,tblActuals3541519[Team 1],DB$3)+SUMIFS(tblActuals3541519[Team 1 Points],tblActuals3541519[Team 1],$CU27,tblActuals3541519[Team 2],DB$3)</f>
        <v>0</v>
      </c>
      <c r="DC27" s="56">
        <f>SUMIFS(tblActuals3541519[Team 2 Points],tblActuals3541519[Team 2],$CU27,tblActuals3541519[Team 1],DC$3)+SUMIFS(tblActuals3541519[Team 1 Points],tblActuals3541519[Team 1],$CU27,tblActuals3541519[Team 2],DC$3)</f>
        <v>0</v>
      </c>
      <c r="DD27" s="56">
        <f>SUMIFS(tblActuals3541519[Team 2 Points],tblActuals3541519[Team 2],$CU27,tblActuals3541519[Team 1],DD$3)+SUMIFS(tblActuals3541519[Team 1 Points],tblActuals3541519[Team 1],$CU27,tblActuals3541519[Team 2],DD$3)</f>
        <v>0</v>
      </c>
      <c r="DE27" s="56">
        <f>SUMIFS(tblActuals3541519[Team 2 Points],tblActuals3541519[Team 2],$CU27,tblActuals3541519[Team 1],DE$3)+SUMIFS(tblActuals3541519[Team 1 Points],tblActuals3541519[Team 1],$CU27,tblActuals3541519[Team 2],DE$3)</f>
        <v>0</v>
      </c>
      <c r="DF27" s="56">
        <f>SUMIFS(tblActuals3541519[Team 2 Points],tblActuals3541519[Team 2],$CU27,tblActuals3541519[Team 1],DF$3)+SUMIFS(tblActuals3541519[Team 1 Points],tblActuals3541519[Team 1],$CU27,tblActuals3541519[Team 2],DF$3)</f>
        <v>0</v>
      </c>
      <c r="DG27" s="56">
        <f>SUMIFS(tblActuals3541519[Team 2 Points],tblActuals3541519[Team 2],$CU27,tblActuals3541519[Team 1],DG$3)+SUMIFS(tblActuals3541519[Team 1 Points],tblActuals3541519[Team 1],$CU27,tblActuals3541519[Team 2],DG$3)</f>
        <v>0</v>
      </c>
      <c r="DH27" s="56">
        <f>SUMIFS(tblActuals3541519[Team 2 Points],tblActuals3541519[Team 2],$CU27,tblActuals3541519[Team 1],DH$3)+SUMIFS(tblActuals3541519[Team 1 Points],tblActuals3541519[Team 1],$CU27,tblActuals3541519[Team 2],DH$3)</f>
        <v>0</v>
      </c>
      <c r="DI27" s="56">
        <f>SUMIFS(tblActuals3541519[Team 2 Points],tblActuals3541519[Team 2],$CU27,tblActuals3541519[Team 1],DI$3)+SUMIFS(tblActuals3541519[Team 1 Points],tblActuals3541519[Team 1],$CU27,tblActuals3541519[Team 2],DI$3)</f>
        <v>0</v>
      </c>
      <c r="DJ27" s="56">
        <f>SUMIFS(tblActuals3541519[Team 2 Points],tblActuals3541519[Team 2],$CU27,tblActuals3541519[Team 1],DJ$3)+SUMIFS(tblActuals3541519[Team 1 Points],tblActuals3541519[Team 1],$CU27,tblActuals3541519[Team 2],DJ$3)</f>
        <v>0</v>
      </c>
      <c r="DK27" s="56">
        <f>SUMIFS(tblActuals3541519[Team 2 Points],tblActuals3541519[Team 2],$CU27,tblActuals3541519[Team 1],DK$3)+SUMIFS(tblActuals3541519[Team 1 Points],tblActuals3541519[Team 1],$CU27,tblActuals3541519[Team 2],DK$3)</f>
        <v>0</v>
      </c>
      <c r="DL27" s="56">
        <f>SUMIFS(tblActuals3541519[Team 2 Points],tblActuals3541519[Team 2],$CU27,tblActuals3541519[Team 1],DL$3)+SUMIFS(tblActuals3541519[Team 1 Points],tblActuals3541519[Team 1],$CU27,tblActuals3541519[Team 2],DL$3)</f>
        <v>0</v>
      </c>
      <c r="DM27" s="56">
        <f>SUMIFS(tblActuals3541519[Team 2 Points],tblActuals3541519[Team 2],$CU27,tblActuals3541519[Team 1],DM$3)+SUMIFS(tblActuals3541519[Team 1 Points],tblActuals3541519[Team 1],$CU27,tblActuals3541519[Team 2],DM$3)</f>
        <v>0</v>
      </c>
      <c r="DN27" s="56">
        <f>SUMIFS(tblActuals3541519[Team 2 Points],tblActuals3541519[Team 2],$CU27,tblActuals3541519[Team 1],DN$3)+SUMIFS(tblActuals3541519[Team 1 Points],tblActuals3541519[Team 1],$CU27,tblActuals3541519[Team 2],DN$3)</f>
        <v>0</v>
      </c>
      <c r="DO27" s="56">
        <f>SUMIFS(tblActuals3541519[Team 2 Points],tblActuals3541519[Team 2],$CU27,tblActuals3541519[Team 1],DO$3)+SUMIFS(tblActuals3541519[Team 1 Points],tblActuals3541519[Team 1],$CU27,tblActuals3541519[Team 2],DO$3)</f>
        <v>0</v>
      </c>
      <c r="DP27" s="56">
        <f>SUMIFS(tblActuals3541519[Team 2 Points],tblActuals3541519[Team 2],$CU27,tblActuals3541519[Team 1],DP$3)+SUMIFS(tblActuals3541519[Team 1 Points],tblActuals3541519[Team 1],$CU27,tblActuals3541519[Team 2],DP$3)</f>
        <v>0</v>
      </c>
      <c r="DQ27" s="56">
        <f>SUMIFS(tblActuals3541519[Team 2 Points],tblActuals3541519[Team 2],$CU27,tblActuals3541519[Team 1],DQ$3)+SUMIFS(tblActuals3541519[Team 1 Points],tblActuals3541519[Team 1],$CU27,tblActuals3541519[Team 2],DQ$3)</f>
        <v>0</v>
      </c>
      <c r="DR27" s="56">
        <f>SUMIFS(tblActuals3541519[Team 2 Points],tblActuals3541519[Team 2],$CU27,tblActuals3541519[Team 1],DR$3)+SUMIFS(tblActuals3541519[Team 1 Points],tblActuals3541519[Team 1],$CU27,tblActuals3541519[Team 2],DR$3)</f>
        <v>0</v>
      </c>
      <c r="DS27" s="56">
        <f>SUMIFS(tblActuals3541519[Team 2 Points],tblActuals3541519[Team 2],$CU27,tblActuals3541519[Team 1],DS$3)+SUMIFS(tblActuals3541519[Team 1 Points],tblActuals3541519[Team 1],$CU27,tblActuals3541519[Team 2],DS$3)</f>
        <v>0</v>
      </c>
      <c r="DT27" s="57"/>
      <c r="DU27" s="57"/>
      <c r="DV27" s="57"/>
      <c r="DW27" s="57"/>
      <c r="DX27" s="57"/>
      <c r="DY27" s="57"/>
      <c r="DZ27" s="57"/>
      <c r="EA27" s="57"/>
      <c r="EB27" s="4"/>
      <c r="EC27" s="4" t="s">
        <v>135</v>
      </c>
      <c r="ED27" s="56">
        <f>SUMIFS(tblActuals3541519[Team 2 GD],tblActuals3541519[Team 2],$CU27,tblActuals3541519[Team 1],ED$3)+SUMIFS(tblActuals3541519[Team 1 GD],tblActuals3541519[Team 1],$CU27,tblActuals3541519[Team 2],ED$3)</f>
        <v>0</v>
      </c>
      <c r="EE27" s="56">
        <f>SUMIFS(tblActuals3541519[Team 2 GD],tblActuals3541519[Team 2],$CU27,tblActuals3541519[Team 1],EE$3)+SUMIFS(tblActuals3541519[Team 1 GD],tblActuals3541519[Team 1],$CU27,tblActuals3541519[Team 2],EE$3)</f>
        <v>0</v>
      </c>
      <c r="EF27" s="56">
        <f>SUMIFS(tblActuals3541519[Team 2 GD],tblActuals3541519[Team 2],$CU27,tblActuals3541519[Team 1],EF$3)+SUMIFS(tblActuals3541519[Team 1 GD],tblActuals3541519[Team 1],$CU27,tblActuals3541519[Team 2],EF$3)</f>
        <v>0</v>
      </c>
      <c r="EG27" s="56">
        <f>SUMIFS(tblActuals3541519[Team 2 GD],tblActuals3541519[Team 2],$CU27,tblActuals3541519[Team 1],EG$3)+SUMIFS(tblActuals3541519[Team 1 GD],tblActuals3541519[Team 1],$CU27,tblActuals3541519[Team 2],EG$3)</f>
        <v>0</v>
      </c>
      <c r="EH27" s="56">
        <f>SUMIFS(tblActuals3541519[Team 2 GD],tblActuals3541519[Team 2],$CU27,tblActuals3541519[Team 1],EH$3)+SUMIFS(tblActuals3541519[Team 1 GD],tblActuals3541519[Team 1],$CU27,tblActuals3541519[Team 2],EH$3)</f>
        <v>0</v>
      </c>
      <c r="EI27" s="56">
        <f>SUMIFS(tblActuals3541519[Team 2 GD],tblActuals3541519[Team 2],$CU27,tblActuals3541519[Team 1],EI$3)+SUMIFS(tblActuals3541519[Team 1 GD],tblActuals3541519[Team 1],$CU27,tblActuals3541519[Team 2],EI$3)</f>
        <v>0</v>
      </c>
      <c r="EJ27" s="56">
        <f>SUMIFS(tblActuals3541519[Team 2 GD],tblActuals3541519[Team 2],$CU27,tblActuals3541519[Team 1],EJ$3)+SUMIFS(tblActuals3541519[Team 1 GD],tblActuals3541519[Team 1],$CU27,tblActuals3541519[Team 2],EJ$3)</f>
        <v>0</v>
      </c>
      <c r="EK27" s="56">
        <f>SUMIFS(tblActuals3541519[Team 2 GD],tblActuals3541519[Team 2],$CU27,tblActuals3541519[Team 1],EK$3)+SUMIFS(tblActuals3541519[Team 1 GD],tblActuals3541519[Team 1],$CU27,tblActuals3541519[Team 2],EK$3)</f>
        <v>0</v>
      </c>
      <c r="EL27" s="56">
        <f>SUMIFS(tblActuals3541519[Team 2 GD],tblActuals3541519[Team 2],$CU27,tblActuals3541519[Team 1],EL$3)+SUMIFS(tblActuals3541519[Team 1 GD],tblActuals3541519[Team 1],$CU27,tblActuals3541519[Team 2],EL$3)</f>
        <v>0</v>
      </c>
      <c r="EM27" s="56">
        <f>SUMIFS(tblActuals3541519[Team 2 GD],tblActuals3541519[Team 2],$CU27,tblActuals3541519[Team 1],EM$3)+SUMIFS(tblActuals3541519[Team 1 GD],tblActuals3541519[Team 1],$CU27,tblActuals3541519[Team 2],EM$3)</f>
        <v>0</v>
      </c>
      <c r="EN27" s="56">
        <f>SUMIFS(tblActuals3541519[Team 2 GD],tblActuals3541519[Team 2],$CU27,tblActuals3541519[Team 1],EN$3)+SUMIFS(tblActuals3541519[Team 1 GD],tblActuals3541519[Team 1],$CU27,tblActuals3541519[Team 2],EN$3)</f>
        <v>0</v>
      </c>
      <c r="EO27" s="56">
        <f>SUMIFS(tblActuals3541519[Team 2 GD],tblActuals3541519[Team 2],$CU27,tblActuals3541519[Team 1],EO$3)+SUMIFS(tblActuals3541519[Team 1 GD],tblActuals3541519[Team 1],$CU27,tblActuals3541519[Team 2],EO$3)</f>
        <v>0</v>
      </c>
      <c r="EP27" s="56">
        <f>SUMIFS(tblActuals3541519[Team 2 GD],tblActuals3541519[Team 2],$CU27,tblActuals3541519[Team 1],EP$3)+SUMIFS(tblActuals3541519[Team 1 GD],tblActuals3541519[Team 1],$CU27,tblActuals3541519[Team 2],EP$3)</f>
        <v>0</v>
      </c>
      <c r="EQ27" s="56">
        <f>SUMIFS(tblActuals3541519[Team 2 GD],tblActuals3541519[Team 2],$CU27,tblActuals3541519[Team 1],EQ$3)+SUMIFS(tblActuals3541519[Team 1 GD],tblActuals3541519[Team 1],$CU27,tblActuals3541519[Team 2],EQ$3)</f>
        <v>0</v>
      </c>
      <c r="ER27" s="56">
        <f>SUMIFS(tblActuals3541519[Team 2 GD],tblActuals3541519[Team 2],$CU27,tblActuals3541519[Team 1],ER$3)+SUMIFS(tblActuals3541519[Team 1 GD],tblActuals3541519[Team 1],$CU27,tblActuals3541519[Team 2],ER$3)</f>
        <v>0</v>
      </c>
      <c r="ES27" s="56">
        <f>SUMIFS(tblActuals3541519[Team 2 GD],tblActuals3541519[Team 2],$CU27,tblActuals3541519[Team 1],ES$3)+SUMIFS(tblActuals3541519[Team 1 GD],tblActuals3541519[Team 1],$CU27,tblActuals3541519[Team 2],ES$3)</f>
        <v>0</v>
      </c>
      <c r="ET27" s="56">
        <f>SUMIFS(tblActuals3541519[Team 2 GD],tblActuals3541519[Team 2],$CU27,tblActuals3541519[Team 1],ET$3)+SUMIFS(tblActuals3541519[Team 1 GD],tblActuals3541519[Team 1],$CU27,tblActuals3541519[Team 2],ET$3)</f>
        <v>0</v>
      </c>
      <c r="EU27" s="56">
        <f>SUMIFS(tblActuals3541519[Team 2 GD],tblActuals3541519[Team 2],$CU27,tblActuals3541519[Team 1],EU$3)+SUMIFS(tblActuals3541519[Team 1 GD],tblActuals3541519[Team 1],$CU27,tblActuals3541519[Team 2],EU$3)</f>
        <v>0</v>
      </c>
      <c r="EV27" s="56">
        <f>SUMIFS(tblActuals3541519[Team 2 GD],tblActuals3541519[Team 2],$CU27,tblActuals3541519[Team 1],EV$3)+SUMIFS(tblActuals3541519[Team 1 GD],tblActuals3541519[Team 1],$CU27,tblActuals3541519[Team 2],EV$3)</f>
        <v>0</v>
      </c>
      <c r="EW27" s="56">
        <f>SUMIFS(tblActuals3541519[Team 2 GD],tblActuals3541519[Team 2],$CU27,tblActuals3541519[Team 1],EW$3)+SUMIFS(tblActuals3541519[Team 1 GD],tblActuals3541519[Team 1],$CU27,tblActuals3541519[Team 2],EW$3)</f>
        <v>0</v>
      </c>
      <c r="EX27" s="56">
        <f>SUMIFS(tblActuals3541519[Team 2 GD],tblActuals3541519[Team 2],$CU27,tblActuals3541519[Team 1],EX$3)+SUMIFS(tblActuals3541519[Team 1 GD],tblActuals3541519[Team 1],$CU27,tblActuals3541519[Team 2],EX$3)</f>
        <v>0</v>
      </c>
      <c r="EY27" s="56">
        <f>SUMIFS(tblActuals3541519[Team 2 GD],tblActuals3541519[Team 2],$CU27,tblActuals3541519[Team 1],EY$3)+SUMIFS(tblActuals3541519[Team 1 GD],tblActuals3541519[Team 1],$CU27,tblActuals3541519[Team 2],EY$3)</f>
        <v>0</v>
      </c>
      <c r="EZ27" s="56">
        <f>SUMIFS(tblActuals3541519[Team 2 GD],tblActuals3541519[Team 2],$CU27,tblActuals3541519[Team 1],EZ$3)+SUMIFS(tblActuals3541519[Team 1 GD],tblActuals3541519[Team 1],$CU27,tblActuals3541519[Team 2],EZ$3)</f>
        <v>0</v>
      </c>
      <c r="FA27" s="56">
        <f>SUMIFS(tblActuals3541519[Team 2 GD],tblActuals3541519[Team 2],$CU27,tblActuals3541519[Team 1],FA$3)+SUMIFS(tblActuals3541519[Team 1 GD],tblActuals3541519[Team 1],$CU27,tblActuals3541519[Team 2],FA$3)</f>
        <v>0</v>
      </c>
      <c r="FB27" s="57"/>
      <c r="FC27" s="57"/>
      <c r="FD27" s="57"/>
      <c r="FE27" s="57"/>
      <c r="FF27" s="57"/>
      <c r="FG27" s="57"/>
      <c r="FH27" s="57"/>
      <c r="FI27" s="57"/>
      <c r="FJ27" s="4"/>
      <c r="FK27" s="4" t="s">
        <v>135</v>
      </c>
      <c r="FL27" s="56">
        <f>SUMIFS(tblActuals3541519[Team 2 Goals],tblActuals3541519[Team 2],$CU27,tblActuals3541519[Team 1],FL$3)+SUMIFS(tblActuals3541519[Team 1 Goals],tblActuals3541519[Team 1],$CU27,tblActuals3541519[Team 2],FL$3)</f>
        <v>0</v>
      </c>
      <c r="FM27" s="56">
        <f>SUMIFS(tblActuals3541519[Team 2 Goals],tblActuals3541519[Team 2],$CU27,tblActuals3541519[Team 1],FM$3)+SUMIFS(tblActuals3541519[Team 1 Goals],tblActuals3541519[Team 1],$CU27,tblActuals3541519[Team 2],FM$3)</f>
        <v>0</v>
      </c>
      <c r="FN27" s="56">
        <f>SUMIFS(tblActuals3541519[Team 2 Goals],tblActuals3541519[Team 2],$CU27,tblActuals3541519[Team 1],FN$3)+SUMIFS(tblActuals3541519[Team 1 Goals],tblActuals3541519[Team 1],$CU27,tblActuals3541519[Team 2],FN$3)</f>
        <v>0</v>
      </c>
      <c r="FO27" s="56">
        <f>SUMIFS(tblActuals3541519[Team 2 Goals],tblActuals3541519[Team 2],$CU27,tblActuals3541519[Team 1],FO$3)+SUMIFS(tblActuals3541519[Team 1 Goals],tblActuals3541519[Team 1],$CU27,tblActuals3541519[Team 2],FO$3)</f>
        <v>0</v>
      </c>
      <c r="FP27" s="56">
        <f>SUMIFS(tblActuals3541519[Team 2 Goals],tblActuals3541519[Team 2],$CU27,tblActuals3541519[Team 1],FP$3)+SUMIFS(tblActuals3541519[Team 1 Goals],tblActuals3541519[Team 1],$CU27,tblActuals3541519[Team 2],FP$3)</f>
        <v>0</v>
      </c>
      <c r="FQ27" s="56">
        <f>SUMIFS(tblActuals3541519[Team 2 Goals],tblActuals3541519[Team 2],$CU27,tblActuals3541519[Team 1],FQ$3)+SUMIFS(tblActuals3541519[Team 1 Goals],tblActuals3541519[Team 1],$CU27,tblActuals3541519[Team 2],FQ$3)</f>
        <v>0</v>
      </c>
      <c r="FR27" s="56">
        <f>SUMIFS(tblActuals3541519[Team 2 Goals],tblActuals3541519[Team 2],$CU27,tblActuals3541519[Team 1],FR$3)+SUMIFS(tblActuals3541519[Team 1 Goals],tblActuals3541519[Team 1],$CU27,tblActuals3541519[Team 2],FR$3)</f>
        <v>0</v>
      </c>
      <c r="FS27" s="56">
        <f>SUMIFS(tblActuals3541519[Team 2 Goals],tblActuals3541519[Team 2],$CU27,tblActuals3541519[Team 1],FS$3)+SUMIFS(tblActuals3541519[Team 1 Goals],tblActuals3541519[Team 1],$CU27,tblActuals3541519[Team 2],FS$3)</f>
        <v>0</v>
      </c>
      <c r="FT27" s="56">
        <f>SUMIFS(tblActuals3541519[Team 2 Goals],tblActuals3541519[Team 2],$CU27,tblActuals3541519[Team 1],FT$3)+SUMIFS(tblActuals3541519[Team 1 Goals],tblActuals3541519[Team 1],$CU27,tblActuals3541519[Team 2],FT$3)</f>
        <v>0</v>
      </c>
      <c r="FU27" s="56">
        <f>SUMIFS(tblActuals3541519[Team 2 Goals],tblActuals3541519[Team 2],$CU27,tblActuals3541519[Team 1],FU$3)+SUMIFS(tblActuals3541519[Team 1 Goals],tblActuals3541519[Team 1],$CU27,tblActuals3541519[Team 2],FU$3)</f>
        <v>0</v>
      </c>
      <c r="FV27" s="56">
        <f>SUMIFS(tblActuals3541519[Team 2 Goals],tblActuals3541519[Team 2],$CU27,tblActuals3541519[Team 1],FV$3)+SUMIFS(tblActuals3541519[Team 1 Goals],tblActuals3541519[Team 1],$CU27,tblActuals3541519[Team 2],FV$3)</f>
        <v>0</v>
      </c>
      <c r="FW27" s="56">
        <f>SUMIFS(tblActuals3541519[Team 2 Goals],tblActuals3541519[Team 2],$CU27,tblActuals3541519[Team 1],FW$3)+SUMIFS(tblActuals3541519[Team 1 Goals],tblActuals3541519[Team 1],$CU27,tblActuals3541519[Team 2],FW$3)</f>
        <v>0</v>
      </c>
      <c r="FX27" s="56">
        <f>SUMIFS(tblActuals3541519[Team 2 Goals],tblActuals3541519[Team 2],$CU27,tblActuals3541519[Team 1],FX$3)+SUMIFS(tblActuals3541519[Team 1 Goals],tblActuals3541519[Team 1],$CU27,tblActuals3541519[Team 2],FX$3)</f>
        <v>0</v>
      </c>
      <c r="FY27" s="56">
        <f>SUMIFS(tblActuals3541519[Team 2 Goals],tblActuals3541519[Team 2],$CU27,tblActuals3541519[Team 1],FY$3)+SUMIFS(tblActuals3541519[Team 1 Goals],tblActuals3541519[Team 1],$CU27,tblActuals3541519[Team 2],FY$3)</f>
        <v>0</v>
      </c>
      <c r="FZ27" s="56">
        <f>SUMIFS(tblActuals3541519[Team 2 Goals],tblActuals3541519[Team 2],$CU27,tblActuals3541519[Team 1],FZ$3)+SUMIFS(tblActuals3541519[Team 1 Goals],tblActuals3541519[Team 1],$CU27,tblActuals3541519[Team 2],FZ$3)</f>
        <v>0</v>
      </c>
      <c r="GA27" s="56">
        <f>SUMIFS(tblActuals3541519[Team 2 Goals],tblActuals3541519[Team 2],$CU27,tblActuals3541519[Team 1],GA$3)+SUMIFS(tblActuals3541519[Team 1 Goals],tblActuals3541519[Team 1],$CU27,tblActuals3541519[Team 2],GA$3)</f>
        <v>0</v>
      </c>
      <c r="GB27" s="56">
        <f>SUMIFS(tblActuals3541519[Team 2 Goals],tblActuals3541519[Team 2],$CU27,tblActuals3541519[Team 1],GB$3)+SUMIFS(tblActuals3541519[Team 1 Goals],tblActuals3541519[Team 1],$CU27,tblActuals3541519[Team 2],GB$3)</f>
        <v>0</v>
      </c>
      <c r="GC27" s="56">
        <f>SUMIFS(tblActuals3541519[Team 2 Goals],tblActuals3541519[Team 2],$CU27,tblActuals3541519[Team 1],GC$3)+SUMIFS(tblActuals3541519[Team 1 Goals],tblActuals3541519[Team 1],$CU27,tblActuals3541519[Team 2],GC$3)</f>
        <v>0</v>
      </c>
      <c r="GD27" s="56">
        <f>SUMIFS(tblActuals3541519[Team 2 Goals],tblActuals3541519[Team 2],$CU27,tblActuals3541519[Team 1],GD$3)+SUMIFS(tblActuals3541519[Team 1 Goals],tblActuals3541519[Team 1],$CU27,tblActuals3541519[Team 2],GD$3)</f>
        <v>0</v>
      </c>
      <c r="GE27" s="56">
        <f>SUMIFS(tblActuals3541519[Team 2 Goals],tblActuals3541519[Team 2],$CU27,tblActuals3541519[Team 1],GE$3)+SUMIFS(tblActuals3541519[Team 1 Goals],tblActuals3541519[Team 1],$CU27,tblActuals3541519[Team 2],GE$3)</f>
        <v>0</v>
      </c>
      <c r="GF27" s="56">
        <f>SUMIFS(tblActuals3541519[Team 2 Goals],tblActuals3541519[Team 2],$CU27,tblActuals3541519[Team 1],GF$3)+SUMIFS(tblActuals3541519[Team 1 Goals],tblActuals3541519[Team 1],$CU27,tblActuals3541519[Team 2],GF$3)</f>
        <v>0</v>
      </c>
      <c r="GG27" s="56">
        <f>SUMIFS(tblActuals3541519[Team 2 Goals],tblActuals3541519[Team 2],$CU27,tblActuals3541519[Team 1],GG$3)+SUMIFS(tblActuals3541519[Team 1 Goals],tblActuals3541519[Team 1],$CU27,tblActuals3541519[Team 2],GG$3)</f>
        <v>0</v>
      </c>
      <c r="GH27" s="56">
        <f>SUMIFS(tblActuals3541519[Team 2 Goals],tblActuals3541519[Team 2],$CU27,tblActuals3541519[Team 1],GH$3)+SUMIFS(tblActuals3541519[Team 1 Goals],tblActuals3541519[Team 1],$CU27,tblActuals3541519[Team 2],GH$3)</f>
        <v>0</v>
      </c>
      <c r="GI27" s="56">
        <f>SUMIFS(tblActuals3541519[Team 2 Goals],tblActuals3541519[Team 2],$CU27,tblActuals3541519[Team 1],GI$3)+SUMIFS(tblActuals3541519[Team 1 Goals],tblActuals3541519[Team 1],$CU27,tblActuals3541519[Team 2],GI$3)</f>
        <v>0</v>
      </c>
      <c r="GJ27" s="57"/>
      <c r="GK27" s="57"/>
      <c r="GL27" s="37"/>
      <c r="GM27" s="37"/>
      <c r="GN27" s="37"/>
      <c r="GO27" s="37"/>
      <c r="GP27" s="37"/>
      <c r="GQ27" s="37"/>
      <c r="GR27" s="75"/>
      <c r="GS27" s="148"/>
      <c r="GT27" s="148"/>
      <c r="GU27" s="75"/>
      <c r="GV27" s="75"/>
      <c r="GW27" s="75"/>
      <c r="GX27" s="75"/>
      <c r="GY27" s="75"/>
      <c r="GZ27" s="75"/>
    </row>
    <row r="28" spans="1:221" s="11" customFormat="1" ht="30" customHeight="1" thickBot="1" x14ac:dyDescent="0.3">
      <c r="A28" s="20"/>
      <c r="B28" s="122">
        <v>25</v>
      </c>
      <c r="C28" s="122" t="s">
        <v>1</v>
      </c>
      <c r="D28" s="123">
        <v>45466</v>
      </c>
      <c r="E28" s="122" t="s">
        <v>86</v>
      </c>
      <c r="F28" s="124">
        <v>0.875</v>
      </c>
      <c r="G28" s="125">
        <f t="shared" si="11"/>
        <v>45466.625</v>
      </c>
      <c r="H28" s="122" t="s">
        <v>113</v>
      </c>
      <c r="I28" s="126"/>
      <c r="J28" s="118"/>
      <c r="K28" s="118"/>
      <c r="L28" s="174">
        <f>IF(I28="",0,IFERROR(IF(SCORING.RULES!$C$8="No",1,((VLOOKUP($B28,ACTUALS!$B$4:$L$100,7,FALSE)=$H28)+(VLOOKUP($B28,ACTUALS!$B$4:$L$100,7,FALSE)=S28)))*(M28+N28+O28+P28+Q28),0))+$R28</f>
        <v>0</v>
      </c>
      <c r="M28" s="168">
        <f>IFERROR(IF($B28="","",IF(U28=INDEX(ACTUALS!$AA$4:$AA$100,MATCH($B28,ACTUALS!$B$4:$B$100,0),1),CorrectScore,0)),0)</f>
        <v>0</v>
      </c>
      <c r="N28" s="157" t="str">
        <f>IFERROR(IF(I28="","",IF(INDEX(ACTUALS!$AB$4:$AB$100,MATCH($B28,ACTUALS!$B$4:$B$100,0),1)=(AB28+AC28+AH28+AI28),CorrectNumberofGoals,0)),0)</f>
        <v/>
      </c>
      <c r="O28" s="157"/>
      <c r="P28" s="157">
        <f>IFERROR(IF(B28="","",IF(INDEX(ACTUALS!$L$4:$L$100,MATCH($B28,ACTUALS!$B$4:$B$100,0),1)=W28,CorrectResult,0)),0)</f>
        <v>3</v>
      </c>
      <c r="Q28" s="157"/>
      <c r="R28" s="157"/>
      <c r="S28" s="157" t="str">
        <f t="shared" si="0"/>
        <v/>
      </c>
      <c r="T28" s="157"/>
      <c r="U28" s="157" t="str">
        <f t="shared" si="1"/>
        <v/>
      </c>
      <c r="V28" s="157" t="str">
        <f t="shared" si="2"/>
        <v/>
      </c>
      <c r="W28" s="119" t="str">
        <f>IF(tblActuals3541519[[#This Row],[SCORE]]="","",IF(AB28=AC28,"Draw",IF(AB28&gt;AC28,X28,Y28)))</f>
        <v/>
      </c>
      <c r="X28" s="120" t="str">
        <f>IF(tblActuals3541519[[#This Row],[TEAMS]]="","",LEFT(H28,FIND(" -",H28,1)-1))</f>
        <v>Switzerland</v>
      </c>
      <c r="Y28" s="120" t="str">
        <f>IF(tblActuals3541519[[#This Row],[TEAMS]]="","",MID(H28,FIND("-",H28,1)+2,LEN(H28)-FIND("-",H28,1)+2))</f>
        <v>Germany</v>
      </c>
      <c r="Z28" s="120" t="str">
        <f>IF(tblActuals3541519[[#This Row],[Team 1 Goals]]&gt;tblActuals3541519[[#This Row],[Team 2 Goals]],tblActuals3541519[[#This Row],[Team 1]],IF(tblActuals3541519[[#This Row],[Team 2 Goals]]&gt;tblActuals3541519[[#This Row],[Team 1 Goals]],tblActuals3541519[[#This Row],[Team 2]],""))</f>
        <v/>
      </c>
      <c r="AA28" s="120" t="str">
        <f>IF(tblActuals3541519[[#This Row],[Winner]]=tblActuals3541519[[#This Row],[Team 1]],tblActuals3541519[[#This Row],[Team 2]],IF(tblActuals3541519[[#This Row],[Winner]]=tblActuals3541519[[#This Row],[Team 2]],tblActuals3541519[[#This Row],[Team 1]],""))</f>
        <v/>
      </c>
      <c r="AB28" s="120" t="str">
        <f>IF(tblActuals3541519[[#This Row],[SCORE]]="","",LEFT(I28,FIND(":",I28,1)-1)*1)</f>
        <v/>
      </c>
      <c r="AC28" s="120" t="str">
        <f>IF(tblActuals3541519[[#This Row],[SCORE]]="","",MID(I28,FIND(":",I28,1)+1,LEN(I28)-FIND(":",I28,1)+1)*1)</f>
        <v/>
      </c>
      <c r="AD28" s="120" t="str">
        <f>IF(OR(tblActuals3541519[[#This Row],[Team 1 Goals]]="",tblActuals3541519[[#This Row],[Team 2 Goals]]=""),"",tblActuals3541519[[#This Row],[Team 1 Goals]]-tblActuals3541519[[#This Row],[Team 2 Goals]])</f>
        <v/>
      </c>
      <c r="AE28" s="120" t="str">
        <f>IF(OR(tblActuals3541519[[#This Row],[Team 1 Goals]]="",tblActuals3541519[[#This Row],[Team 2 Goals]]=""),"",tblActuals3541519[[#This Row],[Team 2 Goals]]-tblActuals3541519[[#This Row],[Team 1 Goals]])</f>
        <v/>
      </c>
      <c r="AF28" s="120" t="str">
        <f>IF(tblActuals3541519[[#This Row],[SCORE]]="","",IF(tblActuals3541519[[#This Row],[WINNER / RESULT]]="Draw",1,IF(tblActuals3541519[[#This Row],[WINNER / RESULT]]=tblActuals3541519[[#This Row],[Team 1]],3,0)))</f>
        <v/>
      </c>
      <c r="AG28" s="120" t="str">
        <f>IF(tblActuals3541519[[#This Row],[SCORE]]="","",IF(tblActuals3541519[[#This Row],[WINNER / RESULT]]="Draw",1,IF(tblActuals3541519[[#This Row],[WINNER / RESULT]]=tblActuals3541519[[#This Row],[Team 2]],3,0)))</f>
        <v/>
      </c>
      <c r="AH28" s="121"/>
      <c r="AI28" s="121"/>
      <c r="AJ28" s="121"/>
      <c r="AK28" s="121"/>
      <c r="AL28" s="120" t="e">
        <f>tblActuals3541519[[#This Row],[Team 1 Goals]]+tblActuals3541519[[#This Row],[Team 1 ET Goals]]&amp;":"&amp;tblActuals3541519[[#This Row],[Team 2 Goals]]+tblActuals3541519[[#This Row],[Team 2 ET Goals]]</f>
        <v>#VALUE!</v>
      </c>
      <c r="AM28" s="120" t="e">
        <f>+tblActuals3541519[[#This Row],[Team 1 Goals]]+tblActuals3541519[[#This Row],[Team 2 Goals]]</f>
        <v>#VALUE!</v>
      </c>
      <c r="AN28" s="161">
        <f t="shared" si="3"/>
        <v>45466</v>
      </c>
      <c r="AT28" s="77"/>
      <c r="AU28" s="148"/>
      <c r="AV28" s="148"/>
      <c r="AW28" s="148"/>
      <c r="AX28" s="148"/>
      <c r="AY28" s="148"/>
      <c r="AZ28" s="75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 t="str">
        <f t="shared" si="4"/>
        <v/>
      </c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U28" s="4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4"/>
      <c r="EC28" s="4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4"/>
      <c r="FK28" s="4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  <c r="GL28" s="37"/>
      <c r="GM28" s="37"/>
      <c r="GN28" s="37"/>
      <c r="GO28" s="37"/>
      <c r="GP28" s="37"/>
      <c r="GQ28" s="37"/>
      <c r="GR28" s="75"/>
      <c r="GS28" s="148"/>
      <c r="GT28" s="148"/>
      <c r="GU28" s="75"/>
      <c r="GV28" s="75"/>
      <c r="GW28" s="75"/>
      <c r="GX28" s="75"/>
      <c r="GY28" s="75"/>
      <c r="GZ28" s="75"/>
    </row>
    <row r="29" spans="1:221" s="11" customFormat="1" ht="30" customHeight="1" thickBot="1" x14ac:dyDescent="0.3">
      <c r="A29" s="20"/>
      <c r="B29" s="122">
        <v>26</v>
      </c>
      <c r="C29" s="122" t="s">
        <v>1</v>
      </c>
      <c r="D29" s="123">
        <v>45466</v>
      </c>
      <c r="E29" s="122" t="s">
        <v>83</v>
      </c>
      <c r="F29" s="124">
        <v>0.875</v>
      </c>
      <c r="G29" s="125">
        <f t="shared" si="11"/>
        <v>45466.625</v>
      </c>
      <c r="H29" s="122" t="s">
        <v>114</v>
      </c>
      <c r="I29" s="126"/>
      <c r="J29" s="118"/>
      <c r="K29" s="118"/>
      <c r="L29" s="174">
        <f>IF(I29="",0,IFERROR(IF(SCORING.RULES!$C$8="No",1,((VLOOKUP($B29,ACTUALS!$B$4:$L$100,7,FALSE)=$H29)+(VLOOKUP($B29,ACTUALS!$B$4:$L$100,7,FALSE)=S29)))*(M29+N29+O29+P29+Q29),0))+$R29</f>
        <v>0</v>
      </c>
      <c r="M29" s="168">
        <f>IFERROR(IF($B29="","",IF(U29=INDEX(ACTUALS!$AA$4:$AA$100,MATCH($B29,ACTUALS!$B$4:$B$100,0),1),CorrectScore,0)),0)</f>
        <v>0</v>
      </c>
      <c r="N29" s="157" t="str">
        <f>IFERROR(IF(I29="","",IF(INDEX(ACTUALS!$AB$4:$AB$100,MATCH($B29,ACTUALS!$B$4:$B$100,0),1)=(AB29+AC29+AH29+AI29),CorrectNumberofGoals,0)),0)</f>
        <v/>
      </c>
      <c r="O29" s="157"/>
      <c r="P29" s="157">
        <f>IFERROR(IF(B29="","",IF(INDEX(ACTUALS!$L$4:$L$100,MATCH($B29,ACTUALS!$B$4:$B$100,0),1)=W29,CorrectResult,0)),0)</f>
        <v>3</v>
      </c>
      <c r="Q29" s="157"/>
      <c r="R29" s="157"/>
      <c r="S29" s="157" t="str">
        <f t="shared" si="0"/>
        <v/>
      </c>
      <c r="T29" s="157"/>
      <c r="U29" s="157" t="str">
        <f t="shared" si="1"/>
        <v/>
      </c>
      <c r="V29" s="157" t="str">
        <f t="shared" si="2"/>
        <v/>
      </c>
      <c r="W29" s="119" t="str">
        <f>IF(tblActuals3541519[[#This Row],[SCORE]]="","",IF(AB29=AC29,"Draw",IF(AB29&gt;AC29,X29,Y29)))</f>
        <v/>
      </c>
      <c r="X29" s="120" t="str">
        <f>IF(tblActuals3541519[[#This Row],[TEAMS]]="","",LEFT(H29,FIND(" -",H29,1)-1))</f>
        <v>Scotland</v>
      </c>
      <c r="Y29" s="120" t="str">
        <f>IF(tblActuals3541519[[#This Row],[TEAMS]]="","",MID(H29,FIND("-",H29,1)+2,LEN(H29)-FIND("-",H29,1)+2))</f>
        <v>Hungary</v>
      </c>
      <c r="Z29" s="120" t="str">
        <f>IF(tblActuals3541519[[#This Row],[Team 1 Goals]]&gt;tblActuals3541519[[#This Row],[Team 2 Goals]],tblActuals3541519[[#This Row],[Team 1]],IF(tblActuals3541519[[#This Row],[Team 2 Goals]]&gt;tblActuals3541519[[#This Row],[Team 1 Goals]],tblActuals3541519[[#This Row],[Team 2]],""))</f>
        <v/>
      </c>
      <c r="AA29" s="120" t="str">
        <f>IF(tblActuals3541519[[#This Row],[Winner]]=tblActuals3541519[[#This Row],[Team 1]],tblActuals3541519[[#This Row],[Team 2]],IF(tblActuals3541519[[#This Row],[Winner]]=tblActuals3541519[[#This Row],[Team 2]],tblActuals3541519[[#This Row],[Team 1]],""))</f>
        <v/>
      </c>
      <c r="AB29" s="120" t="str">
        <f>IF(tblActuals3541519[[#This Row],[SCORE]]="","",LEFT(I29,FIND(":",I29,1)-1)*1)</f>
        <v/>
      </c>
      <c r="AC29" s="120" t="str">
        <f>IF(tblActuals3541519[[#This Row],[SCORE]]="","",MID(I29,FIND(":",I29,1)+1,LEN(I29)-FIND(":",I29,1)+1)*1)</f>
        <v/>
      </c>
      <c r="AD29" s="120" t="str">
        <f>IF(OR(tblActuals3541519[[#This Row],[Team 1 Goals]]="",tblActuals3541519[[#This Row],[Team 2 Goals]]=""),"",tblActuals3541519[[#This Row],[Team 1 Goals]]-tblActuals3541519[[#This Row],[Team 2 Goals]])</f>
        <v/>
      </c>
      <c r="AE29" s="120" t="str">
        <f>IF(OR(tblActuals3541519[[#This Row],[Team 1 Goals]]="",tblActuals3541519[[#This Row],[Team 2 Goals]]=""),"",tblActuals3541519[[#This Row],[Team 2 Goals]]-tblActuals3541519[[#This Row],[Team 1 Goals]])</f>
        <v/>
      </c>
      <c r="AF29" s="120" t="str">
        <f>IF(tblActuals3541519[[#This Row],[SCORE]]="","",IF(tblActuals3541519[[#This Row],[WINNER / RESULT]]="Draw",1,IF(tblActuals3541519[[#This Row],[WINNER / RESULT]]=tblActuals3541519[[#This Row],[Team 1]],3,0)))</f>
        <v/>
      </c>
      <c r="AG29" s="120" t="str">
        <f>IF(tblActuals3541519[[#This Row],[SCORE]]="","",IF(tblActuals3541519[[#This Row],[WINNER / RESULT]]="Draw",1,IF(tblActuals3541519[[#This Row],[WINNER / RESULT]]=tblActuals3541519[[#This Row],[Team 2]],3,0)))</f>
        <v/>
      </c>
      <c r="AH29" s="121"/>
      <c r="AI29" s="121"/>
      <c r="AJ29" s="121"/>
      <c r="AK29" s="121"/>
      <c r="AL29" s="120" t="e">
        <f>tblActuals3541519[[#This Row],[Team 1 Goals]]+tblActuals3541519[[#This Row],[Team 1 ET Goals]]&amp;":"&amp;tblActuals3541519[[#This Row],[Team 2 Goals]]+tblActuals3541519[[#This Row],[Team 2 ET Goals]]</f>
        <v>#VALUE!</v>
      </c>
      <c r="AM29" s="120" t="e">
        <f>+tblActuals3541519[[#This Row],[Team 1 Goals]]+tblActuals3541519[[#This Row],[Team 2 Goals]]</f>
        <v>#VALUE!</v>
      </c>
      <c r="AN29" s="161">
        <f t="shared" si="3"/>
        <v>45466</v>
      </c>
      <c r="AT29" s="78"/>
      <c r="AU29" s="179" t="s">
        <v>55</v>
      </c>
      <c r="AV29" s="180"/>
      <c r="AW29" s="133" t="s">
        <v>46</v>
      </c>
      <c r="AX29" s="134" t="s">
        <v>57</v>
      </c>
      <c r="AY29" s="135" t="s">
        <v>11</v>
      </c>
      <c r="AZ29" s="75"/>
      <c r="BA29" s="4"/>
      <c r="BB29" s="4"/>
      <c r="BC29" s="4" t="s">
        <v>45</v>
      </c>
      <c r="BD29" s="4" t="s">
        <v>135</v>
      </c>
      <c r="BE29" s="4">
        <f>COUNTIF(tblActuals3541519[Winner],BD29)</f>
        <v>0</v>
      </c>
      <c r="BF29" s="4">
        <f>COUNTIFS(tblActuals3541519[Team 2],BD29,tblActuals3541519[WINNER / RESULT],"Draw")+COUNTIFS(tblActuals3541519[Team 1],BD29,tblActuals3541519[WINNER / RESULT],"Draw")</f>
        <v>0</v>
      </c>
      <c r="BG29" s="4">
        <f>COUNTIF(tblActuals3541519[Loser],BD29)</f>
        <v>0</v>
      </c>
      <c r="BH29" s="4">
        <f>BF29+(3*BE29)</f>
        <v>0</v>
      </c>
      <c r="BI29" s="4">
        <f>SUMIFS(tblActuals3541519[Team 1 Goals],tblActuals3541519[Team 1],BD29)+SUMIFS(tblActuals3541519[Team 2 Goals],tblActuals3541519[Team 2],BD29)</f>
        <v>0</v>
      </c>
      <c r="BJ29" s="4">
        <f>SUMIFS(tblActuals3541519[Team 2 Goals],tblActuals3541519[Team 1],BD29)+SUMIFS(tblActuals3541519[Team 1 Goals],tblActuals3541519[Team 2],BD29)</f>
        <v>0</v>
      </c>
      <c r="BK29" s="4">
        <f>BI29-BJ29</f>
        <v>0</v>
      </c>
      <c r="BL29" s="4">
        <f ca="1">RANK(BY29,$BY$29:$BY$32,1)</f>
        <v>1</v>
      </c>
      <c r="BM29" s="4" t="str">
        <f t="shared" si="4"/>
        <v/>
      </c>
      <c r="BN29" s="4" t="str">
        <f ca="1">IF(BM29="",BL29&amp;BC29,BM29&amp;BC29)</f>
        <v>1F</v>
      </c>
      <c r="BO29" s="4">
        <f>RANK(BH29,$BH$29:$BH$32,0)</f>
        <v>1</v>
      </c>
      <c r="BP29" s="4" cm="1">
        <f t="array" aca="1" ref="BP29" ca="1">SUMPRODUCT((OFFSET($CV$3:$EA$3,MATCH($BD29,$CU$4:$CU$35,0),0))*((IF($BO31=$BO29,$CV$3:$EA$3=$BD31,0))+(IF($BO32=$BO29,$CV$3:$EA$3=$BD32,0))+(IF($BO30=$BO29,$CV$3:$EA$3=$BD30,0))))</f>
        <v>0</v>
      </c>
      <c r="BQ29" s="4" cm="1">
        <f t="array" aca="1" ref="BQ29" ca="1">SUMPRODUCT((OFFSET($ED$3:$FI$3,MATCH($BD29,$EC$4:$EC$35,0),0))*((IF($BO31=$BO29,$ED$3:$FI$3=$BD31,0))+(IF($BO32=$BO29,$ED$3:$FI$3=$BD32,0))+(IF($BO30=$BO29,$ED$3:$FI$3=$BD30,0))))</f>
        <v>0</v>
      </c>
      <c r="BR29" s="4" cm="1">
        <f t="array" aca="1" ref="BR29" ca="1">SUMPRODUCT((OFFSET($FL$3:$GQ$3,MATCH($BD29,$FK$4:$FK$35,0),0))*((IF($BO31=$BO29,$FL$3:$GQ$3=$BD31,0))+(IF($BO32=$BO29,$FL$3:$GQ$3=$BD32,0))+(IF($BO30=$BO29,$FL$3:$GQ$3=$BD30,0))))</f>
        <v>0</v>
      </c>
      <c r="BS29" s="4" cm="1">
        <f t="array" aca="1" ref="BS29" ca="1">SUMPRODUCT((OFFSET($CV$3:$EA$3,MATCH($BD29,$CU$4:$CU$35,0),0))*((IF($BO31&lt;&gt;$BO29,$CV$3:$EA$3=$BD31,0))+(IF($BO32&lt;&gt;$BO29,$CV$3:$EA$3=$BD32,0))+(IF($BO30&lt;&gt;$BO29,$CV$3:$EA$3=$BD30,0))))</f>
        <v>0</v>
      </c>
      <c r="BT29" s="4" cm="1">
        <f t="array" aca="1" ref="BT29" ca="1">SUMPRODUCT((OFFSET($ED$3:$FI$3,MATCH($BD29,$EC$4:$EC$35,0),0))*((IF($BO31&lt;&gt;$BO29,$ED$3:$FI$3=$BD31,0))+(IF($BO32&lt;&gt;$BO29,$ED$3:$FI$3=$BD32,0))+(IF($BO30&lt;&gt;$BO29,$ED$3:$FI$3=$BD30,0))))</f>
        <v>0</v>
      </c>
      <c r="BU29" s="4" cm="1">
        <f t="array" aca="1" ref="BU29" ca="1">SUMPRODUCT((OFFSET($FL$3:$GQ$3,MATCH($BD29,$FK$4:$FK$35,0),0))*((IF($BO31&lt;&gt;$BO29,$FL$3:$GQ$3=$BD31,0))+(IF($BO32&lt;&gt;$BO29,$FL$3:$GQ$3=$BD32,0))+(IF($BO30&lt;&gt;$BO29,$FL$3:$GQ$3=$BD30,0))))</f>
        <v>0</v>
      </c>
      <c r="BV29" s="4">
        <f>BK29</f>
        <v>0</v>
      </c>
      <c r="BW29" s="4">
        <f>BI29</f>
        <v>0</v>
      </c>
      <c r="BX29" s="4">
        <f ca="1">(BP29/10)+(BQ29/100)+(BR29/1000)+(BT29/10000)+(BU29/100000)+(BV29/1000000)+(BW29/10000000)+(ROW(BS32)/100000000)</f>
        <v>3.2000000000000001E-7</v>
      </c>
      <c r="BY29" s="4">
        <f ca="1">+BO29-BX29</f>
        <v>0.99999967999999995</v>
      </c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U29" s="4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4"/>
      <c r="EC29" s="4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4"/>
      <c r="FK29" s="4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37"/>
      <c r="GM29" s="37"/>
      <c r="GN29" s="37"/>
      <c r="GO29" s="37"/>
      <c r="GP29" s="37"/>
      <c r="GQ29" s="37"/>
      <c r="GR29" s="75"/>
      <c r="GS29" s="148"/>
      <c r="GT29" s="157"/>
      <c r="GU29" s="75"/>
      <c r="GV29" s="75"/>
      <c r="GW29" s="75"/>
      <c r="GX29" s="75"/>
      <c r="GY29" s="75"/>
      <c r="GZ29" s="75"/>
    </row>
    <row r="30" spans="1:221" s="11" customFormat="1" ht="30" customHeight="1" x14ac:dyDescent="0.25">
      <c r="A30" s="20"/>
      <c r="B30" s="122">
        <v>27</v>
      </c>
      <c r="C30" s="122" t="s">
        <v>5</v>
      </c>
      <c r="D30" s="123">
        <v>45467</v>
      </c>
      <c r="E30" s="122" t="s">
        <v>85</v>
      </c>
      <c r="F30" s="124">
        <v>0.875</v>
      </c>
      <c r="G30" s="125">
        <f t="shared" si="11"/>
        <v>45467.625</v>
      </c>
      <c r="H30" s="122" t="s">
        <v>115</v>
      </c>
      <c r="I30" s="126"/>
      <c r="J30" s="118"/>
      <c r="K30" s="118"/>
      <c r="L30" s="174">
        <f>IF(I30="",0,IFERROR(IF(SCORING.RULES!$C$8="No",1,((VLOOKUP($B30,ACTUALS!$B$4:$L$100,7,FALSE)=$H30)+(VLOOKUP($B30,ACTUALS!$B$4:$L$100,7,FALSE)=S30)))*(M30+N30+O30+P30+Q30),0))+$R30</f>
        <v>0</v>
      </c>
      <c r="M30" s="168">
        <f>IFERROR(IF($B30="","",IF(U30=INDEX(ACTUALS!$AA$4:$AA$100,MATCH($B30,ACTUALS!$B$4:$B$100,0),1),CorrectScore,0)),0)</f>
        <v>0</v>
      </c>
      <c r="N30" s="157" t="str">
        <f>IFERROR(IF(I30="","",IF(INDEX(ACTUALS!$AB$4:$AB$100,MATCH($B30,ACTUALS!$B$4:$B$100,0),1)=(AB30+AC30+AH30+AI30),CorrectNumberofGoals,0)),0)</f>
        <v/>
      </c>
      <c r="O30" s="157"/>
      <c r="P30" s="157">
        <f>IFERROR(IF(B30="","",IF(INDEX(ACTUALS!$L$4:$L$100,MATCH($B30,ACTUALS!$B$4:$B$100,0),1)=W30,CorrectResult,0)),0)</f>
        <v>3</v>
      </c>
      <c r="Q30" s="157"/>
      <c r="R30" s="157"/>
      <c r="S30" s="157" t="str">
        <f t="shared" si="0"/>
        <v/>
      </c>
      <c r="T30" s="157"/>
      <c r="U30" s="157" t="str">
        <f t="shared" si="1"/>
        <v/>
      </c>
      <c r="V30" s="157" t="str">
        <f t="shared" si="2"/>
        <v/>
      </c>
      <c r="W30" s="119" t="str">
        <f>IF(tblActuals3541519[[#This Row],[SCORE]]="","",IF(AB30=AC30,"Draw",IF(AB30&gt;AC30,X30,Y30)))</f>
        <v/>
      </c>
      <c r="X30" s="120" t="str">
        <f>IF(tblActuals3541519[[#This Row],[TEAMS]]="","",LEFT(H30,FIND(" -",H30,1)-1))</f>
        <v>Albania</v>
      </c>
      <c r="Y30" s="120" t="str">
        <f>IF(tblActuals3541519[[#This Row],[TEAMS]]="","",MID(H30,FIND("-",H30,1)+2,LEN(H30)-FIND("-",H30,1)+2))</f>
        <v>Spain</v>
      </c>
      <c r="Z30" s="120" t="str">
        <f>IF(tblActuals3541519[[#This Row],[Team 1 Goals]]&gt;tblActuals3541519[[#This Row],[Team 2 Goals]],tblActuals3541519[[#This Row],[Team 1]],IF(tblActuals3541519[[#This Row],[Team 2 Goals]]&gt;tblActuals3541519[[#This Row],[Team 1 Goals]],tblActuals3541519[[#This Row],[Team 2]],""))</f>
        <v/>
      </c>
      <c r="AA30" s="120" t="str">
        <f>IF(tblActuals3541519[[#This Row],[Winner]]=tblActuals3541519[[#This Row],[Team 1]],tblActuals3541519[[#This Row],[Team 2]],IF(tblActuals3541519[[#This Row],[Winner]]=tblActuals3541519[[#This Row],[Team 2]],tblActuals3541519[[#This Row],[Team 1]],""))</f>
        <v/>
      </c>
      <c r="AB30" s="120" t="str">
        <f>IF(tblActuals3541519[[#This Row],[SCORE]]="","",LEFT(I30,FIND(":",I30,1)-1)*1)</f>
        <v/>
      </c>
      <c r="AC30" s="120" t="str">
        <f>IF(tblActuals3541519[[#This Row],[SCORE]]="","",MID(I30,FIND(":",I30,1)+1,LEN(I30)-FIND(":",I30,1)+1)*1)</f>
        <v/>
      </c>
      <c r="AD30" s="120" t="str">
        <f>IF(OR(tblActuals3541519[[#This Row],[Team 1 Goals]]="",tblActuals3541519[[#This Row],[Team 2 Goals]]=""),"",tblActuals3541519[[#This Row],[Team 1 Goals]]-tblActuals3541519[[#This Row],[Team 2 Goals]])</f>
        <v/>
      </c>
      <c r="AE30" s="120" t="str">
        <f>IF(OR(tblActuals3541519[[#This Row],[Team 1 Goals]]="",tblActuals3541519[[#This Row],[Team 2 Goals]]=""),"",tblActuals3541519[[#This Row],[Team 2 Goals]]-tblActuals3541519[[#This Row],[Team 1 Goals]])</f>
        <v/>
      </c>
      <c r="AF30" s="120" t="str">
        <f>IF(tblActuals3541519[[#This Row],[SCORE]]="","",IF(tblActuals3541519[[#This Row],[WINNER / RESULT]]="Draw",1,IF(tblActuals3541519[[#This Row],[WINNER / RESULT]]=tblActuals3541519[[#This Row],[Team 1]],3,0)))</f>
        <v/>
      </c>
      <c r="AG30" s="120" t="str">
        <f>IF(tblActuals3541519[[#This Row],[SCORE]]="","",IF(tblActuals3541519[[#This Row],[WINNER / RESULT]]="Draw",1,IF(tblActuals3541519[[#This Row],[WINNER / RESULT]]=tblActuals3541519[[#This Row],[Team 2]],3,0)))</f>
        <v/>
      </c>
      <c r="AH30" s="121"/>
      <c r="AI30" s="121"/>
      <c r="AJ30" s="121"/>
      <c r="AK30" s="121"/>
      <c r="AL30" s="120" t="e">
        <f>tblActuals3541519[[#This Row],[Team 1 Goals]]+tblActuals3541519[[#This Row],[Team 1 ET Goals]]&amp;":"&amp;tblActuals3541519[[#This Row],[Team 2 Goals]]+tblActuals3541519[[#This Row],[Team 2 ET Goals]]</f>
        <v>#VALUE!</v>
      </c>
      <c r="AM30" s="120" t="e">
        <f>+tblActuals3541519[[#This Row],[Team 1 Goals]]+tblActuals3541519[[#This Row],[Team 2 Goals]]</f>
        <v>#VALUE!</v>
      </c>
      <c r="AN30" s="161">
        <f t="shared" si="3"/>
        <v>45467</v>
      </c>
      <c r="AT30" s="77" t="s">
        <v>12</v>
      </c>
      <c r="AU30" s="136">
        <v>1</v>
      </c>
      <c r="AV30" s="137" t="str">
        <f ca="1">IFERROR(INDEX(BD:BD,MATCH("1"&amp;AT30,BN:BN,0),1),"")</f>
        <v>Belgium</v>
      </c>
      <c r="AW30" s="137" t="str">
        <f ca="1">IF(AV30="","",VLOOKUP(AV30,BD:BI,2,FALSE)&amp;"-"&amp;VLOOKUP(AV30,BD:BI,3,FALSE)&amp;"-"&amp;VLOOKUP(AV30,BD:BI,4,FALSE))</f>
        <v>0-0-0</v>
      </c>
      <c r="AX30" s="137">
        <f ca="1">IF(AV30="","",VLOOKUP(AV30,BD:BK,8,FALSE))</f>
        <v>0</v>
      </c>
      <c r="AY30" s="138">
        <f ca="1">IF(AV30="","",VLOOKUP(AV30,BD:BN,5,FALSE))</f>
        <v>0</v>
      </c>
      <c r="AZ30" s="75"/>
      <c r="BA30" s="4"/>
      <c r="BB30" s="4"/>
      <c r="BC30" s="4" t="s">
        <v>45</v>
      </c>
      <c r="BD30" s="4" t="s">
        <v>134</v>
      </c>
      <c r="BE30" s="4">
        <f>COUNTIF(tblActuals3541519[Winner],BD30)</f>
        <v>0</v>
      </c>
      <c r="BF30" s="4">
        <f>COUNTIFS(tblActuals3541519[Team 2],BD30,tblActuals3541519[WINNER / RESULT],"Draw")+COUNTIFS(tblActuals3541519[Team 1],BD30,tblActuals3541519[WINNER / RESULT],"Draw")</f>
        <v>0</v>
      </c>
      <c r="BG30" s="4">
        <f>COUNTIF(tblActuals3541519[Loser],BD30)</f>
        <v>0</v>
      </c>
      <c r="BH30" s="4">
        <f>BF30+(3*BE30)</f>
        <v>0</v>
      </c>
      <c r="BI30" s="4">
        <f>SUMIFS(tblActuals3541519[Team 1 Goals],tblActuals3541519[Team 1],BD30)+SUMIFS(tblActuals3541519[Team 2 Goals],tblActuals3541519[Team 2],BD30)</f>
        <v>0</v>
      </c>
      <c r="BJ30" s="4">
        <f>SUMIFS(tblActuals3541519[Team 2 Goals],tblActuals3541519[Team 1],BD30)+SUMIFS(tblActuals3541519[Team 1 Goals],tblActuals3541519[Team 2],BD30)</f>
        <v>0</v>
      </c>
      <c r="BK30" s="4">
        <f>BI30-BJ30</f>
        <v>0</v>
      </c>
      <c r="BL30" s="4">
        <f ca="1">RANK(BY30,$BY$29:$BY$32,1)</f>
        <v>2</v>
      </c>
      <c r="BM30" s="4" t="str">
        <f t="shared" si="4"/>
        <v/>
      </c>
      <c r="BN30" s="4" t="str">
        <f ca="1">IF(BM30="",BL30&amp;BC30,BM30&amp;BC30)</f>
        <v>2F</v>
      </c>
      <c r="BO30" s="4">
        <f>RANK(BH30,$BH$29:$BH$32,0)</f>
        <v>1</v>
      </c>
      <c r="BP30" s="4" cm="1">
        <f t="array" aca="1" ref="BP30" ca="1">SUMPRODUCT((OFFSET($CV$3:$EA$3,MATCH($BD30,$CU$4:$CU$35,0),0))*((IF($BO31=$BO30,$CV$3:$EA$3=$BD31,0))+(IF($BO32=$BO30,$CV$3:$EA$3=$BD32,0))+(IF($BO29=$BO30,$CV$3:$EA$3=$BD29,0))))</f>
        <v>0</v>
      </c>
      <c r="BQ30" s="4" cm="1">
        <f t="array" aca="1" ref="BQ30" ca="1">SUMPRODUCT((OFFSET($ED$3:$FI$3,MATCH($BD30,$EC$4:$EC$35,0),0))*((IF($BO31=$BO30,$ED$3:$FI$3=$BD31,0))+(IF($BO32=$BO30,$ED$3:$FI$3=$BD32,0))+(IF($BO29=$BO30,$ED$3:$FI$3=$BD29,0))))</f>
        <v>0</v>
      </c>
      <c r="BR30" s="4" cm="1">
        <f t="array" aca="1" ref="BR30" ca="1">SUMPRODUCT((OFFSET($FL$3:$GQ$3,MATCH($BD30,$FK$4:$FK$35,0),0))*((IF($BO31=$BO30,$FL$3:$GQ$3=$BD31,0))+(IF($BO32=$BO30,$FL$3:$GQ$3=$BD32,0))+(IF($BO29=$BO30,$FL$3:$GQ$3=$BD29,0))))</f>
        <v>0</v>
      </c>
      <c r="BS30" s="4" cm="1">
        <f t="array" aca="1" ref="BS30" ca="1">SUMPRODUCT((OFFSET($CV$3:$EA$3,MATCH($BD30,$CU$4:$CU$35,0),0))*((IF($BO31&lt;&gt;$BO30,$CV$3:$EA$3=$BD31,0))+(IF($BO32&lt;&gt;$BO30,$CV$3:$EA$3=$BD32,0))+(IF($BO29&lt;&gt;$BO30,$CV$3:$EA$3=$BD29,0))))</f>
        <v>0</v>
      </c>
      <c r="BT30" s="4" cm="1">
        <f t="array" aca="1" ref="BT30" ca="1">SUMPRODUCT((OFFSET($ED$3:$FI$3,MATCH($BD30,$EC$4:$EC$35,0),0))*((IF($BO31&lt;&gt;$BO30,$ED$3:$FI$3=$BD31,0))+(IF($BO32&lt;&gt;$BO30,$ED$3:$FI$3=$BD32,0))+(IF($BO29&lt;&gt;$BO30,$ED$3:$FI$3=$BD29,0))))</f>
        <v>0</v>
      </c>
      <c r="BU30" s="4" cm="1">
        <f t="array" aca="1" ref="BU30" ca="1">SUMPRODUCT((OFFSET($FL$3:$GQ$3,MATCH($BD30,$FK$4:$FK$35,0),0))*((IF($BO31&lt;&gt;$BO30,$FL$3:$GQ$3=$BD31,0))+(IF($BO32&lt;&gt;$BO30,$FL$3:$GQ$3=$BD32,0))+(IF($BO29&lt;&gt;$BO30,$FL$3:$GQ$3=$BD29,0))))</f>
        <v>0</v>
      </c>
      <c r="BV30" s="4">
        <f>BK30</f>
        <v>0</v>
      </c>
      <c r="BW30" s="4">
        <f>BI30</f>
        <v>0</v>
      </c>
      <c r="BX30" s="4">
        <f ca="1">(BP30/10)+(BQ30/100)+(BR30/1000)+(BT30/10000)+(BU30/100000)+(BV30/1000000)+(BW30/10000000)+(ROW(BS31)/100000000)</f>
        <v>3.1E-7</v>
      </c>
      <c r="BY30" s="4">
        <f ca="1">+BO30-BX30</f>
        <v>0.99999969</v>
      </c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U30" s="4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4"/>
      <c r="EC30" s="4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4"/>
      <c r="FK30" s="4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37"/>
      <c r="GM30" s="37"/>
      <c r="GN30" s="37"/>
      <c r="GO30" s="37"/>
      <c r="GP30" s="37"/>
      <c r="GQ30" s="37"/>
      <c r="GR30" s="75"/>
      <c r="GS30" s="148"/>
      <c r="GT30" s="157"/>
      <c r="GU30" s="75"/>
      <c r="GV30" s="75"/>
      <c r="GW30" s="75"/>
      <c r="GX30" s="75"/>
      <c r="GY30" s="75"/>
      <c r="GZ30" s="75"/>
      <c r="HA30" s="97" t="str">
        <f>_xlfn.CONCAT(A9,A10,A11,A12,A13,A14,A15,A16)</f>
        <v/>
      </c>
    </row>
    <row r="31" spans="1:221" s="11" customFormat="1" ht="30" customHeight="1" x14ac:dyDescent="0.25">
      <c r="A31" s="20"/>
      <c r="B31" s="122">
        <v>28</v>
      </c>
      <c r="C31" s="122" t="s">
        <v>5</v>
      </c>
      <c r="D31" s="123">
        <v>45467</v>
      </c>
      <c r="E31" s="122" t="s">
        <v>87</v>
      </c>
      <c r="F31" s="124">
        <v>0.875</v>
      </c>
      <c r="G31" s="125">
        <f t="shared" si="11"/>
        <v>45467.625</v>
      </c>
      <c r="H31" s="122" t="s">
        <v>116</v>
      </c>
      <c r="I31" s="126"/>
      <c r="J31" s="118"/>
      <c r="K31" s="118"/>
      <c r="L31" s="174">
        <f>IF(I31="",0,IFERROR(IF(SCORING.RULES!$C$8="No",1,((VLOOKUP($B31,ACTUALS!$B$4:$L$100,7,FALSE)=$H31)+(VLOOKUP($B31,ACTUALS!$B$4:$L$100,7,FALSE)=S31)))*(M31+N31+O31+P31+Q31),0))+$R31</f>
        <v>0</v>
      </c>
      <c r="M31" s="168">
        <f>IFERROR(IF($B31="","",IF(U31=INDEX(ACTUALS!$AA$4:$AA$100,MATCH($B31,ACTUALS!$B$4:$B$100,0),1),CorrectScore,0)),0)</f>
        <v>0</v>
      </c>
      <c r="N31" s="157" t="str">
        <f>IFERROR(IF(I31="","",IF(INDEX(ACTUALS!$AB$4:$AB$100,MATCH($B31,ACTUALS!$B$4:$B$100,0),1)=(AB31+AC31+AH31+AI31),CorrectNumberofGoals,0)),0)</f>
        <v/>
      </c>
      <c r="O31" s="157"/>
      <c r="P31" s="157">
        <f>IFERROR(IF(B31="","",IF(INDEX(ACTUALS!$L$4:$L$100,MATCH($B31,ACTUALS!$B$4:$B$100,0),1)=W31,CorrectResult,0)),0)</f>
        <v>3</v>
      </c>
      <c r="Q31" s="157"/>
      <c r="R31" s="157"/>
      <c r="S31" s="157" t="str">
        <f t="shared" si="0"/>
        <v/>
      </c>
      <c r="T31" s="157"/>
      <c r="U31" s="157" t="str">
        <f t="shared" si="1"/>
        <v/>
      </c>
      <c r="V31" s="157" t="str">
        <f t="shared" si="2"/>
        <v/>
      </c>
      <c r="W31" s="119" t="str">
        <f>IF(tblActuals3541519[[#This Row],[SCORE]]="","",IF(AB31=AC31,"Draw",IF(AB31&gt;AC31,X31,Y31)))</f>
        <v/>
      </c>
      <c r="X31" s="120" t="str">
        <f>IF(tblActuals3541519[[#This Row],[TEAMS]]="","",LEFT(H31,FIND(" -",H31,1)-1))</f>
        <v>Croatia</v>
      </c>
      <c r="Y31" s="120" t="str">
        <f>IF(tblActuals3541519[[#This Row],[TEAMS]]="","",MID(H31,FIND("-",H31,1)+2,LEN(H31)-FIND("-",H31,1)+2))</f>
        <v>Italy</v>
      </c>
      <c r="Z31" s="120" t="str">
        <f>IF(tblActuals3541519[[#This Row],[Team 1 Goals]]&gt;tblActuals3541519[[#This Row],[Team 2 Goals]],tblActuals3541519[[#This Row],[Team 1]],IF(tblActuals3541519[[#This Row],[Team 2 Goals]]&gt;tblActuals3541519[[#This Row],[Team 1 Goals]],tblActuals3541519[[#This Row],[Team 2]],""))</f>
        <v/>
      </c>
      <c r="AA31" s="120" t="str">
        <f>IF(tblActuals3541519[[#This Row],[Winner]]=tblActuals3541519[[#This Row],[Team 1]],tblActuals3541519[[#This Row],[Team 2]],IF(tblActuals3541519[[#This Row],[Winner]]=tblActuals3541519[[#This Row],[Team 2]],tblActuals3541519[[#This Row],[Team 1]],""))</f>
        <v/>
      </c>
      <c r="AB31" s="120" t="str">
        <f>IF(tblActuals3541519[[#This Row],[SCORE]]="","",LEFT(I31,FIND(":",I31,1)-1)*1)</f>
        <v/>
      </c>
      <c r="AC31" s="120" t="str">
        <f>IF(tblActuals3541519[[#This Row],[SCORE]]="","",MID(I31,FIND(":",I31,1)+1,LEN(I31)-FIND(":",I31,1)+1)*1)</f>
        <v/>
      </c>
      <c r="AD31" s="120" t="str">
        <f>IF(OR(tblActuals3541519[[#This Row],[Team 1 Goals]]="",tblActuals3541519[[#This Row],[Team 2 Goals]]=""),"",tblActuals3541519[[#This Row],[Team 1 Goals]]-tblActuals3541519[[#This Row],[Team 2 Goals]])</f>
        <v/>
      </c>
      <c r="AE31" s="120" t="str">
        <f>IF(OR(tblActuals3541519[[#This Row],[Team 1 Goals]]="",tblActuals3541519[[#This Row],[Team 2 Goals]]=""),"",tblActuals3541519[[#This Row],[Team 2 Goals]]-tblActuals3541519[[#This Row],[Team 1 Goals]])</f>
        <v/>
      </c>
      <c r="AF31" s="120" t="str">
        <f>IF(tblActuals3541519[[#This Row],[SCORE]]="","",IF(tblActuals3541519[[#This Row],[WINNER / RESULT]]="Draw",1,IF(tblActuals3541519[[#This Row],[WINNER / RESULT]]=tblActuals3541519[[#This Row],[Team 1]],3,0)))</f>
        <v/>
      </c>
      <c r="AG31" s="120" t="str">
        <f>IF(tblActuals3541519[[#This Row],[SCORE]]="","",IF(tblActuals3541519[[#This Row],[WINNER / RESULT]]="Draw",1,IF(tblActuals3541519[[#This Row],[WINNER / RESULT]]=tblActuals3541519[[#This Row],[Team 2]],3,0)))</f>
        <v/>
      </c>
      <c r="AH31" s="121"/>
      <c r="AI31" s="121"/>
      <c r="AJ31" s="121"/>
      <c r="AK31" s="121"/>
      <c r="AL31" s="120" t="e">
        <f>tblActuals3541519[[#This Row],[Team 1 Goals]]+tblActuals3541519[[#This Row],[Team 1 ET Goals]]&amp;":"&amp;tblActuals3541519[[#This Row],[Team 2 Goals]]+tblActuals3541519[[#This Row],[Team 2 ET Goals]]</f>
        <v>#VALUE!</v>
      </c>
      <c r="AM31" s="120" t="e">
        <f>+tblActuals3541519[[#This Row],[Team 1 Goals]]+tblActuals3541519[[#This Row],[Team 2 Goals]]</f>
        <v>#VALUE!</v>
      </c>
      <c r="AN31" s="161">
        <f t="shared" si="3"/>
        <v>45467</v>
      </c>
      <c r="AT31" s="77" t="s">
        <v>12</v>
      </c>
      <c r="AU31" s="139">
        <v>2</v>
      </c>
      <c r="AV31" s="140" t="str">
        <f ca="1">IFERROR(INDEX(BD:BD,MATCH("2"&amp;AT31,BN:BN,0),1),"")</f>
        <v>Romania</v>
      </c>
      <c r="AW31" s="140" t="str">
        <f ca="1">IF(AV31="","",VLOOKUP(AV31,BD:BI,2,FALSE)&amp;"-"&amp;VLOOKUP(AV31,BD:BI,3,FALSE)&amp;"-"&amp;VLOOKUP(AV31,BD:BI,4,FALSE))</f>
        <v>0-0-0</v>
      </c>
      <c r="AX31" s="140">
        <f ca="1">IF(AV31="","",VLOOKUP(AV31,BD:BK,8,FALSE))</f>
        <v>0</v>
      </c>
      <c r="AY31" s="141">
        <f ca="1">IF(AV31="","",VLOOKUP(AV31,BD:BN,5,FALSE))</f>
        <v>0</v>
      </c>
      <c r="AZ31" s="75"/>
      <c r="BA31" s="4"/>
      <c r="BB31" s="4"/>
      <c r="BC31" s="4" t="s">
        <v>45</v>
      </c>
      <c r="BD31" s="4" t="s">
        <v>30</v>
      </c>
      <c r="BE31" s="4">
        <f>COUNTIF(tblActuals3541519[Winner],BD31)</f>
        <v>0</v>
      </c>
      <c r="BF31" s="4">
        <f>COUNTIFS(tblActuals3541519[Team 2],BD31,tblActuals3541519[WINNER / RESULT],"Draw")+COUNTIFS(tblActuals3541519[Team 1],BD31,tblActuals3541519[WINNER / RESULT],"Draw")</f>
        <v>0</v>
      </c>
      <c r="BG31" s="4">
        <f>COUNTIF(tblActuals3541519[Loser],BD31)</f>
        <v>0</v>
      </c>
      <c r="BH31" s="4">
        <f>BF31+(3*BE31)</f>
        <v>0</v>
      </c>
      <c r="BI31" s="4">
        <f>SUMIFS(tblActuals3541519[Team 1 Goals],tblActuals3541519[Team 1],BD31)+SUMIFS(tblActuals3541519[Team 2 Goals],tblActuals3541519[Team 2],BD31)</f>
        <v>0</v>
      </c>
      <c r="BJ31" s="4">
        <f>SUMIFS(tblActuals3541519[Team 2 Goals],tblActuals3541519[Team 1],BD31)+SUMIFS(tblActuals3541519[Team 1 Goals],tblActuals3541519[Team 2],BD31)</f>
        <v>0</v>
      </c>
      <c r="BK31" s="4">
        <f>BI31-BJ31</f>
        <v>0</v>
      </c>
      <c r="BL31" s="4">
        <f ca="1">RANK(BY31,$BY$29:$BY$32,1)</f>
        <v>3</v>
      </c>
      <c r="BM31" s="4" t="str">
        <f t="shared" si="4"/>
        <v/>
      </c>
      <c r="BN31" s="4" t="str">
        <f ca="1">IF(BM31="",BL31&amp;BC31,BM31&amp;BC31)</f>
        <v>3F</v>
      </c>
      <c r="BO31" s="4">
        <f>RANK(BH31,$BH$29:$BH$32,0)</f>
        <v>1</v>
      </c>
      <c r="BP31" s="4" cm="1">
        <f t="array" aca="1" ref="BP31" ca="1">SUMPRODUCT((OFFSET($CV$3:$EA$3,MATCH($BD31,$CU$4:$CU$35,0),0))*((IF($BO29=$BO31,$CV$3:$EA$3=$BD29,0))+(IF($BO32=$BO31,$CV$3:$EA$3=$BD32,0))+(IF($BO30=$BO31,$CV$3:$EA$3=$BD30,0))))</f>
        <v>0</v>
      </c>
      <c r="BQ31" s="4" cm="1">
        <f t="array" aca="1" ref="BQ31" ca="1">SUMPRODUCT((OFFSET($ED$3:$FI$3,MATCH($BD31,$EC$4:$EC$35,0),0))*((IF($BO29=$BO31,$ED$3:$FI$3=$BD29,0))+(IF($BO32=$BO31,$ED$3:$FI$3=$BD32,0))+(IF($BO30=$BO31,$ED$3:$FI$3=$BD30,0))))</f>
        <v>0</v>
      </c>
      <c r="BR31" s="4" cm="1">
        <f t="array" aca="1" ref="BR31" ca="1">SUMPRODUCT((OFFSET($FL$3:$GQ$3,MATCH($BD31,$FK$4:$FK$35,0),0))*((IF($BO29=$BO31,$FL$3:$GQ$3=$BD29,0))+(IF($BO32=$BO31,$FL$3:$GQ$3=$BD32,0))+(IF($BO30=$BO31,$FL$3:$GQ$3=$BD30,0))))</f>
        <v>0</v>
      </c>
      <c r="BS31" s="4" cm="1">
        <f t="array" aca="1" ref="BS31" ca="1">SUMPRODUCT((OFFSET($CV$3:$EA$3,MATCH($BD31,$CU$4:$CU$35,0),0))*((IF($BO29&lt;&gt;$BO31,$CV$3:$EA$3=$BD29,0))+(IF($BO32&lt;&gt;$BO31,$CV$3:$EA$3=$BD32,0))+(IF($BO30&lt;&gt;$BO31,$CV$3:$EA$3=$BD30,0))))</f>
        <v>0</v>
      </c>
      <c r="BT31" s="4" cm="1">
        <f t="array" aca="1" ref="BT31" ca="1">SUMPRODUCT((OFFSET($ED$3:$FI$3,MATCH($BD31,$EC$4:$EC$35,0),0))*((IF($BO29&lt;&gt;$BO31,$ED$3:$FI$3=$BD29,0))+(IF($BO32&lt;&gt;$BO31,$ED$3:$FI$3=$BD32,0))+(IF($BO30&lt;&gt;$BO31,$ED$3:$FI$3=$BD30,0))))</f>
        <v>0</v>
      </c>
      <c r="BU31" s="4" cm="1">
        <f t="array" aca="1" ref="BU31" ca="1">SUMPRODUCT((OFFSET($FL$3:$GQ$3,MATCH($BD31,$FK$4:$FK$35,0),0))*((IF($BO29&lt;&gt;$BO31,$FL$3:$GQ$3=$BD29,0))+(IF($BO32&lt;&gt;$BO31,$FL$3:$GQ$3=$BD32,0))+(IF($BO30&lt;&gt;$BO31,$FL$3:$GQ$3=$BD30,0))))</f>
        <v>0</v>
      </c>
      <c r="BV31" s="4">
        <f>BK31</f>
        <v>0</v>
      </c>
      <c r="BW31" s="4">
        <f>BI31</f>
        <v>0</v>
      </c>
      <c r="BX31" s="4">
        <f ca="1">(BP31/10)+(BQ31/100)+(BR31/1000)+(BT31/10000)+(BU31/100000)+(BV31/1000000)+(BW31/10000000)+(ROW(BS30)/100000000)</f>
        <v>2.9999999999999999E-7</v>
      </c>
      <c r="BY31" s="4">
        <f ca="1">+BO31-BX31</f>
        <v>0.99999970000000005</v>
      </c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U31" s="4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4"/>
      <c r="EC31" s="4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4"/>
      <c r="FK31" s="4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37"/>
      <c r="GM31" s="37"/>
      <c r="GN31" s="37"/>
      <c r="GO31" s="37"/>
      <c r="GP31" s="37"/>
      <c r="GQ31" s="37"/>
      <c r="GR31" s="75"/>
      <c r="GS31" s="157"/>
      <c r="GT31" s="157"/>
      <c r="GU31" s="75"/>
      <c r="GV31" s="75"/>
      <c r="GW31" s="75"/>
      <c r="GX31" s="75"/>
      <c r="GY31" s="75"/>
      <c r="GZ31" s="75"/>
    </row>
    <row r="32" spans="1:221" s="11" customFormat="1" ht="30" customHeight="1" x14ac:dyDescent="0.25">
      <c r="A32" s="20"/>
      <c r="B32" s="122">
        <v>29</v>
      </c>
      <c r="C32" s="122" t="s">
        <v>6</v>
      </c>
      <c r="D32" s="123">
        <v>45468</v>
      </c>
      <c r="E32" s="122" t="s">
        <v>79</v>
      </c>
      <c r="F32" s="124">
        <v>0.875</v>
      </c>
      <c r="G32" s="125">
        <f t="shared" si="11"/>
        <v>45468.625</v>
      </c>
      <c r="H32" s="122" t="s">
        <v>117</v>
      </c>
      <c r="I32" s="126"/>
      <c r="J32" s="118"/>
      <c r="K32" s="118"/>
      <c r="L32" s="174">
        <f>IF(I32="",0,IFERROR(IF(SCORING.RULES!$C$8="No",1,((VLOOKUP($B32,ACTUALS!$B$4:$L$100,7,FALSE)=$H32)+(VLOOKUP($B32,ACTUALS!$B$4:$L$100,7,FALSE)=S32)))*(M32+N32+O32+P32+Q32),0))+$R32</f>
        <v>0</v>
      </c>
      <c r="M32" s="168">
        <f>IFERROR(IF($B32="","",IF(U32=INDEX(ACTUALS!$AA$4:$AA$100,MATCH($B32,ACTUALS!$B$4:$B$100,0),1),CorrectScore,0)),0)</f>
        <v>0</v>
      </c>
      <c r="N32" s="157" t="str">
        <f>IFERROR(IF(I32="","",IF(INDEX(ACTUALS!$AB$4:$AB$100,MATCH($B32,ACTUALS!$B$4:$B$100,0),1)=(AB32+AC32+AH32+AI32),CorrectNumberofGoals,0)),0)</f>
        <v/>
      </c>
      <c r="O32" s="157"/>
      <c r="P32" s="157">
        <f>IFERROR(IF(B32="","",IF(INDEX(ACTUALS!$L$4:$L$100,MATCH($B32,ACTUALS!$B$4:$B$100,0),1)=W32,CorrectResult,0)),0)</f>
        <v>3</v>
      </c>
      <c r="Q32" s="157"/>
      <c r="R32" s="157"/>
      <c r="S32" s="157" t="str">
        <f t="shared" si="0"/>
        <v/>
      </c>
      <c r="T32" s="157"/>
      <c r="U32" s="157" t="str">
        <f t="shared" si="1"/>
        <v/>
      </c>
      <c r="V32" s="157" t="str">
        <f t="shared" si="2"/>
        <v/>
      </c>
      <c r="W32" s="119" t="str">
        <f>IF(tblActuals3541519[[#This Row],[SCORE]]="","",IF(AB32=AC32,"Draw",IF(AB32&gt;AC32,X32,Y32)))</f>
        <v/>
      </c>
      <c r="X32" s="120" t="str">
        <f>IF(tblActuals3541519[[#This Row],[TEAMS]]="","",LEFT(H32,FIND(" -",H32,1)-1))</f>
        <v>England</v>
      </c>
      <c r="Y32" s="120" t="str">
        <f>IF(tblActuals3541519[[#This Row],[TEAMS]]="","",MID(H32,FIND("-",H32,1)+2,LEN(H32)-FIND("-",H32,1)+2))</f>
        <v>Slovenia</v>
      </c>
      <c r="Z32" s="120" t="str">
        <f>IF(tblActuals3541519[[#This Row],[Team 1 Goals]]&gt;tblActuals3541519[[#This Row],[Team 2 Goals]],tblActuals3541519[[#This Row],[Team 1]],IF(tblActuals3541519[[#This Row],[Team 2 Goals]]&gt;tblActuals3541519[[#This Row],[Team 1 Goals]],tblActuals3541519[[#This Row],[Team 2]],""))</f>
        <v/>
      </c>
      <c r="AA32" s="120" t="str">
        <f>IF(tblActuals3541519[[#This Row],[Winner]]=tblActuals3541519[[#This Row],[Team 1]],tblActuals3541519[[#This Row],[Team 2]],IF(tblActuals3541519[[#This Row],[Winner]]=tblActuals3541519[[#This Row],[Team 2]],tblActuals3541519[[#This Row],[Team 1]],""))</f>
        <v/>
      </c>
      <c r="AB32" s="120" t="str">
        <f>IF(tblActuals3541519[[#This Row],[SCORE]]="","",LEFT(I32,FIND(":",I32,1)-1)*1)</f>
        <v/>
      </c>
      <c r="AC32" s="120" t="str">
        <f>IF(tblActuals3541519[[#This Row],[SCORE]]="","",MID(I32,FIND(":",I32,1)+1,LEN(I32)-FIND(":",I32,1)+1)*1)</f>
        <v/>
      </c>
      <c r="AD32" s="120" t="str">
        <f>IF(OR(tblActuals3541519[[#This Row],[Team 1 Goals]]="",tblActuals3541519[[#This Row],[Team 2 Goals]]=""),"",tblActuals3541519[[#This Row],[Team 1 Goals]]-tblActuals3541519[[#This Row],[Team 2 Goals]])</f>
        <v/>
      </c>
      <c r="AE32" s="120" t="str">
        <f>IF(OR(tblActuals3541519[[#This Row],[Team 1 Goals]]="",tblActuals3541519[[#This Row],[Team 2 Goals]]=""),"",tblActuals3541519[[#This Row],[Team 2 Goals]]-tblActuals3541519[[#This Row],[Team 1 Goals]])</f>
        <v/>
      </c>
      <c r="AF32" s="120" t="str">
        <f>IF(tblActuals3541519[[#This Row],[SCORE]]="","",IF(tblActuals3541519[[#This Row],[WINNER / RESULT]]="Draw",1,IF(tblActuals3541519[[#This Row],[WINNER / RESULT]]=tblActuals3541519[[#This Row],[Team 1]],3,0)))</f>
        <v/>
      </c>
      <c r="AG32" s="120" t="str">
        <f>IF(tblActuals3541519[[#This Row],[SCORE]]="","",IF(tblActuals3541519[[#This Row],[WINNER / RESULT]]="Draw",1,IF(tblActuals3541519[[#This Row],[WINNER / RESULT]]=tblActuals3541519[[#This Row],[Team 2]],3,0)))</f>
        <v/>
      </c>
      <c r="AH32" s="121"/>
      <c r="AI32" s="121"/>
      <c r="AJ32" s="121"/>
      <c r="AK32" s="121"/>
      <c r="AL32" s="120" t="e">
        <f>tblActuals3541519[[#This Row],[Team 1 Goals]]+tblActuals3541519[[#This Row],[Team 1 ET Goals]]&amp;":"&amp;tblActuals3541519[[#This Row],[Team 2 Goals]]+tblActuals3541519[[#This Row],[Team 2 ET Goals]]</f>
        <v>#VALUE!</v>
      </c>
      <c r="AM32" s="120" t="e">
        <f>+tblActuals3541519[[#This Row],[Team 1 Goals]]+tblActuals3541519[[#This Row],[Team 2 Goals]]</f>
        <v>#VALUE!</v>
      </c>
      <c r="AN32" s="161">
        <f t="shared" si="3"/>
        <v>45468</v>
      </c>
      <c r="AT32" s="77" t="s">
        <v>12</v>
      </c>
      <c r="AU32" s="142">
        <v>3</v>
      </c>
      <c r="AV32" s="143" t="str">
        <f ca="1">IFERROR(INDEX(BD:BD,MATCH("3"&amp;AT32,BN:BN,0),1),"")</f>
        <v>Slovakia</v>
      </c>
      <c r="AW32" s="143" t="str">
        <f ca="1">IF(AV32="","",VLOOKUP(AV32,BD:BI,2,FALSE)&amp;"-"&amp;VLOOKUP(AV32,BD:BI,3,FALSE)&amp;"-"&amp;VLOOKUP(AV32,BD:BI,4,FALSE))</f>
        <v>0-0-0</v>
      </c>
      <c r="AX32" s="143">
        <f ca="1">IF(AV32="","",VLOOKUP(AV32,BD:BK,8,FALSE))</f>
        <v>0</v>
      </c>
      <c r="AY32" s="144">
        <f ca="1">IF(AV32="","",VLOOKUP(AV32,BD:BN,5,FALSE))</f>
        <v>0</v>
      </c>
      <c r="AZ32" s="75" t="str">
        <f ca="1">IF(INDEX($AU$43:$AU$48,MATCH(AV32,$AV$43:$AV$48,0),1)&lt;=4,"X","")</f>
        <v>X</v>
      </c>
      <c r="BA32" s="4"/>
      <c r="BB32" s="4"/>
      <c r="BC32" s="4" t="s">
        <v>45</v>
      </c>
      <c r="BD32" s="4" t="s">
        <v>133</v>
      </c>
      <c r="BE32" s="4">
        <f>COUNTIF(tblActuals3541519[Winner],BD32)</f>
        <v>0</v>
      </c>
      <c r="BF32" s="4">
        <f>COUNTIFS(tblActuals3541519[Team 2],BD32,tblActuals3541519[WINNER / RESULT],"Draw")+COUNTIFS(tblActuals3541519[Team 1],BD32,tblActuals3541519[WINNER / RESULT],"Draw")</f>
        <v>0</v>
      </c>
      <c r="BG32" s="4">
        <f>COUNTIF(tblActuals3541519[Loser],BD32)</f>
        <v>0</v>
      </c>
      <c r="BH32" s="4">
        <f>BF32+(3*BE32)</f>
        <v>0</v>
      </c>
      <c r="BI32" s="4">
        <f>SUMIFS(tblActuals3541519[Team 1 Goals],tblActuals3541519[Team 1],BD32)+SUMIFS(tblActuals3541519[Team 2 Goals],tblActuals3541519[Team 2],BD32)</f>
        <v>0</v>
      </c>
      <c r="BJ32" s="4">
        <f>SUMIFS(tblActuals3541519[Team 2 Goals],tblActuals3541519[Team 1],BD32)+SUMIFS(tblActuals3541519[Team 1 Goals],tblActuals3541519[Team 2],BD32)</f>
        <v>0</v>
      </c>
      <c r="BK32" s="4">
        <f>BI32-BJ32</f>
        <v>0</v>
      </c>
      <c r="BL32" s="4">
        <f ca="1">RANK(BY32,$BY$29:$BY$32,1)</f>
        <v>4</v>
      </c>
      <c r="BM32" s="4" t="str">
        <f t="shared" si="4"/>
        <v/>
      </c>
      <c r="BN32" s="4" t="str">
        <f ca="1">IF(BM32="",BL32&amp;BC32,BM32&amp;BC32)</f>
        <v>4F</v>
      </c>
      <c r="BO32" s="4">
        <f>RANK(BH32,$BH$29:$BH$32,0)</f>
        <v>1</v>
      </c>
      <c r="BP32" s="4" cm="1">
        <f t="array" aca="1" ref="BP32" ca="1">SUMPRODUCT((OFFSET($CV$3:$EA$3,MATCH($BD32,$CU$4:$CU$35,0),0))*((IF($BO30=$BO32,$CV$3:$EA$3=$BD30,0))+(IF($BO29=$BO32,$CV$3:$EA$3=$BD29,0))+(IF($BO31=$BO32,$CV$3:$EA$3=$BD31,0))))</f>
        <v>0</v>
      </c>
      <c r="BQ32" s="4" cm="1">
        <f t="array" aca="1" ref="BQ32" ca="1">SUMPRODUCT((OFFSET($ED$3:$FI$3,MATCH($BD32,$EC$4:$EC$35,0),0))*((IF($BO30=$BO32,$ED$3:$FI$3=$BD30,0))+(IF($BO29=$BO32,$ED$3:$FI$3=$BD29,0))+(IF($BO31=$BO32,$ED$3:$FI$3=$BD31,0))))</f>
        <v>0</v>
      </c>
      <c r="BR32" s="4" cm="1">
        <f t="array" aca="1" ref="BR32" ca="1">SUMPRODUCT((OFFSET($FL$3:$GQ$3,MATCH($BD32,$FK$4:$FK$35,0),0))*((IF($BO30=$BO32,$FL$3:$GQ$3=$BD30,0))+(IF($BO29=$BO32,$FL$3:$GQ$3=$BD29,0))+(IF($BO31=$BO32,$FL$3:$GQ$3=$BD31,0))))</f>
        <v>0</v>
      </c>
      <c r="BS32" s="4" cm="1">
        <f t="array" aca="1" ref="BS32" ca="1">SUMPRODUCT((OFFSET($CV$3:$EA$3,MATCH($BD32,$CU$4:$CU$35,0),0))*((IF($BO30&lt;&gt;$BO32,$CV$3:$EA$3=$BD30,0))+(IF($BO29&lt;&gt;$BO32,$CV$3:$EA$3=$BD29,0))+(IF($BO31&lt;&gt;$BO32,$CV$3:$EA$3=$BD31,0))))</f>
        <v>0</v>
      </c>
      <c r="BT32" s="4" cm="1">
        <f t="array" aca="1" ref="BT32" ca="1">SUMPRODUCT((OFFSET($ED$3:$FI$3,MATCH($BD32,$EC$4:$EC$35,0),0))*((IF($BO30&lt;&gt;$BO32,$ED$3:$FI$3=$BD30,0))+(IF($BO29&lt;&gt;$BO32,$ED$3:$FI$3=$BD29,0))+(IF($BO31&lt;&gt;$BO32,$ED$3:$FI$3=$BD31,0))))</f>
        <v>0</v>
      </c>
      <c r="BU32" s="4" cm="1">
        <f t="array" aca="1" ref="BU32" ca="1">SUMPRODUCT((OFFSET($FL$3:$GQ$3,MATCH($BD32,$FK$4:$FK$35,0),0))*((IF($BO30&lt;&gt;$BO32,$FL$3:$GQ$3=$BD30,0))+(IF($BO29&lt;&gt;$BO32,$FL$3:$GQ$3=$BD29,0))+(IF($BO31&lt;&gt;$BO32,$FL$3:$GQ$3=$BD31,0))))</f>
        <v>0</v>
      </c>
      <c r="BV32" s="4">
        <f>BK32</f>
        <v>0</v>
      </c>
      <c r="BW32" s="4">
        <f>BI32</f>
        <v>0</v>
      </c>
      <c r="BX32" s="4">
        <f ca="1">(BP32/10)+(BQ32/100)+(BR32/1000)+(BT32/10000)+(BU32/100000)+(BV32/1000000)+(BW32/10000000)+(ROW(BS29)/100000000)</f>
        <v>2.8999999999999998E-7</v>
      </c>
      <c r="BY32" s="4">
        <f ca="1">+BO32-BX32</f>
        <v>0.99999970999999999</v>
      </c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U32" s="4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4"/>
      <c r="EC32" s="4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4"/>
      <c r="FK32" s="4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37"/>
      <c r="GM32" s="37"/>
      <c r="GN32" s="37"/>
      <c r="GO32" s="37"/>
      <c r="GP32" s="37"/>
      <c r="GQ32" s="37"/>
      <c r="GR32" s="75"/>
      <c r="GS32" s="157"/>
      <c r="GT32" s="157"/>
      <c r="GU32" s="79"/>
      <c r="GV32" s="79"/>
      <c r="GW32" s="79"/>
      <c r="GX32" s="79"/>
      <c r="GY32" s="79"/>
      <c r="GZ32" s="79"/>
    </row>
    <row r="33" spans="1:208" s="11" customFormat="1" ht="30" customHeight="1" thickBot="1" x14ac:dyDescent="0.3">
      <c r="A33" s="20"/>
      <c r="B33" s="122">
        <v>30</v>
      </c>
      <c r="C33" s="122" t="s">
        <v>6</v>
      </c>
      <c r="D33" s="123">
        <v>45468</v>
      </c>
      <c r="E33" s="122" t="s">
        <v>78</v>
      </c>
      <c r="F33" s="124">
        <v>0.875</v>
      </c>
      <c r="G33" s="125">
        <f t="shared" si="11"/>
        <v>45468.625</v>
      </c>
      <c r="H33" s="122" t="s">
        <v>118</v>
      </c>
      <c r="I33" s="126"/>
      <c r="J33" s="118"/>
      <c r="K33" s="118"/>
      <c r="L33" s="174">
        <f>IF(I33="",0,IFERROR(IF(SCORING.RULES!$C$8="No",1,((VLOOKUP($B33,ACTUALS!$B$4:$L$100,7,FALSE)=$H33)+(VLOOKUP($B33,ACTUALS!$B$4:$L$100,7,FALSE)=S33)))*(M33+N33+O33+P33+Q33),0))+$R33</f>
        <v>0</v>
      </c>
      <c r="M33" s="168">
        <f>IFERROR(IF($B33="","",IF(U33=INDEX(ACTUALS!$AA$4:$AA$100,MATCH($B33,ACTUALS!$B$4:$B$100,0),1),CorrectScore,0)),0)</f>
        <v>0</v>
      </c>
      <c r="N33" s="157" t="str">
        <f>IFERROR(IF(I33="","",IF(INDEX(ACTUALS!$AB$4:$AB$100,MATCH($B33,ACTUALS!$B$4:$B$100,0),1)=(AB33+AC33+AH33+AI33),CorrectNumberofGoals,0)),0)</f>
        <v/>
      </c>
      <c r="O33" s="157"/>
      <c r="P33" s="157">
        <f>IFERROR(IF(B33="","",IF(INDEX(ACTUALS!$L$4:$L$100,MATCH($B33,ACTUALS!$B$4:$B$100,0),1)=W33,CorrectResult,0)),0)</f>
        <v>3</v>
      </c>
      <c r="Q33" s="157"/>
      <c r="R33" s="157"/>
      <c r="S33" s="157" t="str">
        <f t="shared" si="0"/>
        <v/>
      </c>
      <c r="T33" s="157"/>
      <c r="U33" s="157" t="str">
        <f t="shared" si="1"/>
        <v/>
      </c>
      <c r="V33" s="157" t="str">
        <f t="shared" si="2"/>
        <v/>
      </c>
      <c r="W33" s="119" t="str">
        <f>IF(tblActuals3541519[[#This Row],[SCORE]]="","",IF(AB33=AC33,"Draw",IF(AB33&gt;AC33,X33,Y33)))</f>
        <v/>
      </c>
      <c r="X33" s="120" t="str">
        <f>IF(tblActuals3541519[[#This Row],[TEAMS]]="","",LEFT(H33,FIND(" -",H33,1)-1))</f>
        <v>Denmark</v>
      </c>
      <c r="Y33" s="120" t="str">
        <f>IF(tblActuals3541519[[#This Row],[TEAMS]]="","",MID(H33,FIND("-",H33,1)+2,LEN(H33)-FIND("-",H33,1)+2))</f>
        <v>Serbia</v>
      </c>
      <c r="Z33" s="120" t="str">
        <f>IF(tblActuals3541519[[#This Row],[Team 1 Goals]]&gt;tblActuals3541519[[#This Row],[Team 2 Goals]],tblActuals3541519[[#This Row],[Team 1]],IF(tblActuals3541519[[#This Row],[Team 2 Goals]]&gt;tblActuals3541519[[#This Row],[Team 1 Goals]],tblActuals3541519[[#This Row],[Team 2]],""))</f>
        <v/>
      </c>
      <c r="AA33" s="120" t="str">
        <f>IF(tblActuals3541519[[#This Row],[Winner]]=tblActuals3541519[[#This Row],[Team 1]],tblActuals3541519[[#This Row],[Team 2]],IF(tblActuals3541519[[#This Row],[Winner]]=tblActuals3541519[[#This Row],[Team 2]],tblActuals3541519[[#This Row],[Team 1]],""))</f>
        <v/>
      </c>
      <c r="AB33" s="120" t="str">
        <f>IF(tblActuals3541519[[#This Row],[SCORE]]="","",LEFT(I33,FIND(":",I33,1)-1)*1)</f>
        <v/>
      </c>
      <c r="AC33" s="120" t="str">
        <f>IF(tblActuals3541519[[#This Row],[SCORE]]="","",MID(I33,FIND(":",I33,1)+1,LEN(I33)-FIND(":",I33,1)+1)*1)</f>
        <v/>
      </c>
      <c r="AD33" s="120" t="str">
        <f>IF(OR(tblActuals3541519[[#This Row],[Team 1 Goals]]="",tblActuals3541519[[#This Row],[Team 2 Goals]]=""),"",tblActuals3541519[[#This Row],[Team 1 Goals]]-tblActuals3541519[[#This Row],[Team 2 Goals]])</f>
        <v/>
      </c>
      <c r="AE33" s="120" t="str">
        <f>IF(OR(tblActuals3541519[[#This Row],[Team 1 Goals]]="",tblActuals3541519[[#This Row],[Team 2 Goals]]=""),"",tblActuals3541519[[#This Row],[Team 2 Goals]]-tblActuals3541519[[#This Row],[Team 1 Goals]])</f>
        <v/>
      </c>
      <c r="AF33" s="120" t="str">
        <f>IF(tblActuals3541519[[#This Row],[SCORE]]="","",IF(tblActuals3541519[[#This Row],[WINNER / RESULT]]="Draw",1,IF(tblActuals3541519[[#This Row],[WINNER / RESULT]]=tblActuals3541519[[#This Row],[Team 1]],3,0)))</f>
        <v/>
      </c>
      <c r="AG33" s="120" t="str">
        <f>IF(tblActuals3541519[[#This Row],[SCORE]]="","",IF(tblActuals3541519[[#This Row],[WINNER / RESULT]]="Draw",1,IF(tblActuals3541519[[#This Row],[WINNER / RESULT]]=tblActuals3541519[[#This Row],[Team 2]],3,0)))</f>
        <v/>
      </c>
      <c r="AH33" s="121"/>
      <c r="AI33" s="121"/>
      <c r="AJ33" s="121"/>
      <c r="AK33" s="121"/>
      <c r="AL33" s="120" t="e">
        <f>tblActuals3541519[[#This Row],[Team 1 Goals]]+tblActuals3541519[[#This Row],[Team 1 ET Goals]]&amp;":"&amp;tblActuals3541519[[#This Row],[Team 2 Goals]]+tblActuals3541519[[#This Row],[Team 2 ET Goals]]</f>
        <v>#VALUE!</v>
      </c>
      <c r="AM33" s="120" t="e">
        <f>+tblActuals3541519[[#This Row],[Team 1 Goals]]+tblActuals3541519[[#This Row],[Team 2 Goals]]</f>
        <v>#VALUE!</v>
      </c>
      <c r="AN33" s="161">
        <f t="shared" si="3"/>
        <v>45468</v>
      </c>
      <c r="AT33" s="77" t="s">
        <v>12</v>
      </c>
      <c r="AU33" s="145">
        <v>4</v>
      </c>
      <c r="AV33" s="146" t="str">
        <f ca="1">IFERROR(INDEX(BD:BD,MATCH("4"&amp;AT33,BN:BN,0),1),"")</f>
        <v>Ukraine</v>
      </c>
      <c r="AW33" s="146" t="str">
        <f ca="1">IF(AV33="","",VLOOKUP(AV33,BD:BI,2,FALSE)&amp;"-"&amp;VLOOKUP(AV33,BD:BI,3,FALSE)&amp;"-"&amp;VLOOKUP(AV33,BD:BI,4,FALSE))</f>
        <v>0-0-0</v>
      </c>
      <c r="AX33" s="146">
        <f ca="1">IF(AV33="","",VLOOKUP(AV33,BD:BK,8,FALSE))</f>
        <v>0</v>
      </c>
      <c r="AY33" s="147">
        <f ca="1">IF(AV33="","",VLOOKUP(AV33,BD:BN,5,FALSE))</f>
        <v>0</v>
      </c>
      <c r="AZ33" s="75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U33" s="4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4"/>
      <c r="EC33" s="4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4"/>
      <c r="FK33" s="4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37"/>
      <c r="GM33" s="37"/>
      <c r="GN33" s="37"/>
      <c r="GO33" s="37"/>
      <c r="GP33" s="37"/>
      <c r="GQ33" s="37"/>
      <c r="GR33" s="75"/>
      <c r="GS33" s="157"/>
      <c r="GT33" s="157"/>
      <c r="GU33" s="79"/>
      <c r="GV33" s="79"/>
      <c r="GW33" s="79"/>
      <c r="GX33" s="79"/>
      <c r="GY33" s="79"/>
      <c r="GZ33" s="79"/>
    </row>
    <row r="34" spans="1:208" s="11" customFormat="1" ht="30" customHeight="1" thickBot="1" x14ac:dyDescent="0.3">
      <c r="A34" s="20"/>
      <c r="B34" s="122">
        <v>31</v>
      </c>
      <c r="C34" s="122" t="s">
        <v>7</v>
      </c>
      <c r="D34" s="123">
        <v>45468</v>
      </c>
      <c r="E34" s="122" t="s">
        <v>80</v>
      </c>
      <c r="F34" s="124">
        <v>0.75</v>
      </c>
      <c r="G34" s="125">
        <f t="shared" si="11"/>
        <v>45468.5</v>
      </c>
      <c r="H34" s="122" t="s">
        <v>141</v>
      </c>
      <c r="I34" s="126"/>
      <c r="J34" s="118"/>
      <c r="K34" s="118"/>
      <c r="L34" s="174">
        <f>IF(I34="",0,IFERROR(IF(SCORING.RULES!$C$8="No",1,((VLOOKUP($B34,ACTUALS!$B$4:$L$100,7,FALSE)=$H34)+(VLOOKUP($B34,ACTUALS!$B$4:$L$100,7,FALSE)=S34)))*(M34+N34+O34+P34+Q34),0))+$R34</f>
        <v>0</v>
      </c>
      <c r="M34" s="168">
        <f>IFERROR(IF($B34="","",IF(U34=INDEX(ACTUALS!$AA$4:$AA$100,MATCH($B34,ACTUALS!$B$4:$B$100,0),1),CorrectScore,0)),0)</f>
        <v>0</v>
      </c>
      <c r="N34" s="157" t="str">
        <f>IFERROR(IF(I34="","",IF(INDEX(ACTUALS!$AB$4:$AB$100,MATCH($B34,ACTUALS!$B$4:$B$100,0),1)=(AB34+AC34+AH34+AI34),CorrectNumberofGoals,0)),0)</f>
        <v/>
      </c>
      <c r="O34" s="157"/>
      <c r="P34" s="157">
        <f>IFERROR(IF(B34="","",IF(INDEX(ACTUALS!$L$4:$L$100,MATCH($B34,ACTUALS!$B$4:$B$100,0),1)=W34,CorrectResult,0)),0)</f>
        <v>3</v>
      </c>
      <c r="Q34" s="157"/>
      <c r="R34" s="157"/>
      <c r="S34" s="157" t="str">
        <f t="shared" si="0"/>
        <v/>
      </c>
      <c r="T34" s="157"/>
      <c r="U34" s="157" t="str">
        <f t="shared" si="1"/>
        <v/>
      </c>
      <c r="V34" s="157" t="str">
        <f t="shared" si="2"/>
        <v/>
      </c>
      <c r="W34" s="119" t="str">
        <f>IF(tblActuals3541519[[#This Row],[SCORE]]="","",IF(AB34=AC34,"Draw",IF(AB34&gt;AC34,X34,Y34)))</f>
        <v/>
      </c>
      <c r="X34" s="120" t="str">
        <f>IF(tblActuals3541519[[#This Row],[TEAMS]]="","",LEFT(H34,FIND(" -",H34,1)-1))</f>
        <v>Netherlands</v>
      </c>
      <c r="Y34" s="120" t="str">
        <f>IF(tblActuals3541519[[#This Row],[TEAMS]]="","",MID(H34,FIND("-",H34,1)+2,LEN(H34)-FIND("-",H34,1)+2))</f>
        <v>Austria</v>
      </c>
      <c r="Z34" s="120" t="str">
        <f>IF(tblActuals3541519[[#This Row],[Team 1 Goals]]&gt;tblActuals3541519[[#This Row],[Team 2 Goals]],tblActuals3541519[[#This Row],[Team 1]],IF(tblActuals3541519[[#This Row],[Team 2 Goals]]&gt;tblActuals3541519[[#This Row],[Team 1 Goals]],tblActuals3541519[[#This Row],[Team 2]],""))</f>
        <v/>
      </c>
      <c r="AA34" s="120" t="str">
        <f>IF(tblActuals3541519[[#This Row],[Winner]]=tblActuals3541519[[#This Row],[Team 1]],tblActuals3541519[[#This Row],[Team 2]],IF(tblActuals3541519[[#This Row],[Winner]]=tblActuals3541519[[#This Row],[Team 2]],tblActuals3541519[[#This Row],[Team 1]],""))</f>
        <v/>
      </c>
      <c r="AB34" s="120" t="str">
        <f>IF(tblActuals3541519[[#This Row],[SCORE]]="","",LEFT(I34,FIND(":",I34,1)-1)*1)</f>
        <v/>
      </c>
      <c r="AC34" s="120" t="str">
        <f>IF(tblActuals3541519[[#This Row],[SCORE]]="","",MID(I34,FIND(":",I34,1)+1,LEN(I34)-FIND(":",I34,1)+1)*1)</f>
        <v/>
      </c>
      <c r="AD34" s="120" t="str">
        <f>IF(OR(tblActuals3541519[[#This Row],[Team 1 Goals]]="",tblActuals3541519[[#This Row],[Team 2 Goals]]=""),"",tblActuals3541519[[#This Row],[Team 1 Goals]]-tblActuals3541519[[#This Row],[Team 2 Goals]])</f>
        <v/>
      </c>
      <c r="AE34" s="120" t="str">
        <f>IF(OR(tblActuals3541519[[#This Row],[Team 1 Goals]]="",tblActuals3541519[[#This Row],[Team 2 Goals]]=""),"",tblActuals3541519[[#This Row],[Team 2 Goals]]-tblActuals3541519[[#This Row],[Team 1 Goals]])</f>
        <v/>
      </c>
      <c r="AF34" s="120" t="str">
        <f>IF(tblActuals3541519[[#This Row],[SCORE]]="","",IF(tblActuals3541519[[#This Row],[WINNER / RESULT]]="Draw",1,IF(tblActuals3541519[[#This Row],[WINNER / RESULT]]=tblActuals3541519[[#This Row],[Team 1]],3,0)))</f>
        <v/>
      </c>
      <c r="AG34" s="120" t="str">
        <f>IF(tblActuals3541519[[#This Row],[SCORE]]="","",IF(tblActuals3541519[[#This Row],[WINNER / RESULT]]="Draw",1,IF(tblActuals3541519[[#This Row],[WINNER / RESULT]]=tblActuals3541519[[#This Row],[Team 2]],3,0)))</f>
        <v/>
      </c>
      <c r="AH34" s="121"/>
      <c r="AI34" s="121"/>
      <c r="AJ34" s="121"/>
      <c r="AK34" s="121"/>
      <c r="AL34" s="120" t="e">
        <f>tblActuals3541519[[#This Row],[Team 1 Goals]]+tblActuals3541519[[#This Row],[Team 1 ET Goals]]&amp;":"&amp;tblActuals3541519[[#This Row],[Team 2 Goals]]+tblActuals3541519[[#This Row],[Team 2 ET Goals]]</f>
        <v>#VALUE!</v>
      </c>
      <c r="AM34" s="120" t="e">
        <f>+tblActuals3541519[[#This Row],[Team 1 Goals]]+tblActuals3541519[[#This Row],[Team 2 Goals]]</f>
        <v>#VALUE!</v>
      </c>
      <c r="AN34" s="161">
        <f t="shared" si="3"/>
        <v>45468</v>
      </c>
      <c r="AT34" s="77"/>
      <c r="AU34" s="148"/>
      <c r="AV34" s="148"/>
      <c r="AW34" s="148"/>
      <c r="AX34" s="148"/>
      <c r="AY34" s="148"/>
      <c r="AZ34" s="75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U34" s="4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4"/>
      <c r="EC34" s="4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4"/>
      <c r="FK34" s="4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37"/>
      <c r="GM34" s="37"/>
      <c r="GN34" s="37"/>
      <c r="GO34" s="37"/>
      <c r="GP34" s="37"/>
      <c r="GQ34" s="37"/>
      <c r="GR34" s="75"/>
      <c r="GS34" s="157"/>
      <c r="GT34" s="157"/>
      <c r="GU34" s="79"/>
      <c r="GV34" s="79"/>
      <c r="GW34" s="79"/>
      <c r="GX34" s="79"/>
      <c r="GY34" s="79"/>
      <c r="GZ34" s="79"/>
    </row>
    <row r="35" spans="1:208" s="11" customFormat="1" ht="30" customHeight="1" thickBot="1" x14ac:dyDescent="0.3">
      <c r="A35" s="20"/>
      <c r="B35" s="122">
        <v>32</v>
      </c>
      <c r="C35" s="122" t="s">
        <v>7</v>
      </c>
      <c r="D35" s="123">
        <v>45468</v>
      </c>
      <c r="E35" s="122" t="s">
        <v>81</v>
      </c>
      <c r="F35" s="124">
        <v>0.75</v>
      </c>
      <c r="G35" s="125">
        <f t="shared" si="11"/>
        <v>45468.5</v>
      </c>
      <c r="H35" s="122" t="s">
        <v>119</v>
      </c>
      <c r="I35" s="126"/>
      <c r="J35" s="118"/>
      <c r="K35" s="118"/>
      <c r="L35" s="174">
        <f>IF(I35="",0,IFERROR(IF(SCORING.RULES!$C$8="No",1,((VLOOKUP($B35,ACTUALS!$B$4:$L$100,7,FALSE)=$H35)+(VLOOKUP($B35,ACTUALS!$B$4:$L$100,7,FALSE)=S35)))*(M35+N35+O35+P35+Q35),0))+$R35</f>
        <v>0</v>
      </c>
      <c r="M35" s="168">
        <f>IFERROR(IF($B35="","",IF(U35=INDEX(ACTUALS!$AA$4:$AA$100,MATCH($B35,ACTUALS!$B$4:$B$100,0),1),CorrectScore,0)),0)</f>
        <v>0</v>
      </c>
      <c r="N35" s="157" t="str">
        <f>IFERROR(IF(I35="","",IF(INDEX(ACTUALS!$AB$4:$AB$100,MATCH($B35,ACTUALS!$B$4:$B$100,0),1)=(AB35+AC35+AH35+AI35),CorrectNumberofGoals,0)),0)</f>
        <v/>
      </c>
      <c r="O35" s="157"/>
      <c r="P35" s="157">
        <f>IFERROR(IF(B35="","",IF(INDEX(ACTUALS!$L$4:$L$100,MATCH($B35,ACTUALS!$B$4:$B$100,0),1)=W35,CorrectResult,0)),0)</f>
        <v>3</v>
      </c>
      <c r="Q35" s="157"/>
      <c r="R35" s="157"/>
      <c r="S35" s="157" t="str">
        <f t="shared" si="0"/>
        <v/>
      </c>
      <c r="T35" s="157"/>
      <c r="U35" s="157" t="str">
        <f t="shared" si="1"/>
        <v/>
      </c>
      <c r="V35" s="157" t="str">
        <f t="shared" si="2"/>
        <v/>
      </c>
      <c r="W35" s="119" t="str">
        <f>IF(tblActuals3541519[[#This Row],[SCORE]]="","",IF(AB35=AC35,"Draw",IF(AB35&gt;AC35,X35,Y35)))</f>
        <v/>
      </c>
      <c r="X35" s="120" t="str">
        <f>IF(tblActuals3541519[[#This Row],[TEAMS]]="","",LEFT(H35,FIND(" -",H35,1)-1))</f>
        <v>France</v>
      </c>
      <c r="Y35" s="120" t="str">
        <f>IF(tblActuals3541519[[#This Row],[TEAMS]]="","",MID(H35,FIND("-",H35,1)+2,LEN(H35)-FIND("-",H35,1)+2))</f>
        <v>Poland</v>
      </c>
      <c r="Z35" s="120" t="str">
        <f>IF(tblActuals3541519[[#This Row],[Team 1 Goals]]&gt;tblActuals3541519[[#This Row],[Team 2 Goals]],tblActuals3541519[[#This Row],[Team 1]],IF(tblActuals3541519[[#This Row],[Team 2 Goals]]&gt;tblActuals3541519[[#This Row],[Team 1 Goals]],tblActuals3541519[[#This Row],[Team 2]],""))</f>
        <v/>
      </c>
      <c r="AA35" s="120" t="str">
        <f>IF(tblActuals3541519[[#This Row],[Winner]]=tblActuals3541519[[#This Row],[Team 1]],tblActuals3541519[[#This Row],[Team 2]],IF(tblActuals3541519[[#This Row],[Winner]]=tblActuals3541519[[#This Row],[Team 2]],tblActuals3541519[[#This Row],[Team 1]],""))</f>
        <v/>
      </c>
      <c r="AB35" s="120" t="str">
        <f>IF(tblActuals3541519[[#This Row],[SCORE]]="","",LEFT(I35,FIND(":",I35,1)-1)*1)</f>
        <v/>
      </c>
      <c r="AC35" s="120" t="str">
        <f>IF(tblActuals3541519[[#This Row],[SCORE]]="","",MID(I35,FIND(":",I35,1)+1,LEN(I35)-FIND(":",I35,1)+1)*1)</f>
        <v/>
      </c>
      <c r="AD35" s="120" t="str">
        <f>IF(OR(tblActuals3541519[[#This Row],[Team 1 Goals]]="",tblActuals3541519[[#This Row],[Team 2 Goals]]=""),"",tblActuals3541519[[#This Row],[Team 1 Goals]]-tblActuals3541519[[#This Row],[Team 2 Goals]])</f>
        <v/>
      </c>
      <c r="AE35" s="120" t="str">
        <f>IF(OR(tblActuals3541519[[#This Row],[Team 1 Goals]]="",tblActuals3541519[[#This Row],[Team 2 Goals]]=""),"",tblActuals3541519[[#This Row],[Team 2 Goals]]-tblActuals3541519[[#This Row],[Team 1 Goals]])</f>
        <v/>
      </c>
      <c r="AF35" s="120" t="str">
        <f>IF(tblActuals3541519[[#This Row],[SCORE]]="","",IF(tblActuals3541519[[#This Row],[WINNER / RESULT]]="Draw",1,IF(tblActuals3541519[[#This Row],[WINNER / RESULT]]=tblActuals3541519[[#This Row],[Team 1]],3,0)))</f>
        <v/>
      </c>
      <c r="AG35" s="120" t="str">
        <f>IF(tblActuals3541519[[#This Row],[SCORE]]="","",IF(tblActuals3541519[[#This Row],[WINNER / RESULT]]="Draw",1,IF(tblActuals3541519[[#This Row],[WINNER / RESULT]]=tblActuals3541519[[#This Row],[Team 2]],3,0)))</f>
        <v/>
      </c>
      <c r="AH35" s="121"/>
      <c r="AI35" s="121"/>
      <c r="AJ35" s="121"/>
      <c r="AK35" s="121"/>
      <c r="AL35" s="120" t="e">
        <f>tblActuals3541519[[#This Row],[Team 1 Goals]]+tblActuals3541519[[#This Row],[Team 1 ET Goals]]&amp;":"&amp;tblActuals3541519[[#This Row],[Team 2 Goals]]+tblActuals3541519[[#This Row],[Team 2 ET Goals]]</f>
        <v>#VALUE!</v>
      </c>
      <c r="AM35" s="120" t="e">
        <f>+tblActuals3541519[[#This Row],[Team 1 Goals]]+tblActuals3541519[[#This Row],[Team 2 Goals]]</f>
        <v>#VALUE!</v>
      </c>
      <c r="AN35" s="161">
        <f t="shared" si="3"/>
        <v>45468</v>
      </c>
      <c r="AT35" s="78"/>
      <c r="AU35" s="179" t="s">
        <v>56</v>
      </c>
      <c r="AV35" s="180"/>
      <c r="AW35" s="133" t="s">
        <v>46</v>
      </c>
      <c r="AX35" s="134" t="s">
        <v>57</v>
      </c>
      <c r="AY35" s="135" t="s">
        <v>11</v>
      </c>
      <c r="AZ35" s="75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U35" s="4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4"/>
      <c r="EC35" s="4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4"/>
      <c r="FK35" s="4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37"/>
      <c r="GM35" s="37"/>
      <c r="GN35" s="37"/>
      <c r="GO35" s="37"/>
      <c r="GP35" s="37"/>
      <c r="GQ35" s="37"/>
      <c r="GR35" s="75"/>
      <c r="GS35" s="157"/>
      <c r="GT35" s="157"/>
      <c r="GU35" s="79"/>
      <c r="GV35" s="79"/>
      <c r="GW35" s="79"/>
      <c r="GX35" s="79"/>
      <c r="GY35" s="79"/>
      <c r="GZ35" s="79"/>
    </row>
    <row r="36" spans="1:208" s="11" customFormat="1" ht="30" customHeight="1" x14ac:dyDescent="0.25">
      <c r="A36" s="20"/>
      <c r="B36" s="122">
        <v>33</v>
      </c>
      <c r="C36" s="122" t="s">
        <v>12</v>
      </c>
      <c r="D36" s="123">
        <v>45469</v>
      </c>
      <c r="E36" s="122" t="s">
        <v>86</v>
      </c>
      <c r="F36" s="124">
        <v>0.75</v>
      </c>
      <c r="G36" s="125">
        <f t="shared" si="11"/>
        <v>45469.5</v>
      </c>
      <c r="H36" s="122" t="s">
        <v>120</v>
      </c>
      <c r="I36" s="126"/>
      <c r="J36" s="118"/>
      <c r="K36" s="118"/>
      <c r="L36" s="174">
        <f>IF(I36="",0,IFERROR(IF(SCORING.RULES!$C$8="No",1,((VLOOKUP($B36,ACTUALS!$B$4:$L$100,7,FALSE)=$H36)+(VLOOKUP($B36,ACTUALS!$B$4:$L$100,7,FALSE)=S36)))*(M36+N36+O36+P36+Q36),0))+$R36</f>
        <v>0</v>
      </c>
      <c r="M36" s="168">
        <f>IFERROR(IF($B36="","",IF(U36=INDEX(ACTUALS!$AA$4:$AA$100,MATCH($B36,ACTUALS!$B$4:$B$100,0),1),CorrectScore,0)),0)</f>
        <v>0</v>
      </c>
      <c r="N36" s="157" t="str">
        <f>IFERROR(IF(I36="","",IF(INDEX(ACTUALS!$AB$4:$AB$100,MATCH($B36,ACTUALS!$B$4:$B$100,0),1)=(AB36+AC36+AH36+AI36),CorrectNumberofGoals,0)),0)</f>
        <v/>
      </c>
      <c r="O36" s="157"/>
      <c r="P36" s="157">
        <f>IFERROR(IF(B36="","",IF(INDEX(ACTUALS!$L$4:$L$100,MATCH($B36,ACTUALS!$B$4:$B$100,0),1)=W36,CorrectResult,0)),0)</f>
        <v>3</v>
      </c>
      <c r="Q36" s="157"/>
      <c r="R36" s="157"/>
      <c r="S36" s="157" t="str">
        <f t="shared" si="0"/>
        <v/>
      </c>
      <c r="T36" s="157"/>
      <c r="U36" s="157" t="str">
        <f t="shared" si="1"/>
        <v/>
      </c>
      <c r="V36" s="157" t="str">
        <f t="shared" si="2"/>
        <v/>
      </c>
      <c r="W36" s="119" t="str">
        <f>IF(tblActuals3541519[[#This Row],[SCORE]]="","",IF(AB36=AC36,"Draw",IF(AB36&gt;AC36,X36,Y36)))</f>
        <v/>
      </c>
      <c r="X36" s="120" t="str">
        <f>IF(tblActuals3541519[[#This Row],[TEAMS]]="","",LEFT(H36,FIND(" -",H36,1)-1))</f>
        <v>Slovakia</v>
      </c>
      <c r="Y36" s="120" t="str">
        <f>IF(tblActuals3541519[[#This Row],[TEAMS]]="","",MID(H36,FIND("-",H36,1)+2,LEN(H36)-FIND("-",H36,1)+2))</f>
        <v>Romania</v>
      </c>
      <c r="Z36" s="120" t="str">
        <f>IF(tblActuals3541519[[#This Row],[Team 1 Goals]]&gt;tblActuals3541519[[#This Row],[Team 2 Goals]],tblActuals3541519[[#This Row],[Team 1]],IF(tblActuals3541519[[#This Row],[Team 2 Goals]]&gt;tblActuals3541519[[#This Row],[Team 1 Goals]],tblActuals3541519[[#This Row],[Team 2]],""))</f>
        <v/>
      </c>
      <c r="AA36" s="120" t="str">
        <f>IF(tblActuals3541519[[#This Row],[Winner]]=tblActuals3541519[[#This Row],[Team 1]],tblActuals3541519[[#This Row],[Team 2]],IF(tblActuals3541519[[#This Row],[Winner]]=tblActuals3541519[[#This Row],[Team 2]],tblActuals3541519[[#This Row],[Team 1]],""))</f>
        <v/>
      </c>
      <c r="AB36" s="120" t="str">
        <f>IF(tblActuals3541519[[#This Row],[SCORE]]="","",LEFT(I36,FIND(":",I36,1)-1)*1)</f>
        <v/>
      </c>
      <c r="AC36" s="120" t="str">
        <f>IF(tblActuals3541519[[#This Row],[SCORE]]="","",MID(I36,FIND(":",I36,1)+1,LEN(I36)-FIND(":",I36,1)+1)*1)</f>
        <v/>
      </c>
      <c r="AD36" s="120" t="str">
        <f>IF(OR(tblActuals3541519[[#This Row],[Team 1 Goals]]="",tblActuals3541519[[#This Row],[Team 2 Goals]]=""),"",tblActuals3541519[[#This Row],[Team 1 Goals]]-tblActuals3541519[[#This Row],[Team 2 Goals]])</f>
        <v/>
      </c>
      <c r="AE36" s="120" t="str">
        <f>IF(OR(tblActuals3541519[[#This Row],[Team 1 Goals]]="",tblActuals3541519[[#This Row],[Team 2 Goals]]=""),"",tblActuals3541519[[#This Row],[Team 2 Goals]]-tblActuals3541519[[#This Row],[Team 1 Goals]])</f>
        <v/>
      </c>
      <c r="AF36" s="120" t="str">
        <f>IF(tblActuals3541519[[#This Row],[SCORE]]="","",IF(tblActuals3541519[[#This Row],[WINNER / RESULT]]="Draw",1,IF(tblActuals3541519[[#This Row],[WINNER / RESULT]]=tblActuals3541519[[#This Row],[Team 1]],3,0)))</f>
        <v/>
      </c>
      <c r="AG36" s="120" t="str">
        <f>IF(tblActuals3541519[[#This Row],[SCORE]]="","",IF(tblActuals3541519[[#This Row],[WINNER / RESULT]]="Draw",1,IF(tblActuals3541519[[#This Row],[WINNER / RESULT]]=tblActuals3541519[[#This Row],[Team 2]],3,0)))</f>
        <v/>
      </c>
      <c r="AH36" s="121"/>
      <c r="AI36" s="121"/>
      <c r="AJ36" s="121"/>
      <c r="AK36" s="121"/>
      <c r="AL36" s="120" t="e">
        <f>tblActuals3541519[[#This Row],[Team 1 Goals]]+tblActuals3541519[[#This Row],[Team 1 ET Goals]]&amp;":"&amp;tblActuals3541519[[#This Row],[Team 2 Goals]]+tblActuals3541519[[#This Row],[Team 2 ET Goals]]</f>
        <v>#VALUE!</v>
      </c>
      <c r="AM36" s="120" t="e">
        <f>+tblActuals3541519[[#This Row],[Team 1 Goals]]+tblActuals3541519[[#This Row],[Team 2 Goals]]</f>
        <v>#VALUE!</v>
      </c>
      <c r="AN36" s="161">
        <f t="shared" ref="AN36:AN54" si="13">DATE(YEAR(G36),MONTH(G36),DAY(G36))</f>
        <v>45469</v>
      </c>
      <c r="AT36" s="77" t="s">
        <v>45</v>
      </c>
      <c r="AU36" s="136">
        <v>1</v>
      </c>
      <c r="AV36" s="137" t="str">
        <f ca="1">IFERROR(INDEX(BD:BD,MATCH("1"&amp;AT36,BN:BN,0),1),"")</f>
        <v>Czechia</v>
      </c>
      <c r="AW36" s="137" t="str">
        <f ca="1">IF(AV36="","",VLOOKUP(AV36,BD:BI,2,FALSE)&amp;"-"&amp;VLOOKUP(AV36,BD:BI,3,FALSE)&amp;"-"&amp;VLOOKUP(AV36,BD:BI,4,FALSE))</f>
        <v>0-0-0</v>
      </c>
      <c r="AX36" s="137">
        <f ca="1">IF(AV36="","",VLOOKUP(AV36,BD:BK,8,FALSE))</f>
        <v>0</v>
      </c>
      <c r="AY36" s="138">
        <f ca="1">IF(AV36="","",VLOOKUP(AV36,BD:BN,5,FALSE))</f>
        <v>0</v>
      </c>
      <c r="AZ36" s="75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U36" s="58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4"/>
      <c r="EC36" s="58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4"/>
      <c r="FK36" s="58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13"/>
      <c r="GM36" s="13"/>
      <c r="GN36" s="13"/>
      <c r="GO36" s="13"/>
      <c r="GP36" s="13"/>
      <c r="GQ36" s="13"/>
      <c r="GR36" s="75"/>
      <c r="GS36" s="157"/>
      <c r="GT36" s="157"/>
      <c r="GU36" s="79"/>
      <c r="GV36" s="79"/>
      <c r="GW36" s="79"/>
      <c r="GX36" s="79"/>
      <c r="GY36" s="79"/>
      <c r="GZ36" s="79"/>
    </row>
    <row r="37" spans="1:208" s="11" customFormat="1" ht="30" customHeight="1" x14ac:dyDescent="0.25">
      <c r="A37" s="20"/>
      <c r="B37" s="122">
        <v>34</v>
      </c>
      <c r="C37" s="122" t="s">
        <v>12</v>
      </c>
      <c r="D37" s="123">
        <v>45469</v>
      </c>
      <c r="E37" s="122" t="s">
        <v>83</v>
      </c>
      <c r="F37" s="124">
        <v>0.75</v>
      </c>
      <c r="G37" s="125">
        <f t="shared" si="11"/>
        <v>45469.5</v>
      </c>
      <c r="H37" s="122" t="s">
        <v>121</v>
      </c>
      <c r="I37" s="126"/>
      <c r="J37" s="118"/>
      <c r="K37" s="118"/>
      <c r="L37" s="174">
        <f>IF(I37="",0,IFERROR(IF(SCORING.RULES!$C$8="No",1,((VLOOKUP($B37,ACTUALS!$B$4:$L$100,7,FALSE)=$H37)+(VLOOKUP($B37,ACTUALS!$B$4:$L$100,7,FALSE)=S37)))*(M37+N37+O37+P37+Q37),0))+$R37</f>
        <v>0</v>
      </c>
      <c r="M37" s="168">
        <f>IFERROR(IF($B37="","",IF(U37=INDEX(ACTUALS!$AA$4:$AA$100,MATCH($B37,ACTUALS!$B$4:$B$100,0),1),CorrectScore,0)),0)</f>
        <v>0</v>
      </c>
      <c r="N37" s="157" t="str">
        <f>IFERROR(IF(I37="","",IF(INDEX(ACTUALS!$AB$4:$AB$100,MATCH($B37,ACTUALS!$B$4:$B$100,0),1)=(AB37+AC37+AH37+AI37),CorrectNumberofGoals,0)),0)</f>
        <v/>
      </c>
      <c r="O37" s="157"/>
      <c r="P37" s="157">
        <f>IFERROR(IF(B37="","",IF(INDEX(ACTUALS!$L$4:$L$100,MATCH($B37,ACTUALS!$B$4:$B$100,0),1)=W37,CorrectResult,0)),0)</f>
        <v>3</v>
      </c>
      <c r="Q37" s="157"/>
      <c r="R37" s="157"/>
      <c r="S37" s="157" t="str">
        <f t="shared" si="0"/>
        <v/>
      </c>
      <c r="T37" s="157"/>
      <c r="U37" s="157" t="str">
        <f t="shared" si="1"/>
        <v/>
      </c>
      <c r="V37" s="157" t="str">
        <f t="shared" si="2"/>
        <v/>
      </c>
      <c r="W37" s="119" t="str">
        <f>IF(tblActuals3541519[[#This Row],[SCORE]]="","",IF(AB37=AC37,"Draw",IF(AB37&gt;AC37,X37,Y37)))</f>
        <v/>
      </c>
      <c r="X37" s="120" t="str">
        <f>IF(tblActuals3541519[[#This Row],[TEAMS]]="","",LEFT(H37,FIND(" -",H37,1)-1))</f>
        <v>Ukraine</v>
      </c>
      <c r="Y37" s="120" t="str">
        <f>IF(tblActuals3541519[[#This Row],[TEAMS]]="","",MID(H37,FIND("-",H37,1)+2,LEN(H37)-FIND("-",H37,1)+2))</f>
        <v>Belgium</v>
      </c>
      <c r="Z37" s="120" t="str">
        <f>IF(tblActuals3541519[[#This Row],[Team 1 Goals]]&gt;tblActuals3541519[[#This Row],[Team 2 Goals]],tblActuals3541519[[#This Row],[Team 1]],IF(tblActuals3541519[[#This Row],[Team 2 Goals]]&gt;tblActuals3541519[[#This Row],[Team 1 Goals]],tblActuals3541519[[#This Row],[Team 2]],""))</f>
        <v/>
      </c>
      <c r="AA37" s="120" t="str">
        <f>IF(tblActuals3541519[[#This Row],[Winner]]=tblActuals3541519[[#This Row],[Team 1]],tblActuals3541519[[#This Row],[Team 2]],IF(tblActuals3541519[[#This Row],[Winner]]=tblActuals3541519[[#This Row],[Team 2]],tblActuals3541519[[#This Row],[Team 1]],""))</f>
        <v/>
      </c>
      <c r="AB37" s="120" t="str">
        <f>IF(tblActuals3541519[[#This Row],[SCORE]]="","",LEFT(I37,FIND(":",I37,1)-1)*1)</f>
        <v/>
      </c>
      <c r="AC37" s="120" t="str">
        <f>IF(tblActuals3541519[[#This Row],[SCORE]]="","",MID(I37,FIND(":",I37,1)+1,LEN(I37)-FIND(":",I37,1)+1)*1)</f>
        <v/>
      </c>
      <c r="AD37" s="120" t="str">
        <f>IF(OR(tblActuals3541519[[#This Row],[Team 1 Goals]]="",tblActuals3541519[[#This Row],[Team 2 Goals]]=""),"",tblActuals3541519[[#This Row],[Team 1 Goals]]-tblActuals3541519[[#This Row],[Team 2 Goals]])</f>
        <v/>
      </c>
      <c r="AE37" s="120" t="str">
        <f>IF(OR(tblActuals3541519[[#This Row],[Team 1 Goals]]="",tblActuals3541519[[#This Row],[Team 2 Goals]]=""),"",tblActuals3541519[[#This Row],[Team 2 Goals]]-tblActuals3541519[[#This Row],[Team 1 Goals]])</f>
        <v/>
      </c>
      <c r="AF37" s="120" t="str">
        <f>IF(tblActuals3541519[[#This Row],[SCORE]]="","",IF(tblActuals3541519[[#This Row],[WINNER / RESULT]]="Draw",1,IF(tblActuals3541519[[#This Row],[WINNER / RESULT]]=tblActuals3541519[[#This Row],[Team 1]],3,0)))</f>
        <v/>
      </c>
      <c r="AG37" s="120" t="str">
        <f>IF(tblActuals3541519[[#This Row],[SCORE]]="","",IF(tblActuals3541519[[#This Row],[WINNER / RESULT]]="Draw",1,IF(tblActuals3541519[[#This Row],[WINNER / RESULT]]=tblActuals3541519[[#This Row],[Team 2]],3,0)))</f>
        <v/>
      </c>
      <c r="AH37" s="121"/>
      <c r="AI37" s="121"/>
      <c r="AJ37" s="121"/>
      <c r="AK37" s="121"/>
      <c r="AL37" s="120" t="e">
        <f>tblActuals3541519[[#This Row],[Team 1 Goals]]+tblActuals3541519[[#This Row],[Team 1 ET Goals]]&amp;":"&amp;tblActuals3541519[[#This Row],[Team 2 Goals]]+tblActuals3541519[[#This Row],[Team 2 ET Goals]]</f>
        <v>#VALUE!</v>
      </c>
      <c r="AM37" s="120" t="e">
        <f>+tblActuals3541519[[#This Row],[Team 1 Goals]]+tblActuals3541519[[#This Row],[Team 2 Goals]]</f>
        <v>#VALUE!</v>
      </c>
      <c r="AN37" s="161">
        <f t="shared" si="13"/>
        <v>45469</v>
      </c>
      <c r="AT37" s="77" t="s">
        <v>45</v>
      </c>
      <c r="AU37" s="139">
        <v>2</v>
      </c>
      <c r="AV37" s="140" t="str">
        <f ca="1">IFERROR(INDEX(BD:BD,MATCH("2"&amp;AT37,BN:BN,0),1),"")</f>
        <v>Georgia</v>
      </c>
      <c r="AW37" s="140" t="str">
        <f ca="1">IF(AV37="","",VLOOKUP(AV37,BD:BI,2,FALSE)&amp;"-"&amp;VLOOKUP(AV37,BD:BI,3,FALSE)&amp;"-"&amp;VLOOKUP(AV37,BD:BI,4,FALSE))</f>
        <v>0-0-0</v>
      </c>
      <c r="AX37" s="140">
        <f ca="1">IF(AV37="","",VLOOKUP(AV37,BD:BK,8,FALSE))</f>
        <v>0</v>
      </c>
      <c r="AY37" s="141">
        <f ca="1">IF(AV37="","",VLOOKUP(AV37,BD:BN,5,FALSE))</f>
        <v>0</v>
      </c>
      <c r="AZ37" s="75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U37" s="58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4"/>
      <c r="EC37" s="58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4"/>
      <c r="FK37" s="58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13"/>
      <c r="GM37" s="13"/>
      <c r="GN37" s="13"/>
      <c r="GO37" s="13"/>
      <c r="GP37" s="13"/>
      <c r="GQ37" s="13"/>
      <c r="GR37" s="75"/>
      <c r="GS37" s="157"/>
      <c r="GT37" s="157"/>
      <c r="GU37" s="79"/>
      <c r="GV37" s="79"/>
      <c r="GW37" s="79"/>
      <c r="GX37" s="79"/>
      <c r="GY37" s="79"/>
      <c r="GZ37" s="79"/>
    </row>
    <row r="38" spans="1:208" s="11" customFormat="1" ht="30" customHeight="1" x14ac:dyDescent="0.25">
      <c r="A38" s="20"/>
      <c r="B38" s="122">
        <v>35</v>
      </c>
      <c r="C38" s="122" t="s">
        <v>45</v>
      </c>
      <c r="D38" s="123">
        <v>45469</v>
      </c>
      <c r="E38" s="122" t="s">
        <v>82</v>
      </c>
      <c r="F38" s="124">
        <v>0.875</v>
      </c>
      <c r="G38" s="125">
        <f t="shared" si="11"/>
        <v>45469.625</v>
      </c>
      <c r="H38" s="122" t="s">
        <v>122</v>
      </c>
      <c r="I38" s="126"/>
      <c r="J38" s="118"/>
      <c r="K38" s="118"/>
      <c r="L38" s="174">
        <f>IF(I38="",0,IFERROR(IF(SCORING.RULES!$C$8="No",1,((VLOOKUP($B38,ACTUALS!$B$4:$L$100,7,FALSE)=$H38)+(VLOOKUP($B38,ACTUALS!$B$4:$L$100,7,FALSE)=S38)))*(M38+N38+O38+P38+Q38),0))+$R38</f>
        <v>0</v>
      </c>
      <c r="M38" s="168">
        <f>IFERROR(IF($B38="","",IF(U38=INDEX(ACTUALS!$AA$4:$AA$100,MATCH($B38,ACTUALS!$B$4:$B$100,0),1),CorrectScore,0)),0)</f>
        <v>0</v>
      </c>
      <c r="N38" s="157" t="str">
        <f>IFERROR(IF(I38="","",IF(INDEX(ACTUALS!$AB$4:$AB$100,MATCH($B38,ACTUALS!$B$4:$B$100,0),1)=(AB38+AC38+AH38+AI38),CorrectNumberofGoals,0)),0)</f>
        <v/>
      </c>
      <c r="O38" s="157"/>
      <c r="P38" s="157">
        <f>IFERROR(IF(B38="","",IF(INDEX(ACTUALS!$L$4:$L$100,MATCH($B38,ACTUALS!$B$4:$B$100,0),1)=W38,CorrectResult,0)),0)</f>
        <v>3</v>
      </c>
      <c r="Q38" s="157"/>
      <c r="R38" s="157"/>
      <c r="S38" s="157" t="str">
        <f t="shared" si="0"/>
        <v/>
      </c>
      <c r="T38" s="157"/>
      <c r="U38" s="157" t="str">
        <f t="shared" si="1"/>
        <v/>
      </c>
      <c r="V38" s="157" t="str">
        <f t="shared" si="2"/>
        <v/>
      </c>
      <c r="W38" s="119" t="str">
        <f>IF(tblActuals3541519[[#This Row],[SCORE]]="","",IF(AB38=AC38,"Draw",IF(AB38&gt;AC38,X38,Y38)))</f>
        <v/>
      </c>
      <c r="X38" s="120" t="str">
        <f>IF(tblActuals3541519[[#This Row],[TEAMS]]="","",LEFT(H38,FIND(" -",H38,1)-1))</f>
        <v>Georgia</v>
      </c>
      <c r="Y38" s="120" t="str">
        <f>IF(tblActuals3541519[[#This Row],[TEAMS]]="","",MID(H38,FIND("-",H38,1)+2,LEN(H38)-FIND("-",H38,1)+2))</f>
        <v>Portugal</v>
      </c>
      <c r="Z38" s="120" t="str">
        <f>IF(tblActuals3541519[[#This Row],[Team 1 Goals]]&gt;tblActuals3541519[[#This Row],[Team 2 Goals]],tblActuals3541519[[#This Row],[Team 1]],IF(tblActuals3541519[[#This Row],[Team 2 Goals]]&gt;tblActuals3541519[[#This Row],[Team 1 Goals]],tblActuals3541519[[#This Row],[Team 2]],""))</f>
        <v/>
      </c>
      <c r="AA38" s="120" t="str">
        <f>IF(tblActuals3541519[[#This Row],[Winner]]=tblActuals3541519[[#This Row],[Team 1]],tblActuals3541519[[#This Row],[Team 2]],IF(tblActuals3541519[[#This Row],[Winner]]=tblActuals3541519[[#This Row],[Team 2]],tblActuals3541519[[#This Row],[Team 1]],""))</f>
        <v/>
      </c>
      <c r="AB38" s="120" t="str">
        <f>IF(tblActuals3541519[[#This Row],[SCORE]]="","",LEFT(I38,FIND(":",I38,1)-1)*1)</f>
        <v/>
      </c>
      <c r="AC38" s="120" t="str">
        <f>IF(tblActuals3541519[[#This Row],[SCORE]]="","",MID(I38,FIND(":",I38,1)+1,LEN(I38)-FIND(":",I38,1)+1)*1)</f>
        <v/>
      </c>
      <c r="AD38" s="120" t="str">
        <f>IF(OR(tblActuals3541519[[#This Row],[Team 1 Goals]]="",tblActuals3541519[[#This Row],[Team 2 Goals]]=""),"",tblActuals3541519[[#This Row],[Team 1 Goals]]-tblActuals3541519[[#This Row],[Team 2 Goals]])</f>
        <v/>
      </c>
      <c r="AE38" s="120" t="str">
        <f>IF(OR(tblActuals3541519[[#This Row],[Team 1 Goals]]="",tblActuals3541519[[#This Row],[Team 2 Goals]]=""),"",tblActuals3541519[[#This Row],[Team 2 Goals]]-tblActuals3541519[[#This Row],[Team 1 Goals]])</f>
        <v/>
      </c>
      <c r="AF38" s="120" t="str">
        <f>IF(tblActuals3541519[[#This Row],[SCORE]]="","",IF(tblActuals3541519[[#This Row],[WINNER / RESULT]]="Draw",1,IF(tblActuals3541519[[#This Row],[WINNER / RESULT]]=tblActuals3541519[[#This Row],[Team 1]],3,0)))</f>
        <v/>
      </c>
      <c r="AG38" s="120" t="str">
        <f>IF(tblActuals3541519[[#This Row],[SCORE]]="","",IF(tblActuals3541519[[#This Row],[WINNER / RESULT]]="Draw",1,IF(tblActuals3541519[[#This Row],[WINNER / RESULT]]=tblActuals3541519[[#This Row],[Team 2]],3,0)))</f>
        <v/>
      </c>
      <c r="AH38" s="121"/>
      <c r="AI38" s="121"/>
      <c r="AJ38" s="121"/>
      <c r="AK38" s="121"/>
      <c r="AL38" s="120" t="e">
        <f>tblActuals3541519[[#This Row],[Team 1 Goals]]+tblActuals3541519[[#This Row],[Team 1 ET Goals]]&amp;":"&amp;tblActuals3541519[[#This Row],[Team 2 Goals]]+tblActuals3541519[[#This Row],[Team 2 ET Goals]]</f>
        <v>#VALUE!</v>
      </c>
      <c r="AM38" s="120" t="e">
        <f>+tblActuals3541519[[#This Row],[Team 1 Goals]]+tblActuals3541519[[#This Row],[Team 2 Goals]]</f>
        <v>#VALUE!</v>
      </c>
      <c r="AN38" s="161">
        <f t="shared" si="13"/>
        <v>45469</v>
      </c>
      <c r="AT38" s="77" t="s">
        <v>45</v>
      </c>
      <c r="AU38" s="142">
        <v>3</v>
      </c>
      <c r="AV38" s="143" t="str">
        <f ca="1">IFERROR(INDEX(BD:BD,MATCH("3"&amp;AT38,BN:BN,0),1),"")</f>
        <v>Portugal</v>
      </c>
      <c r="AW38" s="143" t="str">
        <f ca="1">IF(AV38="","",VLOOKUP(AV38,BD:BI,2,FALSE)&amp;"-"&amp;VLOOKUP(AV38,BD:BI,3,FALSE)&amp;"-"&amp;VLOOKUP(AV38,BD:BI,4,FALSE))</f>
        <v>0-0-0</v>
      </c>
      <c r="AX38" s="143">
        <f ca="1">IF(AV38="","",VLOOKUP(AV38,BD:BK,8,FALSE))</f>
        <v>0</v>
      </c>
      <c r="AY38" s="144">
        <f ca="1">IF(AV38="","",VLOOKUP(AV38,BD:BN,5,FALSE))</f>
        <v>0</v>
      </c>
      <c r="AZ38" s="75" t="str">
        <f ca="1">IF(INDEX($AU$43:$AU$48,MATCH(AV38,$AV$43:$AV$48,0),1)&lt;=4,"X","")</f>
        <v>X</v>
      </c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U38" s="58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4"/>
      <c r="EC38" s="58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4"/>
      <c r="FK38" s="58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13"/>
      <c r="GM38" s="13"/>
      <c r="GN38" s="13"/>
      <c r="GO38" s="13"/>
      <c r="GP38" s="13"/>
      <c r="GQ38" s="13"/>
      <c r="GR38" s="75"/>
      <c r="GS38" s="157"/>
      <c r="GT38" s="157"/>
      <c r="GU38" s="75"/>
      <c r="GV38" s="75"/>
      <c r="GW38" s="75"/>
      <c r="GX38" s="75"/>
      <c r="GY38" s="75"/>
      <c r="GZ38" s="75"/>
    </row>
    <row r="39" spans="1:208" s="11" customFormat="1" ht="30" customHeight="1" thickBot="1" x14ac:dyDescent="0.3">
      <c r="A39" s="20"/>
      <c r="B39" s="127">
        <v>36</v>
      </c>
      <c r="C39" s="127" t="s">
        <v>45</v>
      </c>
      <c r="D39" s="128">
        <v>45469</v>
      </c>
      <c r="E39" s="127" t="s">
        <v>84</v>
      </c>
      <c r="F39" s="129">
        <v>0.875</v>
      </c>
      <c r="G39" s="130">
        <f t="shared" si="11"/>
        <v>45469.625</v>
      </c>
      <c r="H39" s="127" t="s">
        <v>123</v>
      </c>
      <c r="I39" s="131"/>
      <c r="J39" s="118"/>
      <c r="K39" s="118"/>
      <c r="L39" s="174">
        <f>IF(I39="",0,IFERROR(IF(SCORING.RULES!$C$8="No",1,((VLOOKUP($B39,ACTUALS!$B$4:$L$100,7,FALSE)=$H39)+(VLOOKUP($B39,ACTUALS!$B$4:$L$100,7,FALSE)=S39)))*(M39+N39+O39+P39+Q39),0))+$R39</f>
        <v>0</v>
      </c>
      <c r="M39" s="168">
        <f>IFERROR(IF($B39="","",IF(U39=INDEX(ACTUALS!$AA$4:$AA$100,MATCH($B39,ACTUALS!$B$4:$B$100,0),1),CorrectScore,0)),0)</f>
        <v>0</v>
      </c>
      <c r="N39" s="157" t="str">
        <f>IFERROR(IF(I39="","",IF(INDEX(ACTUALS!$AB$4:$AB$100,MATCH($B39,ACTUALS!$B$4:$B$100,0),1)=(AB39+AC39+AH39+AI39),CorrectNumberofGoals,0)),0)</f>
        <v/>
      </c>
      <c r="O39" s="157"/>
      <c r="P39" s="157">
        <f>IFERROR(IF(B39="","",IF(INDEX(ACTUALS!$L$4:$L$100,MATCH($B39,ACTUALS!$B$4:$B$100,0),1)=W39,CorrectResult,0)),0)</f>
        <v>3</v>
      </c>
      <c r="Q39" s="157"/>
      <c r="R39" s="157"/>
      <c r="S39" s="157" t="str">
        <f t="shared" si="0"/>
        <v/>
      </c>
      <c r="T39" s="157"/>
      <c r="U39" s="157" t="str">
        <f t="shared" si="1"/>
        <v/>
      </c>
      <c r="V39" s="157" t="str">
        <f t="shared" si="2"/>
        <v/>
      </c>
      <c r="W39" s="132" t="str">
        <f>IF(tblActuals3541519[[#This Row],[SCORE]]="","",IF(AB39=AC39,"Draw",IF(AB39&gt;AC39,X39,Y39)))</f>
        <v/>
      </c>
      <c r="X39" s="120" t="str">
        <f>IF(tblActuals3541519[[#This Row],[TEAMS]]="","",LEFT(H39,FIND(" -",H39,1)-1))</f>
        <v>Czechia</v>
      </c>
      <c r="Y39" s="120" t="str">
        <f>IF(tblActuals3541519[[#This Row],[TEAMS]]="","",MID(H39,FIND("-",H39,1)+2,LEN(H39)-FIND("-",H39,1)+2))</f>
        <v>Turkey</v>
      </c>
      <c r="Z39" s="120" t="str">
        <f>IF(tblActuals3541519[[#This Row],[Team 1 Goals]]&gt;tblActuals3541519[[#This Row],[Team 2 Goals]],tblActuals3541519[[#This Row],[Team 1]],IF(tblActuals3541519[[#This Row],[Team 2 Goals]]&gt;tblActuals3541519[[#This Row],[Team 1 Goals]],tblActuals3541519[[#This Row],[Team 2]],""))</f>
        <v/>
      </c>
      <c r="AA39" s="120" t="str">
        <f>IF(tblActuals3541519[[#This Row],[Winner]]=tblActuals3541519[[#This Row],[Team 1]],tblActuals3541519[[#This Row],[Team 2]],IF(tblActuals3541519[[#This Row],[Winner]]=tblActuals3541519[[#This Row],[Team 2]],tblActuals3541519[[#This Row],[Team 1]],""))</f>
        <v/>
      </c>
      <c r="AB39" s="120" t="str">
        <f>IF(tblActuals3541519[[#This Row],[SCORE]]="","",LEFT(I39,FIND(":",I39,1)-1)*1)</f>
        <v/>
      </c>
      <c r="AC39" s="120" t="str">
        <f>IF(tblActuals3541519[[#This Row],[SCORE]]="","",MID(I39,FIND(":",I39,1)+1,LEN(I39)-FIND(":",I39,1)+1)*1)</f>
        <v/>
      </c>
      <c r="AD39" s="120" t="str">
        <f>IF(OR(tblActuals3541519[[#This Row],[Team 1 Goals]]="",tblActuals3541519[[#This Row],[Team 2 Goals]]=""),"",tblActuals3541519[[#This Row],[Team 1 Goals]]-tblActuals3541519[[#This Row],[Team 2 Goals]])</f>
        <v/>
      </c>
      <c r="AE39" s="120" t="str">
        <f>IF(OR(tblActuals3541519[[#This Row],[Team 1 Goals]]="",tblActuals3541519[[#This Row],[Team 2 Goals]]=""),"",tblActuals3541519[[#This Row],[Team 2 Goals]]-tblActuals3541519[[#This Row],[Team 1 Goals]])</f>
        <v/>
      </c>
      <c r="AF39" s="120" t="str">
        <f>IF(tblActuals3541519[[#This Row],[SCORE]]="","",IF(tblActuals3541519[[#This Row],[WINNER / RESULT]]="Draw",1,IF(tblActuals3541519[[#This Row],[WINNER / RESULT]]=tblActuals3541519[[#This Row],[Team 1]],3,0)))</f>
        <v/>
      </c>
      <c r="AG39" s="120" t="str">
        <f>IF(tblActuals3541519[[#This Row],[SCORE]]="","",IF(tblActuals3541519[[#This Row],[WINNER / RESULT]]="Draw",1,IF(tblActuals3541519[[#This Row],[WINNER / RESULT]]=tblActuals3541519[[#This Row],[Team 2]],3,0)))</f>
        <v/>
      </c>
      <c r="AH39" s="121"/>
      <c r="AI39" s="121"/>
      <c r="AJ39" s="121"/>
      <c r="AK39" s="121"/>
      <c r="AL39" s="120" t="e">
        <f>tblActuals3541519[[#This Row],[Team 1 Goals]]+tblActuals3541519[[#This Row],[Team 1 ET Goals]]&amp;":"&amp;tblActuals3541519[[#This Row],[Team 2 Goals]]+tblActuals3541519[[#This Row],[Team 2 ET Goals]]</f>
        <v>#VALUE!</v>
      </c>
      <c r="AM39" s="120" t="e">
        <f>+tblActuals3541519[[#This Row],[Team 1 Goals]]+tblActuals3541519[[#This Row],[Team 2 Goals]]</f>
        <v>#VALUE!</v>
      </c>
      <c r="AN39" s="161">
        <f t="shared" si="13"/>
        <v>45469</v>
      </c>
      <c r="AT39" s="77" t="s">
        <v>45</v>
      </c>
      <c r="AU39" s="145">
        <v>4</v>
      </c>
      <c r="AV39" s="146" t="str">
        <f ca="1">IFERROR(INDEX(BD:BD,MATCH("4"&amp;AT39,BN:BN,0),1),"")</f>
        <v>Turkey</v>
      </c>
      <c r="AW39" s="146" t="str">
        <f ca="1">IF(AV39="","",VLOOKUP(AV39,BD:BI,2,FALSE)&amp;"-"&amp;VLOOKUP(AV39,BD:BI,3,FALSE)&amp;"-"&amp;VLOOKUP(AV39,BD:BI,4,FALSE))</f>
        <v>0-0-0</v>
      </c>
      <c r="AX39" s="146">
        <f ca="1">IF(AV39="","",VLOOKUP(AV39,BD:BK,8,FALSE))</f>
        <v>0</v>
      </c>
      <c r="AY39" s="147">
        <f ca="1">IF(AV39="","",VLOOKUP(AV39,BD:BN,5,FALSE))</f>
        <v>0</v>
      </c>
      <c r="AZ39" s="75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U39" s="58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4"/>
      <c r="EC39" s="58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4"/>
      <c r="FK39" s="58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13"/>
      <c r="GM39" s="13"/>
      <c r="GN39" s="13"/>
      <c r="GO39" s="13"/>
      <c r="GP39" s="13"/>
      <c r="GQ39" s="13"/>
      <c r="GR39" s="75"/>
      <c r="GS39" s="157"/>
      <c r="GT39" s="157"/>
      <c r="GU39" s="75"/>
      <c r="GV39" s="75"/>
      <c r="GW39" s="75"/>
      <c r="GX39" s="75"/>
      <c r="GY39" s="75"/>
      <c r="GZ39" s="75"/>
    </row>
    <row r="40" spans="1:208" s="11" customFormat="1" ht="30" customHeight="1" thickBot="1" x14ac:dyDescent="0.3">
      <c r="A40" s="20"/>
      <c r="B40" s="113">
        <v>37</v>
      </c>
      <c r="C40" s="113" t="s">
        <v>48</v>
      </c>
      <c r="D40" s="114">
        <v>45472</v>
      </c>
      <c r="E40" s="113" t="s">
        <v>81</v>
      </c>
      <c r="F40" s="115">
        <v>0.875</v>
      </c>
      <c r="G40" s="116">
        <f t="shared" si="11"/>
        <v>45472.625</v>
      </c>
      <c r="H40" s="113" t="str">
        <f>IF(I39="","Round of 16",INDEX(BD:BD,MATCH("1A",BN:BN,0),1)&amp;" - "&amp;INDEX(BD:BD,MATCH("2C",BN:BN,0),1))</f>
        <v>Round of 16</v>
      </c>
      <c r="I40" s="50"/>
      <c r="J40" s="62"/>
      <c r="K40" s="66"/>
      <c r="L40" s="175">
        <f>IF(I40="",0,IFERROR(IF(SCORING.RULES!$C$8="No",1,((VLOOKUP($B40,ACTUALS!$B$4:$L$100,7,FALSE)=$H40)+(VLOOKUP($B40,ACTUALS!$B$4:$L$100,7,FALSE)=S40)))*(M40+N40+O40+P40+Q40),0))+$R40</f>
        <v>0</v>
      </c>
      <c r="M40" s="168">
        <f>IFERROR(IF($B40="","",IF(U40=INDEX(ACTUALS!$AA$4:$AA$100,MATCH($B40,ACTUALS!$B$4:$B$100,0),1),CorrectScore,0)),0)</f>
        <v>0</v>
      </c>
      <c r="N40" s="168" t="str">
        <f>IFERROR(IF(I40="","",IF(INDEX(ACTUALS!$AB$4:$AB$100,MATCH($B40,ACTUALS!$B$4:$B$100,0),1)=(AB40+AC40+AH40+AI40),CorrectNumberofGoals,0)),0)</f>
        <v/>
      </c>
      <c r="O40" s="168">
        <f>IFERROR(IF(V40="",0,IF($V40=INDEX(ACTUALS!$K$3:$K$100,MATCH($B40,ACTUALS!$B$3:$B$100,0),1),penaltiesscored,0)),0)</f>
        <v>0</v>
      </c>
      <c r="P40" s="168">
        <f>IFERROR(IF(B40="","",IF(INDEX(ACTUALS!$L$4:$L$100,MATCH($B40,ACTUALS!$B$4:$B$100,0),1)=W40,CorrectResult,0)),0)</f>
        <v>3</v>
      </c>
      <c r="Q40" s="168">
        <f>IFERROR(IF(ISNUMBER(AI40),IF(ISNUMBER(INDEX(ACTUALS!$Y$3:$Y$100,MATCH($B40,ACTUALS!$B$3:$B$100,0),1)),shootoutswon,0),0),0)</f>
        <v>0</v>
      </c>
      <c r="R40" s="168">
        <f t="shared" ref="R40:R54" si="14">(IF(ISNUMBER(FIND($X40,VLOOKUP($C40,EliminationStages,2,FALSE),1)),1,0)+IF(ISNUMBER(FIND($Y40,VLOOKUP($C40,EliminationStages,2,FALSE),1)),1,0))*CorrectStage</f>
        <v>0</v>
      </c>
      <c r="S40" s="168" t="e">
        <f>IF(OR($H40="",$B40&lt;37),"",RIGHT($H40,LEN($H40)-FIND("-",$H40,1)-1)&amp;" - "&amp;LEFT($H40,FIND("-",$H40,1)-2))</f>
        <v>#VALUE!</v>
      </c>
      <c r="T40" s="168" t="str">
        <f>IF($W40="","",IF(NOT(ISERROR(MATCH($S40,ACTUALS!$H$40:$H$47,0))),"Y","N"))</f>
        <v/>
      </c>
      <c r="U40" s="168" t="str">
        <f>IF($I40="","",IF($T40="Y",AC40+AI40&amp;":"&amp;AB40+AH40,AB40+AH40&amp;":"&amp;AC40+AI40))</f>
        <v/>
      </c>
      <c r="V40" s="168" t="str">
        <f>IF($K40="","",IF($T40="Y",$AK40&amp;":"&amp;$AJ40,$AJ40&amp;":"&amp;$AK40))</f>
        <v/>
      </c>
      <c r="W40" s="63" t="str">
        <f t="shared" ref="W40:W54" si="15">IF(I40="","",IF(AB40=AC40,IF(AJ40&gt;AK40,X40,IF(AK40&gt;AJ40,Y40,IF(AH40&gt;AI40,X40,IF(AI40&gt;AH40,Y40,"")))),IF(AB40&gt;AC40,X40,Y40)))</f>
        <v/>
      </c>
      <c r="X40" s="65" t="e">
        <f t="shared" ref="X40:X54" si="16">IF(OR(LEFT(H40,1)=" ",H40=""),"N/A",LEFT(H40,FIND(" -",H40,1)-1))</f>
        <v>#VALUE!</v>
      </c>
      <c r="Y40" s="65" t="e">
        <f t="shared" ref="Y40:Y54" si="17">IF(OR(RIGHT(H40)=" ",H40=""),"N/A",MID(H40,FIND("-",H40,1)+2,LEN(H40)-FIND("-",H40,1)+2))</f>
        <v>#VALUE!</v>
      </c>
      <c r="Z40" s="65" t="str">
        <f t="shared" ref="Z40:Z51" si="18">IF(W40="","",IF(W40=X40,X40,Y40))</f>
        <v/>
      </c>
      <c r="AA40" s="65" t="str">
        <f t="shared" ref="AA40:AA51" si="19">IF(W40="","",IF(Z40=X40,Y40,X40))</f>
        <v/>
      </c>
      <c r="AB40" s="65" t="str">
        <f t="shared" ref="AB40:AB54" si="20">IF(I40="","",LEFT(I40,FIND(":",I40,1)-1)*1)</f>
        <v/>
      </c>
      <c r="AC40" s="65" t="str">
        <f t="shared" ref="AC40:AC54" si="21">IF(I40="","",MID(I40,FIND(":",I40,1)+1,LEN(I40)-FIND(":",I40,1)+1)*1)</f>
        <v/>
      </c>
      <c r="AD40" s="65"/>
      <c r="AE40" s="65"/>
      <c r="AF40" s="65"/>
      <c r="AG40" s="65"/>
      <c r="AH40" s="65">
        <f>IF(J40="",0,LEFT(J40,FIND(":",J40,1)-1)*1)</f>
        <v>0</v>
      </c>
      <c r="AI40" s="65">
        <f>IF(J40="",0,MID(J40,FIND(":",J40,1)+1,LEN(J40)-FIND(":",J40,1)+1)*1)</f>
        <v>0</v>
      </c>
      <c r="AJ40" s="65" t="str">
        <f t="shared" ref="AJ40:AJ54" si="22">IF(K40="","",LEFT(K40,FIND(":",K40,1)-1)*1)</f>
        <v/>
      </c>
      <c r="AK40" s="65" t="str">
        <f t="shared" ref="AK40:AK54" si="23">IF(K40="","",MID(K40,FIND(":",K40,1)+1,LEN(K40)-FIND(":",K40,1)+1)*1)</f>
        <v/>
      </c>
      <c r="AL40" s="65" t="e">
        <f>AB40+N(AH40)&amp;":"&amp;AC40+N(AI40)</f>
        <v>#VALUE!</v>
      </c>
      <c r="AM40" s="65" t="e">
        <f t="shared" ref="AM40:AM54" si="24">+AB40+AC40+N(AH40)+N(AI40)</f>
        <v>#VALUE!</v>
      </c>
      <c r="AN40" s="161">
        <f t="shared" si="13"/>
        <v>45472</v>
      </c>
      <c r="AT40" s="79"/>
      <c r="AU40" s="148"/>
      <c r="AV40" s="148"/>
      <c r="AW40" s="148"/>
      <c r="AX40" s="148"/>
      <c r="AY40" s="148"/>
      <c r="AZ40" s="75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U40" s="58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4"/>
      <c r="EC40" s="58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4"/>
      <c r="FK40" s="58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13"/>
      <c r="GM40" s="13"/>
      <c r="GN40" s="13"/>
      <c r="GO40" s="13"/>
      <c r="GP40" s="13"/>
      <c r="GQ40" s="13"/>
      <c r="GR40" s="75"/>
      <c r="GS40" s="157"/>
      <c r="GT40" s="157"/>
      <c r="GU40" s="75"/>
      <c r="GV40" s="75"/>
      <c r="GW40" s="75"/>
      <c r="GX40" s="75"/>
      <c r="GY40" s="75"/>
      <c r="GZ40" s="75"/>
    </row>
    <row r="41" spans="1:208" s="11" customFormat="1" ht="30" customHeight="1" x14ac:dyDescent="0.25">
      <c r="A41" s="20"/>
      <c r="B41" s="122">
        <v>38</v>
      </c>
      <c r="C41" s="122" t="s">
        <v>48</v>
      </c>
      <c r="D41" s="123">
        <v>45472</v>
      </c>
      <c r="E41" s="122" t="s">
        <v>80</v>
      </c>
      <c r="F41" s="124">
        <v>0.75</v>
      </c>
      <c r="G41" s="125">
        <f t="shared" si="11"/>
        <v>45472.5</v>
      </c>
      <c r="H41" s="122" t="str">
        <f>IF(I39="","Round of 16",INDEX(BD:BD,MATCH("2A",BN:BN,0),1)&amp;" - "&amp;INDEX(BD:BD,MATCH("2b",BN:BN,0),1))</f>
        <v>Round of 16</v>
      </c>
      <c r="I41" s="49"/>
      <c r="J41" s="62"/>
      <c r="K41" s="66"/>
      <c r="L41" s="175">
        <f>IF(I41="",0,IFERROR(IF(SCORING.RULES!$C$8="No",1,((VLOOKUP($B41,ACTUALS!$B$4:$L$100,7,FALSE)=$H41)+(VLOOKUP($B41,ACTUALS!$B$4:$L$100,7,FALSE)=S41)))*(M41+N41+O41+P41+Q41),0))+$R41</f>
        <v>0</v>
      </c>
      <c r="M41" s="168">
        <f>IFERROR(IF($B41="","",IF(U41=INDEX(ACTUALS!$AA$4:$AA$100,MATCH($B41,ACTUALS!$B$4:$B$100,0),1),CorrectScore,0)),0)</f>
        <v>0</v>
      </c>
      <c r="N41" s="168" t="str">
        <f>IFERROR(IF(I41="","",IF(INDEX(ACTUALS!$AB$4:$AB$100,MATCH($B41,ACTUALS!$B$4:$B$100,0),1)=(AB41+AC41+AH41+AI41),CorrectNumberofGoals,0)),0)</f>
        <v/>
      </c>
      <c r="O41" s="168">
        <f>IFERROR(IF(V41="",0,IF($V41=INDEX(ACTUALS!$K$3:$K$100,MATCH($B41,ACTUALS!$B$3:$B$100,0),1),penaltiesscored,0)),0)</f>
        <v>0</v>
      </c>
      <c r="P41" s="168">
        <f>IFERROR(IF(B41="","",IF(INDEX(ACTUALS!$L$4:$L$100,MATCH($B41,ACTUALS!$B$4:$B$100,0),1)=W41,CorrectResult,0)),0)</f>
        <v>3</v>
      </c>
      <c r="Q41" s="168">
        <f>IFERROR(IF(ISNUMBER(AI41),IF(ISNUMBER(INDEX(ACTUALS!$Y$3:$Y$100,MATCH($B41,ACTUALS!$B$3:$B$100,0),1)),shootoutswon,0),0),0)</f>
        <v>0</v>
      </c>
      <c r="R41" s="168">
        <f t="shared" si="14"/>
        <v>0</v>
      </c>
      <c r="S41" s="168" t="e">
        <f t="shared" ref="S41:S54" si="25">IF(OR($H41="",$B41&lt;37),"",RIGHT($H41,LEN($H41)-FIND("-",$H41,1)-1)&amp;" - "&amp;LEFT($H41,FIND("-",$H41,1)-2))</f>
        <v>#VALUE!</v>
      </c>
      <c r="T41" s="168" t="str">
        <f>IF($W41="","",IF(NOT(ISERROR(MATCH($S41,ACTUALS!$H$40:$H$47,0))),"Y","N"))</f>
        <v/>
      </c>
      <c r="U41" s="168" t="str">
        <f t="shared" ref="U41:U54" si="26">IF($I41="","",IF($T41="Y",AC41+AI41&amp;":"&amp;AB41+AH41,AB41+AH41&amp;":"&amp;AC41+AI41))</f>
        <v/>
      </c>
      <c r="V41" s="168" t="str">
        <f t="shared" ref="V41:V54" si="27">IF($K41="","",IF($T41="Y",$AK41&amp;":"&amp;$AJ41,$AJ41&amp;":"&amp;$AK41))</f>
        <v/>
      </c>
      <c r="W41" s="63" t="str">
        <f t="shared" si="15"/>
        <v/>
      </c>
      <c r="X41" s="65" t="e">
        <f t="shared" si="16"/>
        <v>#VALUE!</v>
      </c>
      <c r="Y41" s="65" t="e">
        <f t="shared" si="17"/>
        <v>#VALUE!</v>
      </c>
      <c r="Z41" s="65" t="str">
        <f>IF(W41="","",IF(W41=X41,X41,Y41))</f>
        <v/>
      </c>
      <c r="AA41" s="65" t="str">
        <f t="shared" si="19"/>
        <v/>
      </c>
      <c r="AB41" s="65" t="str">
        <f t="shared" si="20"/>
        <v/>
      </c>
      <c r="AC41" s="65" t="str">
        <f t="shared" si="21"/>
        <v/>
      </c>
      <c r="AD41" s="65"/>
      <c r="AE41" s="65"/>
      <c r="AF41" s="65"/>
      <c r="AG41" s="65"/>
      <c r="AH41" s="65">
        <f t="shared" ref="AH41:AH54" si="28">IF(J41="",0,LEFT(J41,FIND(":",J41,1)-1)*1)</f>
        <v>0</v>
      </c>
      <c r="AI41" s="65">
        <f t="shared" ref="AI41:AI54" si="29">IF(J41="",0,MID(J41,FIND(":",J41,1)+1,LEN(J41)-FIND(":",J41,1)+1)*1)</f>
        <v>0</v>
      </c>
      <c r="AJ41" s="65" t="str">
        <f t="shared" si="22"/>
        <v/>
      </c>
      <c r="AK41" s="65" t="str">
        <f t="shared" si="23"/>
        <v/>
      </c>
      <c r="AL41" s="65" t="e">
        <f t="shared" ref="AL41:AL54" si="30">AB41+N(AH41)&amp;":"&amp;AC41+N(AI41)</f>
        <v>#VALUE!</v>
      </c>
      <c r="AM41" s="65" t="e">
        <f t="shared" si="24"/>
        <v>#VALUE!</v>
      </c>
      <c r="AN41" s="161">
        <f t="shared" si="13"/>
        <v>45472</v>
      </c>
      <c r="AT41" s="80"/>
      <c r="AU41" s="187" t="s">
        <v>138</v>
      </c>
      <c r="AV41" s="188"/>
      <c r="AW41" s="188"/>
      <c r="AX41" s="188"/>
      <c r="AY41" s="189"/>
      <c r="AZ41" s="75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U41" s="58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4"/>
      <c r="EC41" s="58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4"/>
      <c r="FK41" s="58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13"/>
      <c r="GM41" s="13"/>
      <c r="GN41" s="13"/>
      <c r="GO41" s="13"/>
      <c r="GP41" s="13"/>
      <c r="GQ41" s="13"/>
      <c r="GR41" s="75"/>
      <c r="GS41" s="157"/>
      <c r="GT41" s="157"/>
      <c r="GU41" s="75"/>
      <c r="GV41" s="75"/>
      <c r="GW41" s="75"/>
      <c r="GX41" s="75"/>
      <c r="GY41" s="75"/>
      <c r="GZ41" s="75"/>
    </row>
    <row r="42" spans="1:208" s="11" customFormat="1" ht="30" customHeight="1" thickBot="1" x14ac:dyDescent="0.3">
      <c r="A42" s="20"/>
      <c r="B42" s="122">
        <v>39</v>
      </c>
      <c r="C42" s="122" t="s">
        <v>48</v>
      </c>
      <c r="D42" s="123">
        <v>45473</v>
      </c>
      <c r="E42" s="122" t="s">
        <v>79</v>
      </c>
      <c r="F42" s="124">
        <v>0.875</v>
      </c>
      <c r="G42" s="125">
        <f t="shared" si="11"/>
        <v>45473.625</v>
      </c>
      <c r="H42" s="122" t="str">
        <f>IF(I39="","Round of 16",INDEX(BD:BD,MATCH("1B",BN:BN,0),1)&amp;" - "&amp;INDEX(BD:BD,MATCH(INDEX(HJ:HJ,MATCH(AZ42,HB:HB,0),1),BN:BN,0),1))</f>
        <v>Round of 16</v>
      </c>
      <c r="I42" s="49"/>
      <c r="J42" s="62"/>
      <c r="K42" s="66"/>
      <c r="L42" s="175">
        <f>IF(I42="",0,IFERROR(IF(SCORING.RULES!$C$8="No",1,((VLOOKUP($B42,ACTUALS!$B$4:$L$100,7,FALSE)=$H42)+(VLOOKUP($B42,ACTUALS!$B$4:$L$100,7,FALSE)=S42)))*(M42+N42+O42+P42+Q42),0))+$R42</f>
        <v>0</v>
      </c>
      <c r="M42" s="168">
        <f>IFERROR(IF($B42="","",IF(U42=INDEX(ACTUALS!$AA$4:$AA$100,MATCH($B42,ACTUALS!$B$4:$B$100,0),1),CorrectScore,0)),0)</f>
        <v>0</v>
      </c>
      <c r="N42" s="168" t="str">
        <f>IFERROR(IF(I42="","",IF(INDEX(ACTUALS!$AB$4:$AB$100,MATCH($B42,ACTUALS!$B$4:$B$100,0),1)=(AB42+AC42+AH42+AI42),CorrectNumberofGoals,0)),0)</f>
        <v/>
      </c>
      <c r="O42" s="168">
        <f>IFERROR(IF(V42="",0,IF($V42=INDEX(ACTUALS!$K$3:$K$100,MATCH($B42,ACTUALS!$B$3:$B$100,0),1),penaltiesscored,0)),0)</f>
        <v>0</v>
      </c>
      <c r="P42" s="168">
        <f>IFERROR(IF(B42="","",IF(INDEX(ACTUALS!$L$4:$L$100,MATCH($B42,ACTUALS!$B$4:$B$100,0),1)=W42,CorrectResult,0)),0)</f>
        <v>3</v>
      </c>
      <c r="Q42" s="168">
        <f>IFERROR(IF(ISNUMBER(AI42),IF(ISNUMBER(INDEX(ACTUALS!$Y$3:$Y$100,MATCH($B42,ACTUALS!$B$3:$B$100,0),1)),shootoutswon,0),0),0)</f>
        <v>0</v>
      </c>
      <c r="R42" s="168">
        <f t="shared" si="14"/>
        <v>0</v>
      </c>
      <c r="S42" s="168" t="e">
        <f t="shared" si="25"/>
        <v>#VALUE!</v>
      </c>
      <c r="T42" s="168" t="str">
        <f>IF($W42="","",IF(NOT(ISERROR(MATCH($S42,ACTUALS!$H$40:$H$47,0))),"Y","N"))</f>
        <v/>
      </c>
      <c r="U42" s="168" t="str">
        <f t="shared" si="26"/>
        <v/>
      </c>
      <c r="V42" s="168" t="str">
        <f t="shared" si="27"/>
        <v/>
      </c>
      <c r="W42" s="63" t="str">
        <f t="shared" si="15"/>
        <v/>
      </c>
      <c r="X42" s="65" t="e">
        <f t="shared" si="16"/>
        <v>#VALUE!</v>
      </c>
      <c r="Y42" s="65" t="e">
        <f t="shared" si="17"/>
        <v>#VALUE!</v>
      </c>
      <c r="Z42" s="65" t="str">
        <f t="shared" si="18"/>
        <v/>
      </c>
      <c r="AA42" s="65" t="str">
        <f t="shared" si="19"/>
        <v/>
      </c>
      <c r="AB42" s="65" t="str">
        <f t="shared" si="20"/>
        <v/>
      </c>
      <c r="AC42" s="65" t="str">
        <f t="shared" si="21"/>
        <v/>
      </c>
      <c r="AD42" s="65"/>
      <c r="AE42" s="65"/>
      <c r="AF42" s="65"/>
      <c r="AG42" s="65"/>
      <c r="AH42" s="65">
        <f t="shared" si="28"/>
        <v>0</v>
      </c>
      <c r="AI42" s="65">
        <f t="shared" si="29"/>
        <v>0</v>
      </c>
      <c r="AJ42" s="65" t="str">
        <f t="shared" si="22"/>
        <v/>
      </c>
      <c r="AK42" s="65" t="str">
        <f t="shared" si="23"/>
        <v/>
      </c>
      <c r="AL42" s="65" t="e">
        <f t="shared" si="30"/>
        <v>#VALUE!</v>
      </c>
      <c r="AM42" s="65" t="e">
        <f t="shared" si="24"/>
        <v>#VALUE!</v>
      </c>
      <c r="AN42" s="161">
        <f t="shared" si="13"/>
        <v>45473</v>
      </c>
      <c r="AT42" s="79"/>
      <c r="AU42" s="149" t="s">
        <v>140</v>
      </c>
      <c r="AV42" s="150" t="s">
        <v>13</v>
      </c>
      <c r="AW42" s="150" t="s">
        <v>46</v>
      </c>
      <c r="AX42" s="150" t="s">
        <v>57</v>
      </c>
      <c r="AY42" s="151" t="s">
        <v>11</v>
      </c>
      <c r="AZ42" s="75" t="str">
        <f ca="1">IF(AZ8="X","A","")&amp;IF(AZ14="X","B","")&amp;IF(AZ20="X","C","")&amp;IF(AZ26="X","D","")&amp;IF(AZ32="X","E","")&amp;IF(AZ38="X","F","")</f>
        <v>CDEF</v>
      </c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U42" s="58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R42" s="75"/>
      <c r="GS42" s="157"/>
      <c r="GT42" s="157"/>
      <c r="GU42" s="75"/>
      <c r="GV42" s="75"/>
      <c r="GW42" s="75"/>
      <c r="GX42" s="75"/>
      <c r="GY42" s="75"/>
      <c r="GZ42" s="75"/>
    </row>
    <row r="43" spans="1:208" s="11" customFormat="1" ht="30" customHeight="1" x14ac:dyDescent="0.25">
      <c r="A43" s="20"/>
      <c r="B43" s="122">
        <v>40</v>
      </c>
      <c r="C43" s="122" t="s">
        <v>48</v>
      </c>
      <c r="D43" s="123">
        <v>45473</v>
      </c>
      <c r="E43" s="122" t="s">
        <v>82</v>
      </c>
      <c r="F43" s="124">
        <v>0.75</v>
      </c>
      <c r="G43" s="125">
        <f t="shared" si="11"/>
        <v>45473.5</v>
      </c>
      <c r="H43" s="122" t="str">
        <f>IF(I39="","Round of 16",INDEX(BD:BD,MATCH("1c",BN:BN,0),1)&amp;" - "&amp;INDEX(BD:BD,MATCH(INDEX(HK:HK,MATCH(AZ42,HB:HB,0),1),BN:BN,0),1))</f>
        <v>Round of 16</v>
      </c>
      <c r="I43" s="49"/>
      <c r="J43" s="62"/>
      <c r="K43" s="66"/>
      <c r="L43" s="175">
        <f>IF(I43="",0,IFERROR(IF(SCORING.RULES!$C$8="No",1,((VLOOKUP($B43,ACTUALS!$B$4:$L$100,7,FALSE)=$H43)+(VLOOKUP($B43,ACTUALS!$B$4:$L$100,7,FALSE)=S43)))*(M43+N43+O43+P43+Q43),0))+$R43</f>
        <v>0</v>
      </c>
      <c r="M43" s="168">
        <f>IFERROR(IF($B43="","",IF(U43=INDEX(ACTUALS!$AA$4:$AA$100,MATCH($B43,ACTUALS!$B$4:$B$100,0),1),CorrectScore,0)),0)</f>
        <v>0</v>
      </c>
      <c r="N43" s="168" t="str">
        <f>IFERROR(IF(I43="","",IF(INDEX(ACTUALS!$AB$4:$AB$100,MATCH($B43,ACTUALS!$B$4:$B$100,0),1)=(AB43+AC43+AH43+AI43),CorrectNumberofGoals,0)),0)</f>
        <v/>
      </c>
      <c r="O43" s="168">
        <f>IFERROR(IF(V43="",0,IF($V43=INDEX(ACTUALS!$K$3:$K$100,MATCH($B43,ACTUALS!$B$3:$B$100,0),1),penaltiesscored,0)),0)</f>
        <v>0</v>
      </c>
      <c r="P43" s="168">
        <f>IFERROR(IF(B43="","",IF(INDEX(ACTUALS!$L$4:$L$100,MATCH($B43,ACTUALS!$B$4:$B$100,0),1)=W43,CorrectResult,0)),0)</f>
        <v>3</v>
      </c>
      <c r="Q43" s="168">
        <f>IFERROR(IF(ISNUMBER(AI43),IF(ISNUMBER(INDEX(ACTUALS!$Y$3:$Y$100,MATCH($B43,ACTUALS!$B$3:$B$100,0),1)),shootoutswon,0),0),0)</f>
        <v>0</v>
      </c>
      <c r="R43" s="168">
        <f t="shared" si="14"/>
        <v>0</v>
      </c>
      <c r="S43" s="168" t="e">
        <f t="shared" si="25"/>
        <v>#VALUE!</v>
      </c>
      <c r="T43" s="168" t="str">
        <f>IF($W43="","",IF(NOT(ISERROR(MATCH($S43,ACTUALS!$H$40:$H$47,0))),"Y","N"))</f>
        <v/>
      </c>
      <c r="U43" s="168" t="str">
        <f t="shared" si="26"/>
        <v/>
      </c>
      <c r="V43" s="168" t="str">
        <f t="shared" si="27"/>
        <v/>
      </c>
      <c r="W43" s="63" t="str">
        <f t="shared" si="15"/>
        <v/>
      </c>
      <c r="X43" s="65" t="e">
        <f t="shared" si="16"/>
        <v>#VALUE!</v>
      </c>
      <c r="Y43" s="65" t="e">
        <f t="shared" si="17"/>
        <v>#VALUE!</v>
      </c>
      <c r="Z43" s="65" t="str">
        <f t="shared" si="18"/>
        <v/>
      </c>
      <c r="AA43" s="65" t="str">
        <f t="shared" si="19"/>
        <v/>
      </c>
      <c r="AB43" s="65" t="str">
        <f t="shared" si="20"/>
        <v/>
      </c>
      <c r="AC43" s="65" t="str">
        <f t="shared" si="21"/>
        <v/>
      </c>
      <c r="AD43" s="65"/>
      <c r="AE43" s="65"/>
      <c r="AF43" s="65"/>
      <c r="AG43" s="65"/>
      <c r="AH43" s="65">
        <f t="shared" si="28"/>
        <v>0</v>
      </c>
      <c r="AI43" s="65">
        <f t="shared" si="29"/>
        <v>0</v>
      </c>
      <c r="AJ43" s="65" t="str">
        <f t="shared" si="22"/>
        <v/>
      </c>
      <c r="AK43" s="65" t="str">
        <f t="shared" si="23"/>
        <v/>
      </c>
      <c r="AL43" s="65" t="e">
        <f t="shared" si="30"/>
        <v>#VALUE!</v>
      </c>
      <c r="AM43" s="65" t="e">
        <f t="shared" si="24"/>
        <v>#VALUE!</v>
      </c>
      <c r="AN43" s="161">
        <f t="shared" si="13"/>
        <v>45473</v>
      </c>
      <c r="AT43" s="79"/>
      <c r="AU43" s="136">
        <v>1</v>
      </c>
      <c r="AV43" s="137" t="str">
        <f t="shared" ref="AV43:AV48" ca="1" si="31">IF(GV4&lt;&gt;"",GV4,INDEX($CB$4:$CB$9,MATCH(ROW(A1),$CH$4:$CH$9,0),1))</f>
        <v>Portugal</v>
      </c>
      <c r="AW43" s="137" t="str">
        <f t="shared" ref="AW43:AW48" ca="1" si="32">INDEX($AW$5:$AW$39,MATCH($AV43,$AV$5:$AV$39,0),1)</f>
        <v>0-0-0</v>
      </c>
      <c r="AX43" s="137">
        <f t="shared" ref="AX43:AX48" ca="1" si="33">INDEX($AX$5:$AX$39,MATCH($AV43,$AV$5:$AV$39,0),1)</f>
        <v>0</v>
      </c>
      <c r="AY43" s="138">
        <f t="shared" ref="AY43:AY48" ca="1" si="34">INDEX($AY$5:$AY$39,MATCH($AV43,$AV$5:$AV$39,0),1)</f>
        <v>0</v>
      </c>
      <c r="AZ43" s="75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U43" s="58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R43" s="75"/>
      <c r="GS43" s="157"/>
      <c r="GT43" s="157"/>
      <c r="GU43" s="75"/>
      <c r="GV43" s="75"/>
      <c r="GW43" s="75"/>
      <c r="GX43" s="75"/>
      <c r="GY43" s="75"/>
      <c r="GZ43" s="75"/>
    </row>
    <row r="44" spans="1:208" s="11" customFormat="1" ht="30" customHeight="1" x14ac:dyDescent="0.25">
      <c r="A44" s="20"/>
      <c r="B44" s="122">
        <v>41</v>
      </c>
      <c r="C44" s="122" t="s">
        <v>48</v>
      </c>
      <c r="D44" s="123">
        <v>45474</v>
      </c>
      <c r="E44" s="122" t="s">
        <v>86</v>
      </c>
      <c r="F44" s="124">
        <v>0.875</v>
      </c>
      <c r="G44" s="125">
        <f t="shared" si="11"/>
        <v>45474.625</v>
      </c>
      <c r="H44" s="122" t="str">
        <f>IF(I39="","Round of 16",INDEX(BD:BD,MATCH("1f",BN:BN,0),1)&amp;" - "&amp;INDEX(BD:BD,MATCH(INDEX(HM:HM,MATCH(AZ42,HB:HB,0),1),BN:BN,0),1))</f>
        <v>Round of 16</v>
      </c>
      <c r="I44" s="49"/>
      <c r="J44" s="62"/>
      <c r="K44" s="66"/>
      <c r="L44" s="175">
        <f>IF(I44="",0,IFERROR(IF(SCORING.RULES!$C$8="No",1,((VLOOKUP($B44,ACTUALS!$B$4:$L$100,7,FALSE)=$H44)+(VLOOKUP($B44,ACTUALS!$B$4:$L$100,7,FALSE)=S44)))*(M44+N44+O44+P44+Q44),0))+$R44</f>
        <v>0</v>
      </c>
      <c r="M44" s="168">
        <f>IFERROR(IF($B44="","",IF(U44=INDEX(ACTUALS!$AA$4:$AA$100,MATCH($B44,ACTUALS!$B$4:$B$100,0),1),CorrectScore,0)),0)</f>
        <v>0</v>
      </c>
      <c r="N44" s="168" t="str">
        <f>IFERROR(IF(I44="","",IF(INDEX(ACTUALS!$AB$4:$AB$100,MATCH($B44,ACTUALS!$B$4:$B$100,0),1)=(AB44+AC44+AH44+AI44),CorrectNumberofGoals,0)),0)</f>
        <v/>
      </c>
      <c r="O44" s="168">
        <f>IFERROR(IF(V44="",0,IF($V44=INDEX(ACTUALS!$K$3:$K$100,MATCH($B44,ACTUALS!$B$3:$B$100,0),1),penaltiesscored,0)),0)</f>
        <v>0</v>
      </c>
      <c r="P44" s="168">
        <f>IFERROR(IF(B44="","",IF(INDEX(ACTUALS!$L$4:$L$100,MATCH($B44,ACTUALS!$B$4:$B$100,0),1)=W44,CorrectResult,0)),0)</f>
        <v>3</v>
      </c>
      <c r="Q44" s="168">
        <f>IFERROR(IF(ISNUMBER(AI44),IF(ISNUMBER(INDEX(ACTUALS!$Y$3:$Y$100,MATCH($B44,ACTUALS!$B$3:$B$100,0),1)),shootoutswon,0),0),0)</f>
        <v>0</v>
      </c>
      <c r="R44" s="168">
        <f t="shared" si="14"/>
        <v>0</v>
      </c>
      <c r="S44" s="168" t="e">
        <f t="shared" si="25"/>
        <v>#VALUE!</v>
      </c>
      <c r="T44" s="168" t="str">
        <f>IF($W44="","",IF(NOT(ISERROR(MATCH($S44,ACTUALS!$H$40:$H$47,0))),"Y","N"))</f>
        <v/>
      </c>
      <c r="U44" s="168" t="str">
        <f t="shared" si="26"/>
        <v/>
      </c>
      <c r="V44" s="168" t="str">
        <f t="shared" si="27"/>
        <v/>
      </c>
      <c r="W44" s="63" t="str">
        <f t="shared" si="15"/>
        <v/>
      </c>
      <c r="X44" s="65" t="e">
        <f t="shared" si="16"/>
        <v>#VALUE!</v>
      </c>
      <c r="Y44" s="65" t="e">
        <f t="shared" si="17"/>
        <v>#VALUE!</v>
      </c>
      <c r="Z44" s="65" t="str">
        <f t="shared" si="18"/>
        <v/>
      </c>
      <c r="AA44" s="65" t="str">
        <f t="shared" si="19"/>
        <v/>
      </c>
      <c r="AB44" s="65" t="str">
        <f t="shared" si="20"/>
        <v/>
      </c>
      <c r="AC44" s="65" t="str">
        <f t="shared" si="21"/>
        <v/>
      </c>
      <c r="AD44" s="65"/>
      <c r="AE44" s="65"/>
      <c r="AF44" s="65"/>
      <c r="AG44" s="65"/>
      <c r="AH44" s="65">
        <f t="shared" si="28"/>
        <v>0</v>
      </c>
      <c r="AI44" s="65">
        <f t="shared" si="29"/>
        <v>0</v>
      </c>
      <c r="AJ44" s="65" t="str">
        <f t="shared" si="22"/>
        <v/>
      </c>
      <c r="AK44" s="65" t="str">
        <f t="shared" si="23"/>
        <v/>
      </c>
      <c r="AL44" s="65" t="e">
        <f t="shared" si="30"/>
        <v>#VALUE!</v>
      </c>
      <c r="AM44" s="65" t="e">
        <f t="shared" si="24"/>
        <v>#VALUE!</v>
      </c>
      <c r="AN44" s="161">
        <f t="shared" si="13"/>
        <v>45474</v>
      </c>
      <c r="AT44" s="79"/>
      <c r="AU44" s="136">
        <v>2</v>
      </c>
      <c r="AV44" s="137" t="str">
        <f t="shared" ca="1" si="31"/>
        <v>Slovakia</v>
      </c>
      <c r="AW44" s="137" t="str">
        <f t="shared" ca="1" si="32"/>
        <v>0-0-0</v>
      </c>
      <c r="AX44" s="137">
        <f t="shared" ca="1" si="33"/>
        <v>0</v>
      </c>
      <c r="AY44" s="138">
        <f t="shared" ca="1" si="34"/>
        <v>0</v>
      </c>
      <c r="AZ44" s="75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U44" s="58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R44" s="75"/>
      <c r="GS44" s="157"/>
      <c r="GT44" s="157"/>
      <c r="GU44" s="75"/>
      <c r="GV44" s="75"/>
      <c r="GW44" s="75"/>
      <c r="GX44" s="75"/>
      <c r="GY44" s="75"/>
      <c r="GZ44" s="75"/>
    </row>
    <row r="45" spans="1:208" s="11" customFormat="1" ht="30" customHeight="1" x14ac:dyDescent="0.25">
      <c r="A45" s="20"/>
      <c r="B45" s="122">
        <v>42</v>
      </c>
      <c r="C45" s="122" t="s">
        <v>48</v>
      </c>
      <c r="D45" s="123">
        <v>45474</v>
      </c>
      <c r="E45" s="122" t="s">
        <v>85</v>
      </c>
      <c r="F45" s="124">
        <v>0.75</v>
      </c>
      <c r="G45" s="125">
        <f t="shared" si="11"/>
        <v>45474.5</v>
      </c>
      <c r="H45" s="122" t="str">
        <f>IF(I39="","Round of 16",INDEX(BD:BD,MATCH("2d",BN:BN,0),1)&amp;" - "&amp;INDEX(BD:BD,MATCH("2e",BN:BN,0),1))</f>
        <v>Round of 16</v>
      </c>
      <c r="I45" s="49"/>
      <c r="J45" s="62"/>
      <c r="K45" s="66"/>
      <c r="L45" s="175">
        <f>IF(I45="",0,IFERROR(IF(SCORING.RULES!$C$8="No",1,((VLOOKUP($B45,ACTUALS!$B$4:$L$100,7,FALSE)=$H45)+(VLOOKUP($B45,ACTUALS!$B$4:$L$100,7,FALSE)=S45)))*(M45+N45+O45+P45+Q45),0))+$R45</f>
        <v>0</v>
      </c>
      <c r="M45" s="168">
        <f>IFERROR(IF($B45="","",IF(U45=INDEX(ACTUALS!$AA$4:$AA$100,MATCH($B45,ACTUALS!$B$4:$B$100,0),1),CorrectScore,0)),0)</f>
        <v>0</v>
      </c>
      <c r="N45" s="168" t="str">
        <f>IFERROR(IF(I45="","",IF(INDEX(ACTUALS!$AB$4:$AB$100,MATCH($B45,ACTUALS!$B$4:$B$100,0),1)=(AB45+AC45+AH45+AI45),CorrectNumberofGoals,0)),0)</f>
        <v/>
      </c>
      <c r="O45" s="168">
        <f>IFERROR(IF(V45="",0,IF($V45=INDEX(ACTUALS!$K$3:$K$100,MATCH($B45,ACTUALS!$B$3:$B$100,0),1),penaltiesscored,0)),0)</f>
        <v>0</v>
      </c>
      <c r="P45" s="168">
        <f>IFERROR(IF(B45="","",IF(INDEX(ACTUALS!$L$4:$L$100,MATCH($B45,ACTUALS!$B$4:$B$100,0),1)=W45,CorrectResult,0)),0)</f>
        <v>3</v>
      </c>
      <c r="Q45" s="168">
        <f>IFERROR(IF(ISNUMBER(AI45),IF(ISNUMBER(INDEX(ACTUALS!$Y$3:$Y$100,MATCH($B45,ACTUALS!$B$3:$B$100,0),1)),shootoutswon,0),0),0)</f>
        <v>0</v>
      </c>
      <c r="R45" s="168">
        <f t="shared" si="14"/>
        <v>0</v>
      </c>
      <c r="S45" s="168" t="e">
        <f t="shared" si="25"/>
        <v>#VALUE!</v>
      </c>
      <c r="T45" s="168" t="str">
        <f>IF($W45="","",IF(NOT(ISERROR(MATCH($S45,ACTUALS!$H$40:$H$47,0))),"Y","N"))</f>
        <v/>
      </c>
      <c r="U45" s="168" t="str">
        <f t="shared" si="26"/>
        <v/>
      </c>
      <c r="V45" s="168" t="str">
        <f t="shared" si="27"/>
        <v/>
      </c>
      <c r="W45" s="63" t="str">
        <f t="shared" si="15"/>
        <v/>
      </c>
      <c r="X45" s="65" t="e">
        <f t="shared" si="16"/>
        <v>#VALUE!</v>
      </c>
      <c r="Y45" s="65" t="e">
        <f t="shared" si="17"/>
        <v>#VALUE!</v>
      </c>
      <c r="Z45" s="65" t="str">
        <f t="shared" si="18"/>
        <v/>
      </c>
      <c r="AA45" s="65" t="str">
        <f t="shared" si="19"/>
        <v/>
      </c>
      <c r="AB45" s="65" t="str">
        <f t="shared" si="20"/>
        <v/>
      </c>
      <c r="AC45" s="65" t="str">
        <f t="shared" si="21"/>
        <v/>
      </c>
      <c r="AD45" s="65"/>
      <c r="AE45" s="65"/>
      <c r="AF45" s="65"/>
      <c r="AG45" s="65"/>
      <c r="AH45" s="65">
        <f t="shared" si="28"/>
        <v>0</v>
      </c>
      <c r="AI45" s="65">
        <f t="shared" si="29"/>
        <v>0</v>
      </c>
      <c r="AJ45" s="65" t="str">
        <f t="shared" si="22"/>
        <v/>
      </c>
      <c r="AK45" s="65" t="str">
        <f t="shared" si="23"/>
        <v/>
      </c>
      <c r="AL45" s="65" t="e">
        <f t="shared" si="30"/>
        <v>#VALUE!</v>
      </c>
      <c r="AM45" s="65" t="e">
        <f t="shared" si="24"/>
        <v>#VALUE!</v>
      </c>
      <c r="AN45" s="161">
        <f t="shared" si="13"/>
        <v>45474</v>
      </c>
      <c r="AT45" s="79"/>
      <c r="AU45" s="136">
        <v>3</v>
      </c>
      <c r="AV45" s="137" t="str">
        <f t="shared" ca="1" si="31"/>
        <v>Netherlands</v>
      </c>
      <c r="AW45" s="137" t="str">
        <f t="shared" ca="1" si="32"/>
        <v>0-0-0</v>
      </c>
      <c r="AX45" s="137">
        <f t="shared" ca="1" si="33"/>
        <v>0</v>
      </c>
      <c r="AY45" s="138">
        <f t="shared" ca="1" si="34"/>
        <v>0</v>
      </c>
      <c r="AZ45" s="75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U45" s="58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R45" s="75"/>
      <c r="GS45" s="157"/>
      <c r="GT45" s="157"/>
      <c r="GU45" s="75"/>
      <c r="GV45" s="75"/>
      <c r="GW45" s="75"/>
      <c r="GX45" s="75"/>
      <c r="GY45" s="75"/>
      <c r="GZ45" s="75"/>
    </row>
    <row r="46" spans="1:208" s="11" customFormat="1" ht="30" customHeight="1" x14ac:dyDescent="0.25">
      <c r="A46" s="20"/>
      <c r="B46" s="122">
        <v>43</v>
      </c>
      <c r="C46" s="122" t="s">
        <v>48</v>
      </c>
      <c r="D46" s="123">
        <v>45475</v>
      </c>
      <c r="E46" s="122" t="s">
        <v>78</v>
      </c>
      <c r="F46" s="124">
        <v>0.75</v>
      </c>
      <c r="G46" s="125">
        <f t="shared" si="11"/>
        <v>45475.5</v>
      </c>
      <c r="H46" s="122" t="str">
        <f>IF(I39="","Round of 16",INDEX(BD:BD,MATCH("1e",BN:BN,0),1)&amp;" - "&amp;INDEX(BD:BD,MATCH(INDEX(HL:HL,MATCH(AZ42,HB:HB,0),1),BN:BN,0),1))</f>
        <v>Round of 16</v>
      </c>
      <c r="I46" s="49"/>
      <c r="J46" s="62"/>
      <c r="K46" s="66"/>
      <c r="L46" s="175">
        <f>IF(I46="",0,IFERROR(IF(SCORING.RULES!$C$8="No",1,((VLOOKUP($B46,ACTUALS!$B$4:$L$100,7,FALSE)=$H46)+(VLOOKUP($B46,ACTUALS!$B$4:$L$100,7,FALSE)=S46)))*(M46+N46+O46+P46+Q46),0))+$R46</f>
        <v>0</v>
      </c>
      <c r="M46" s="168">
        <f>IFERROR(IF($B46="","",IF(U46=INDEX(ACTUALS!$AA$4:$AA$100,MATCH($B46,ACTUALS!$B$4:$B$100,0),1),CorrectScore,0)),0)</f>
        <v>0</v>
      </c>
      <c r="N46" s="168" t="str">
        <f>IFERROR(IF(I46="","",IF(INDEX(ACTUALS!$AB$4:$AB$100,MATCH($B46,ACTUALS!$B$4:$B$100,0),1)=(AB46+AC46+AH46+AI46),CorrectNumberofGoals,0)),0)</f>
        <v/>
      </c>
      <c r="O46" s="168">
        <f>IFERROR(IF(V46="",0,IF($V46=INDEX(ACTUALS!$K$3:$K$100,MATCH($B46,ACTUALS!$B$3:$B$100,0),1),penaltiesscored,0)),0)</f>
        <v>0</v>
      </c>
      <c r="P46" s="168">
        <f>IFERROR(IF(B46="","",IF(INDEX(ACTUALS!$L$4:$L$100,MATCH($B46,ACTUALS!$B$4:$B$100,0),1)=W46,CorrectResult,0)),0)</f>
        <v>3</v>
      </c>
      <c r="Q46" s="168">
        <f>IFERROR(IF(ISNUMBER(AI46),IF(ISNUMBER(INDEX(ACTUALS!$Y$3:$Y$100,MATCH($B46,ACTUALS!$B$3:$B$100,0),1)),shootoutswon,0),0),0)</f>
        <v>0</v>
      </c>
      <c r="R46" s="168">
        <f t="shared" si="14"/>
        <v>0</v>
      </c>
      <c r="S46" s="168" t="e">
        <f t="shared" si="25"/>
        <v>#VALUE!</v>
      </c>
      <c r="T46" s="168" t="str">
        <f>IF($W46="","",IF(NOT(ISERROR(MATCH($S46,ACTUALS!$H$40:$H$47,0))),"Y","N"))</f>
        <v/>
      </c>
      <c r="U46" s="168" t="str">
        <f t="shared" si="26"/>
        <v/>
      </c>
      <c r="V46" s="168" t="str">
        <f t="shared" si="27"/>
        <v/>
      </c>
      <c r="W46" s="63" t="str">
        <f t="shared" si="15"/>
        <v/>
      </c>
      <c r="X46" s="65" t="e">
        <f t="shared" si="16"/>
        <v>#VALUE!</v>
      </c>
      <c r="Y46" s="65" t="e">
        <f t="shared" si="17"/>
        <v>#VALUE!</v>
      </c>
      <c r="Z46" s="65" t="str">
        <f t="shared" si="18"/>
        <v/>
      </c>
      <c r="AA46" s="65" t="str">
        <f t="shared" si="19"/>
        <v/>
      </c>
      <c r="AB46" s="65" t="str">
        <f t="shared" si="20"/>
        <v/>
      </c>
      <c r="AC46" s="65" t="str">
        <f t="shared" si="21"/>
        <v/>
      </c>
      <c r="AD46" s="65"/>
      <c r="AE46" s="65"/>
      <c r="AF46" s="65"/>
      <c r="AG46" s="65"/>
      <c r="AH46" s="65">
        <f t="shared" si="28"/>
        <v>0</v>
      </c>
      <c r="AI46" s="65">
        <f t="shared" si="29"/>
        <v>0</v>
      </c>
      <c r="AJ46" s="65" t="str">
        <f t="shared" si="22"/>
        <v/>
      </c>
      <c r="AK46" s="65" t="str">
        <f t="shared" si="23"/>
        <v/>
      </c>
      <c r="AL46" s="65" t="e">
        <f t="shared" si="30"/>
        <v>#VALUE!</v>
      </c>
      <c r="AM46" s="65" t="e">
        <f t="shared" si="24"/>
        <v>#VALUE!</v>
      </c>
      <c r="AN46" s="161">
        <f t="shared" si="13"/>
        <v>45475</v>
      </c>
      <c r="AT46" s="79"/>
      <c r="AU46" s="139">
        <v>4</v>
      </c>
      <c r="AV46" s="140" t="str">
        <f t="shared" ca="1" si="31"/>
        <v>Serbia</v>
      </c>
      <c r="AW46" s="140" t="str">
        <f t="shared" ca="1" si="32"/>
        <v>0-0-0</v>
      </c>
      <c r="AX46" s="140">
        <f t="shared" ca="1" si="33"/>
        <v>0</v>
      </c>
      <c r="AY46" s="141">
        <f t="shared" ca="1" si="34"/>
        <v>0</v>
      </c>
      <c r="AZ46" s="75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U46" s="58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R46" s="75"/>
      <c r="GS46" s="157"/>
      <c r="GT46" s="157"/>
      <c r="GU46" s="75"/>
      <c r="GV46" s="75"/>
      <c r="GW46" s="75"/>
      <c r="GX46" s="75"/>
      <c r="GY46" s="75"/>
      <c r="GZ46" s="75"/>
    </row>
    <row r="47" spans="1:208" s="11" customFormat="1" ht="30" customHeight="1" thickBot="1" x14ac:dyDescent="0.3">
      <c r="A47" s="20"/>
      <c r="B47" s="127">
        <v>44</v>
      </c>
      <c r="C47" s="127" t="s">
        <v>48</v>
      </c>
      <c r="D47" s="128">
        <v>45475</v>
      </c>
      <c r="E47" s="127" t="s">
        <v>87</v>
      </c>
      <c r="F47" s="129">
        <v>0.875</v>
      </c>
      <c r="G47" s="130">
        <f t="shared" si="11"/>
        <v>45475.625</v>
      </c>
      <c r="H47" s="127" t="str">
        <f>IF(I39="","Round of 16",INDEX(BD:BD,MATCH("1d",BN:BN,0),1)&amp;" - "&amp;INDEX(BD:BD,MATCH("2f",BN:BN,0),1))</f>
        <v>Round of 16</v>
      </c>
      <c r="I47" s="51"/>
      <c r="J47" s="62"/>
      <c r="K47" s="66"/>
      <c r="L47" s="175">
        <f>IF(I47="",0,IFERROR(IF(SCORING.RULES!$C$8="No",1,((VLOOKUP($B47,ACTUALS!$B$4:$L$100,7,FALSE)=$H47)+(VLOOKUP($B47,ACTUALS!$B$4:$L$100,7,FALSE)=S47)))*(M47+N47+O47+P47+Q47),0))+$R47</f>
        <v>0</v>
      </c>
      <c r="M47" s="168">
        <f>IFERROR(IF($B47="","",IF(U47=INDEX(ACTUALS!$AA$4:$AA$100,MATCH($B47,ACTUALS!$B$4:$B$100,0),1),CorrectScore,0)),0)</f>
        <v>0</v>
      </c>
      <c r="N47" s="168" t="str">
        <f>IFERROR(IF(I47="","",IF(INDEX(ACTUALS!$AB$4:$AB$100,MATCH($B47,ACTUALS!$B$4:$B$100,0),1)=(AB47+AC47+AH47+AI47),CorrectNumberofGoals,0)),0)</f>
        <v/>
      </c>
      <c r="O47" s="168">
        <f>IFERROR(IF(V47="",0,IF($V47=INDEX(ACTUALS!$K$3:$K$100,MATCH($B47,ACTUALS!$B$3:$B$100,0),1),penaltiesscored,0)),0)</f>
        <v>0</v>
      </c>
      <c r="P47" s="168">
        <f>IFERROR(IF(B47="","",IF(INDEX(ACTUALS!$L$4:$L$100,MATCH($B47,ACTUALS!$B$4:$B$100,0),1)=W47,CorrectResult,0)),0)</f>
        <v>3</v>
      </c>
      <c r="Q47" s="168">
        <f>IFERROR(IF(ISNUMBER(AI47),IF(ISNUMBER(INDEX(ACTUALS!$Y$3:$Y$100,MATCH($B47,ACTUALS!$B$3:$B$100,0),1)),shootoutswon,0),0),0)</f>
        <v>0</v>
      </c>
      <c r="R47" s="168">
        <f t="shared" si="14"/>
        <v>0</v>
      </c>
      <c r="S47" s="168" t="e">
        <f t="shared" si="25"/>
        <v>#VALUE!</v>
      </c>
      <c r="T47" s="168" t="str">
        <f>IF($W47="","",IF(NOT(ISERROR(MATCH($S47,ACTUALS!$H$40:$H$47,0))),"Y","N"))</f>
        <v/>
      </c>
      <c r="U47" s="168" t="str">
        <f t="shared" si="26"/>
        <v/>
      </c>
      <c r="V47" s="168" t="str">
        <f t="shared" si="27"/>
        <v/>
      </c>
      <c r="W47" s="63" t="str">
        <f t="shared" si="15"/>
        <v/>
      </c>
      <c r="X47" s="65" t="e">
        <f t="shared" si="16"/>
        <v>#VALUE!</v>
      </c>
      <c r="Y47" s="65" t="e">
        <f t="shared" si="17"/>
        <v>#VALUE!</v>
      </c>
      <c r="Z47" s="65" t="str">
        <f t="shared" si="18"/>
        <v/>
      </c>
      <c r="AA47" s="65" t="str">
        <f t="shared" si="19"/>
        <v/>
      </c>
      <c r="AB47" s="65" t="str">
        <f t="shared" si="20"/>
        <v/>
      </c>
      <c r="AC47" s="65" t="str">
        <f t="shared" si="21"/>
        <v/>
      </c>
      <c r="AD47" s="65"/>
      <c r="AE47" s="65"/>
      <c r="AF47" s="65"/>
      <c r="AG47" s="65"/>
      <c r="AH47" s="65">
        <f t="shared" si="28"/>
        <v>0</v>
      </c>
      <c r="AI47" s="65">
        <f t="shared" si="29"/>
        <v>0</v>
      </c>
      <c r="AJ47" s="65" t="str">
        <f t="shared" si="22"/>
        <v/>
      </c>
      <c r="AK47" s="65" t="str">
        <f t="shared" si="23"/>
        <v/>
      </c>
      <c r="AL47" s="65" t="e">
        <f t="shared" si="30"/>
        <v>#VALUE!</v>
      </c>
      <c r="AM47" s="65" t="e">
        <f t="shared" si="24"/>
        <v>#VALUE!</v>
      </c>
      <c r="AN47" s="161">
        <f t="shared" si="13"/>
        <v>45475</v>
      </c>
      <c r="AT47" s="80"/>
      <c r="AU47" s="142">
        <v>5</v>
      </c>
      <c r="AV47" s="143" t="str">
        <f t="shared" ca="1" si="31"/>
        <v>Italy</v>
      </c>
      <c r="AW47" s="143" t="str">
        <f t="shared" ca="1" si="32"/>
        <v>0-0-0</v>
      </c>
      <c r="AX47" s="143">
        <f t="shared" ca="1" si="33"/>
        <v>0</v>
      </c>
      <c r="AY47" s="144">
        <f t="shared" ca="1" si="34"/>
        <v>0</v>
      </c>
      <c r="AZ47" s="75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U47" s="58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R47" s="75"/>
      <c r="GS47" s="157"/>
      <c r="GT47" s="157"/>
      <c r="GU47" s="75"/>
      <c r="GV47" s="75"/>
      <c r="GW47" s="75"/>
      <c r="GX47" s="75"/>
      <c r="GY47" s="75"/>
      <c r="GZ47" s="75"/>
    </row>
    <row r="48" spans="1:208" s="11" customFormat="1" ht="30" customHeight="1" thickBot="1" x14ac:dyDescent="0.3">
      <c r="A48" s="20"/>
      <c r="B48" s="113">
        <v>45</v>
      </c>
      <c r="C48" s="113" t="s">
        <v>74</v>
      </c>
      <c r="D48" s="114">
        <v>45478</v>
      </c>
      <c r="E48" s="113" t="s">
        <v>83</v>
      </c>
      <c r="F48" s="115">
        <v>0.75</v>
      </c>
      <c r="G48" s="116">
        <f t="shared" si="11"/>
        <v>45478.5</v>
      </c>
      <c r="H48" s="113" t="str">
        <f>IF(I47="","Quarterfinal 1",Z42&amp;" - "&amp;Z40)</f>
        <v>Quarterfinal 1</v>
      </c>
      <c r="I48" s="50"/>
      <c r="J48" s="62"/>
      <c r="K48" s="66"/>
      <c r="L48" s="175">
        <f>IF(I48="",0,IFERROR(IF(SCORING.RULES!$C$8="No",1,((VLOOKUP($B48,ACTUALS!$B$4:$L$100,7,FALSE)=$H48)+(VLOOKUP($B48,ACTUALS!$B$4:$L$100,7,FALSE)=S48)))*(M48+N48+O48+P48+Q48),0))+$R48</f>
        <v>0</v>
      </c>
      <c r="M48" s="168">
        <f>IFERROR(IF($B48="","",IF(U48=INDEX(ACTUALS!$AA$4:$AA$100,MATCH($B48,ACTUALS!$B$4:$B$100,0),1),CorrectScore,0)),0)</f>
        <v>0</v>
      </c>
      <c r="N48" s="168" t="str">
        <f>IFERROR(IF(I48="","",IF(INDEX(ACTUALS!$AB$4:$AB$100,MATCH($B48,ACTUALS!$B$4:$B$100,0),1)=(AB48+AC48+AH48+AI48),CorrectNumberofGoals,0)),0)</f>
        <v/>
      </c>
      <c r="O48" s="168">
        <f>IFERROR(IF(V48="",0,IF($V48=INDEX(ACTUALS!$K$3:$K$100,MATCH($B48,ACTUALS!$B$3:$B$100,0),1),penaltiesscored,0)),0)</f>
        <v>0</v>
      </c>
      <c r="P48" s="168">
        <f>IFERROR(IF(B48="","",IF(INDEX(ACTUALS!$L$4:$L$100,MATCH($B48,ACTUALS!$B$4:$B$100,0),1)=W48,CorrectResult,0)),0)</f>
        <v>3</v>
      </c>
      <c r="Q48" s="168">
        <f>IFERROR(IF(ISNUMBER(AI48),IF(ISNUMBER(INDEX(ACTUALS!$Y$3:$Y$100,MATCH($B48,ACTUALS!$B$3:$B$100,0),1)),shootoutswon,0),0),0)</f>
        <v>0</v>
      </c>
      <c r="R48" s="168">
        <f t="shared" si="14"/>
        <v>0</v>
      </c>
      <c r="S48" s="168" t="e">
        <f t="shared" si="25"/>
        <v>#VALUE!</v>
      </c>
      <c r="T48" s="168" t="str">
        <f>IF($W48="","",IF(NOT(ISERROR(MATCH($S48,ACTUALS!$H$48:$H$51,0))),"Y","N"))</f>
        <v/>
      </c>
      <c r="U48" s="168" t="str">
        <f t="shared" si="26"/>
        <v/>
      </c>
      <c r="V48" s="168" t="str">
        <f t="shared" si="27"/>
        <v/>
      </c>
      <c r="W48" s="63" t="str">
        <f t="shared" si="15"/>
        <v/>
      </c>
      <c r="X48" s="65" t="e">
        <f t="shared" si="16"/>
        <v>#VALUE!</v>
      </c>
      <c r="Y48" s="65" t="e">
        <f t="shared" si="17"/>
        <v>#VALUE!</v>
      </c>
      <c r="Z48" s="65" t="str">
        <f>IF(W48="","",IF(W48=X48,X48,Y48))</f>
        <v/>
      </c>
      <c r="AA48" s="65" t="str">
        <f t="shared" si="19"/>
        <v/>
      </c>
      <c r="AB48" s="65" t="str">
        <f t="shared" si="20"/>
        <v/>
      </c>
      <c r="AC48" s="65" t="str">
        <f t="shared" si="21"/>
        <v/>
      </c>
      <c r="AD48" s="65"/>
      <c r="AE48" s="65"/>
      <c r="AF48" s="65"/>
      <c r="AG48" s="65"/>
      <c r="AH48" s="65">
        <f t="shared" si="28"/>
        <v>0</v>
      </c>
      <c r="AI48" s="65">
        <f t="shared" si="29"/>
        <v>0</v>
      </c>
      <c r="AJ48" s="65" t="str">
        <f t="shared" si="22"/>
        <v/>
      </c>
      <c r="AK48" s="65" t="str">
        <f t="shared" si="23"/>
        <v/>
      </c>
      <c r="AL48" s="65" t="e">
        <f t="shared" si="30"/>
        <v>#VALUE!</v>
      </c>
      <c r="AM48" s="65" t="e">
        <f t="shared" si="24"/>
        <v>#VALUE!</v>
      </c>
      <c r="AN48" s="161">
        <f t="shared" si="13"/>
        <v>45478</v>
      </c>
      <c r="AT48" s="79"/>
      <c r="AU48" s="145">
        <v>6</v>
      </c>
      <c r="AV48" s="146" t="str">
        <f t="shared" ca="1" si="31"/>
        <v>Scotland</v>
      </c>
      <c r="AW48" s="146" t="str">
        <f t="shared" ca="1" si="32"/>
        <v>0-0-0</v>
      </c>
      <c r="AX48" s="146">
        <f t="shared" ca="1" si="33"/>
        <v>0</v>
      </c>
      <c r="AY48" s="147">
        <f t="shared" ca="1" si="34"/>
        <v>0</v>
      </c>
      <c r="AZ48" s="75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U48" s="58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R48" s="75"/>
      <c r="GS48" s="157"/>
      <c r="GT48" s="157"/>
      <c r="GU48" s="75"/>
      <c r="GV48" s="75"/>
      <c r="GW48" s="75"/>
      <c r="GX48" s="75"/>
      <c r="GY48" s="75"/>
      <c r="GZ48" s="75"/>
    </row>
    <row r="49" spans="1:208" s="11" customFormat="1" ht="30" customHeight="1" x14ac:dyDescent="0.25">
      <c r="A49" s="20"/>
      <c r="B49" s="122">
        <v>46</v>
      </c>
      <c r="C49" s="122" t="s">
        <v>74</v>
      </c>
      <c r="D49" s="123">
        <v>45478</v>
      </c>
      <c r="E49" s="122" t="s">
        <v>84</v>
      </c>
      <c r="F49" s="124">
        <v>0.875</v>
      </c>
      <c r="G49" s="125">
        <f t="shared" si="11"/>
        <v>45478.625</v>
      </c>
      <c r="H49" s="122" t="str">
        <f>IF(I47="","Quarterfinal 2",Z44&amp;" - "&amp;Z45)</f>
        <v>Quarterfinal 2</v>
      </c>
      <c r="I49" s="49"/>
      <c r="J49" s="62"/>
      <c r="K49" s="66"/>
      <c r="L49" s="175">
        <f>IF(I49="",0,IFERROR(IF(SCORING.RULES!$C$8="No",1,((VLOOKUP($B49,ACTUALS!$B$4:$L$100,7,FALSE)=$H49)+(VLOOKUP($B49,ACTUALS!$B$4:$L$100,7,FALSE)=S49)))*(M49+N49+O49+P49+Q49),0))+$R49</f>
        <v>0</v>
      </c>
      <c r="M49" s="168">
        <f>IFERROR(IF($B49="","",IF(U49=INDEX(ACTUALS!$AA$4:$AA$100,MATCH($B49,ACTUALS!$B$4:$B$100,0),1),CorrectScore,0)),0)</f>
        <v>0</v>
      </c>
      <c r="N49" s="168" t="str">
        <f>IFERROR(IF(I49="","",IF(INDEX(ACTUALS!$AB$4:$AB$100,MATCH($B49,ACTUALS!$B$4:$B$100,0),1)=(AB49+AC49+AH49+AI49),CorrectNumberofGoals,0)),0)</f>
        <v/>
      </c>
      <c r="O49" s="168">
        <f>IFERROR(IF(V49="",0,IF($V49=INDEX(ACTUALS!$K$3:$K$100,MATCH($B49,ACTUALS!$B$3:$B$100,0),1),penaltiesscored,0)),0)</f>
        <v>0</v>
      </c>
      <c r="P49" s="168">
        <f>IFERROR(IF(B49="","",IF(INDEX(ACTUALS!$L$4:$L$100,MATCH($B49,ACTUALS!$B$4:$B$100,0),1)=W49,CorrectResult,0)),0)</f>
        <v>3</v>
      </c>
      <c r="Q49" s="168">
        <f>IFERROR(IF(ISNUMBER(AI49),IF(ISNUMBER(INDEX(ACTUALS!$Y$3:$Y$100,MATCH($B49,ACTUALS!$B$3:$B$100,0),1)),shootoutswon,0),0),0)</f>
        <v>0</v>
      </c>
      <c r="R49" s="168">
        <f t="shared" si="14"/>
        <v>0</v>
      </c>
      <c r="S49" s="168" t="e">
        <f t="shared" si="25"/>
        <v>#VALUE!</v>
      </c>
      <c r="T49" s="168" t="str">
        <f>IF($W49="","",IF(NOT(ISERROR(MATCH($S49,ACTUALS!$H$48:$H$51,0))),"Y","N"))</f>
        <v/>
      </c>
      <c r="U49" s="168" t="str">
        <f t="shared" si="26"/>
        <v/>
      </c>
      <c r="V49" s="168" t="str">
        <f t="shared" si="27"/>
        <v/>
      </c>
      <c r="W49" s="63" t="str">
        <f t="shared" si="15"/>
        <v/>
      </c>
      <c r="X49" s="65" t="e">
        <f t="shared" si="16"/>
        <v>#VALUE!</v>
      </c>
      <c r="Y49" s="65" t="e">
        <f t="shared" si="17"/>
        <v>#VALUE!</v>
      </c>
      <c r="Z49" s="65" t="str">
        <f t="shared" si="18"/>
        <v/>
      </c>
      <c r="AA49" s="65" t="str">
        <f t="shared" si="19"/>
        <v/>
      </c>
      <c r="AB49" s="65" t="str">
        <f t="shared" si="20"/>
        <v/>
      </c>
      <c r="AC49" s="65" t="str">
        <f t="shared" si="21"/>
        <v/>
      </c>
      <c r="AD49" s="65"/>
      <c r="AE49" s="65"/>
      <c r="AF49" s="65"/>
      <c r="AG49" s="65"/>
      <c r="AH49" s="65">
        <f t="shared" si="28"/>
        <v>0</v>
      </c>
      <c r="AI49" s="65">
        <f t="shared" si="29"/>
        <v>0</v>
      </c>
      <c r="AJ49" s="65" t="str">
        <f t="shared" si="22"/>
        <v/>
      </c>
      <c r="AK49" s="65" t="str">
        <f t="shared" si="23"/>
        <v/>
      </c>
      <c r="AL49" s="65" t="e">
        <f t="shared" si="30"/>
        <v>#VALUE!</v>
      </c>
      <c r="AM49" s="65" t="e">
        <f t="shared" si="24"/>
        <v>#VALUE!</v>
      </c>
      <c r="AN49" s="161">
        <f t="shared" si="13"/>
        <v>45478</v>
      </c>
      <c r="AT49" s="79"/>
      <c r="AU49" s="79"/>
      <c r="AV49" s="79"/>
      <c r="AW49" s="79"/>
      <c r="AX49" s="79"/>
      <c r="AY49" s="79"/>
      <c r="AZ49" s="75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U49" s="58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R49" s="75"/>
      <c r="GS49" s="157"/>
      <c r="GT49" s="157"/>
      <c r="GU49" s="75"/>
      <c r="GV49" s="75"/>
      <c r="GW49" s="75"/>
      <c r="GX49" s="75"/>
      <c r="GY49" s="75"/>
      <c r="GZ49" s="75"/>
    </row>
    <row r="50" spans="1:208" s="11" customFormat="1" ht="30" customHeight="1" x14ac:dyDescent="0.25">
      <c r="A50" s="20"/>
      <c r="B50" s="122">
        <v>47</v>
      </c>
      <c r="C50" s="122" t="s">
        <v>74</v>
      </c>
      <c r="D50" s="123">
        <v>45479</v>
      </c>
      <c r="E50" s="122" t="s">
        <v>80</v>
      </c>
      <c r="F50" s="124">
        <v>0.875</v>
      </c>
      <c r="G50" s="125">
        <f t="shared" si="11"/>
        <v>45479.625</v>
      </c>
      <c r="H50" s="122" t="str">
        <f>IF(I47="","Quarterfinal 3",Z46&amp;" - "&amp;Z47)</f>
        <v>Quarterfinal 3</v>
      </c>
      <c r="I50" s="49"/>
      <c r="J50" s="62"/>
      <c r="K50" s="66"/>
      <c r="L50" s="175">
        <f>IF(I50="",0,IFERROR(IF(SCORING.RULES!$C$8="No",1,((VLOOKUP($B50,ACTUALS!$B$4:$L$100,7,FALSE)=$H50)+(VLOOKUP($B50,ACTUALS!$B$4:$L$100,7,FALSE)=S50)))*(M50+N50+O50+P50+Q50),0))+$R50</f>
        <v>0</v>
      </c>
      <c r="M50" s="168">
        <f>IFERROR(IF($B50="","",IF(U50=INDEX(ACTUALS!$AA$4:$AA$100,MATCH($B50,ACTUALS!$B$4:$B$100,0),1),CorrectScore,0)),0)</f>
        <v>0</v>
      </c>
      <c r="N50" s="168" t="str">
        <f>IFERROR(IF(I50="","",IF(INDEX(ACTUALS!$AB$4:$AB$100,MATCH($B50,ACTUALS!$B$4:$B$100,0),1)=(AB50+AC50+AH50+AI50),CorrectNumberofGoals,0)),0)</f>
        <v/>
      </c>
      <c r="O50" s="168">
        <f>IFERROR(IF(V50="",0,IF($V50=INDEX(ACTUALS!$K$3:$K$100,MATCH($B50,ACTUALS!$B$3:$B$100,0),1),penaltiesscored,0)),0)</f>
        <v>0</v>
      </c>
      <c r="P50" s="168">
        <f>IFERROR(IF(B50="","",IF(INDEX(ACTUALS!$L$4:$L$100,MATCH($B50,ACTUALS!$B$4:$B$100,0),1)=W50,CorrectResult,0)),0)</f>
        <v>3</v>
      </c>
      <c r="Q50" s="168">
        <f>IFERROR(IF(ISNUMBER(AI50),IF(ISNUMBER(INDEX(ACTUALS!$Y$3:$Y$100,MATCH($B50,ACTUALS!$B$3:$B$100,0),1)),shootoutswon,0),0),0)</f>
        <v>0</v>
      </c>
      <c r="R50" s="168">
        <f t="shared" si="14"/>
        <v>0</v>
      </c>
      <c r="S50" s="168" t="e">
        <f t="shared" si="25"/>
        <v>#VALUE!</v>
      </c>
      <c r="T50" s="168" t="str">
        <f>IF($W50="","",IF(NOT(ISERROR(MATCH($S50,ACTUALS!$H$48:$H$51,0))),"Y","N"))</f>
        <v/>
      </c>
      <c r="U50" s="168" t="str">
        <f t="shared" si="26"/>
        <v/>
      </c>
      <c r="V50" s="168" t="str">
        <f t="shared" si="27"/>
        <v/>
      </c>
      <c r="W50" s="63" t="str">
        <f t="shared" si="15"/>
        <v/>
      </c>
      <c r="X50" s="65" t="e">
        <f t="shared" si="16"/>
        <v>#VALUE!</v>
      </c>
      <c r="Y50" s="65" t="e">
        <f t="shared" si="17"/>
        <v>#VALUE!</v>
      </c>
      <c r="Z50" s="65" t="str">
        <f t="shared" si="18"/>
        <v/>
      </c>
      <c r="AA50" s="65" t="str">
        <f t="shared" si="19"/>
        <v/>
      </c>
      <c r="AB50" s="65" t="str">
        <f t="shared" si="20"/>
        <v/>
      </c>
      <c r="AC50" s="65" t="str">
        <f t="shared" si="21"/>
        <v/>
      </c>
      <c r="AD50" s="65"/>
      <c r="AE50" s="65"/>
      <c r="AF50" s="65"/>
      <c r="AG50" s="65"/>
      <c r="AH50" s="65">
        <f t="shared" si="28"/>
        <v>0</v>
      </c>
      <c r="AI50" s="65">
        <f t="shared" si="29"/>
        <v>0</v>
      </c>
      <c r="AJ50" s="65" t="str">
        <f t="shared" si="22"/>
        <v/>
      </c>
      <c r="AK50" s="65" t="str">
        <f t="shared" si="23"/>
        <v/>
      </c>
      <c r="AL50" s="65" t="e">
        <f t="shared" si="30"/>
        <v>#VALUE!</v>
      </c>
      <c r="AM50" s="65" t="e">
        <f t="shared" si="24"/>
        <v>#VALUE!</v>
      </c>
      <c r="AN50" s="161">
        <f t="shared" si="13"/>
        <v>45479</v>
      </c>
      <c r="AT50" s="79"/>
      <c r="AU50" s="181"/>
      <c r="AV50" s="181"/>
      <c r="AW50" s="80"/>
      <c r="AX50" s="81"/>
      <c r="AY50" s="80"/>
      <c r="AZ50" s="75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U50" s="58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R50" s="75"/>
      <c r="GS50" s="157"/>
      <c r="GT50" s="157"/>
      <c r="GU50" s="75"/>
      <c r="GV50" s="75"/>
      <c r="GW50" s="75"/>
      <c r="GX50" s="75"/>
      <c r="GY50" s="75"/>
      <c r="GZ50" s="75"/>
    </row>
    <row r="51" spans="1:208" s="11" customFormat="1" ht="30" customHeight="1" thickBot="1" x14ac:dyDescent="0.3">
      <c r="A51" s="20"/>
      <c r="B51" s="127">
        <v>48</v>
      </c>
      <c r="C51" s="127" t="s">
        <v>74</v>
      </c>
      <c r="D51" s="128">
        <v>45479</v>
      </c>
      <c r="E51" s="127" t="s">
        <v>85</v>
      </c>
      <c r="F51" s="129">
        <v>0.75</v>
      </c>
      <c r="G51" s="130">
        <f t="shared" si="11"/>
        <v>45479.5</v>
      </c>
      <c r="H51" s="127" t="str">
        <f>IF(I47="","Quarterfinal 4",Z43&amp;" - "&amp;Z41)</f>
        <v>Quarterfinal 4</v>
      </c>
      <c r="I51" s="51"/>
      <c r="J51" s="62"/>
      <c r="K51" s="66"/>
      <c r="L51" s="175">
        <f>IF(I51="",0,IFERROR(IF(SCORING.RULES!$C$8="No",1,((VLOOKUP($B51,ACTUALS!$B$4:$L$100,7,FALSE)=$H51)+(VLOOKUP($B51,ACTUALS!$B$4:$L$100,7,FALSE)=S51)))*(M51+N51+O51+P51+Q51),0))+$R51</f>
        <v>0</v>
      </c>
      <c r="M51" s="168">
        <f>IFERROR(IF($B51="","",IF(U51=INDEX(ACTUALS!$AA$4:$AA$100,MATCH($B51,ACTUALS!$B$4:$B$100,0),1),CorrectScore,0)),0)</f>
        <v>0</v>
      </c>
      <c r="N51" s="168" t="str">
        <f>IFERROR(IF(I51="","",IF(INDEX(ACTUALS!$AB$4:$AB$100,MATCH($B51,ACTUALS!$B$4:$B$100,0),1)=(AB51+AC51+AH51+AI51),CorrectNumberofGoals,0)),0)</f>
        <v/>
      </c>
      <c r="O51" s="168">
        <f>IFERROR(IF(V51="",0,IF($V51=INDEX(ACTUALS!$K$3:$K$100,MATCH($B51,ACTUALS!$B$3:$B$100,0),1),penaltiesscored,0)),0)</f>
        <v>0</v>
      </c>
      <c r="P51" s="168">
        <f>IFERROR(IF(B51="","",IF(INDEX(ACTUALS!$L$4:$L$100,MATCH($B51,ACTUALS!$B$4:$B$100,0),1)=W51,CorrectResult,0)),0)</f>
        <v>3</v>
      </c>
      <c r="Q51" s="168">
        <f>IFERROR(IF(ISNUMBER(AI51),IF(ISNUMBER(INDEX(ACTUALS!$Y$3:$Y$100,MATCH($B51,ACTUALS!$B$3:$B$100,0),1)),shootoutswon,0),0),0)</f>
        <v>0</v>
      </c>
      <c r="R51" s="168">
        <f t="shared" si="14"/>
        <v>0</v>
      </c>
      <c r="S51" s="168" t="e">
        <f t="shared" si="25"/>
        <v>#VALUE!</v>
      </c>
      <c r="T51" s="168" t="str">
        <f>IF($W51="","",IF(NOT(ISERROR(MATCH($S51,ACTUALS!$H$48:$H$51,0))),"Y","N"))</f>
        <v/>
      </c>
      <c r="U51" s="168" t="str">
        <f t="shared" si="26"/>
        <v/>
      </c>
      <c r="V51" s="168" t="str">
        <f t="shared" si="27"/>
        <v/>
      </c>
      <c r="W51" s="63" t="str">
        <f t="shared" si="15"/>
        <v/>
      </c>
      <c r="X51" s="65" t="e">
        <f t="shared" si="16"/>
        <v>#VALUE!</v>
      </c>
      <c r="Y51" s="65" t="e">
        <f t="shared" si="17"/>
        <v>#VALUE!</v>
      </c>
      <c r="Z51" s="65" t="str">
        <f t="shared" si="18"/>
        <v/>
      </c>
      <c r="AA51" s="65" t="str">
        <f t="shared" si="19"/>
        <v/>
      </c>
      <c r="AB51" s="65" t="str">
        <f t="shared" si="20"/>
        <v/>
      </c>
      <c r="AC51" s="65" t="str">
        <f t="shared" si="21"/>
        <v/>
      </c>
      <c r="AD51" s="65"/>
      <c r="AE51" s="65"/>
      <c r="AF51" s="65"/>
      <c r="AG51" s="65"/>
      <c r="AH51" s="65">
        <f t="shared" si="28"/>
        <v>0</v>
      </c>
      <c r="AI51" s="65">
        <f t="shared" si="29"/>
        <v>0</v>
      </c>
      <c r="AJ51" s="65" t="str">
        <f t="shared" si="22"/>
        <v/>
      </c>
      <c r="AK51" s="65" t="str">
        <f t="shared" si="23"/>
        <v/>
      </c>
      <c r="AL51" s="65" t="e">
        <f t="shared" si="30"/>
        <v>#VALUE!</v>
      </c>
      <c r="AM51" s="65" t="e">
        <f t="shared" si="24"/>
        <v>#VALUE!</v>
      </c>
      <c r="AN51" s="161">
        <f t="shared" si="13"/>
        <v>45479</v>
      </c>
      <c r="AT51" s="79"/>
      <c r="AU51" s="79"/>
      <c r="AV51" s="79"/>
      <c r="AW51" s="79"/>
      <c r="AX51" s="79"/>
      <c r="AY51" s="79"/>
      <c r="AZ51" s="75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U51" s="58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  <c r="DR51" s="59"/>
      <c r="DS51" s="59"/>
      <c r="DT51" s="59"/>
      <c r="DU51" s="59"/>
      <c r="DV51" s="59"/>
      <c r="DW51" s="59"/>
      <c r="DX51" s="59"/>
      <c r="DY51" s="59"/>
      <c r="DZ51" s="59"/>
      <c r="EA51" s="59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R51" s="75"/>
      <c r="GS51" s="157"/>
      <c r="GT51" s="157"/>
      <c r="GU51" s="75"/>
      <c r="GV51" s="75"/>
      <c r="GW51" s="75"/>
      <c r="GX51" s="75"/>
      <c r="GY51" s="75"/>
      <c r="GZ51" s="75"/>
    </row>
    <row r="52" spans="1:208" s="11" customFormat="1" ht="30" customHeight="1" x14ac:dyDescent="0.25">
      <c r="A52" s="20"/>
      <c r="B52" s="113">
        <v>49</v>
      </c>
      <c r="C52" s="113" t="s">
        <v>75</v>
      </c>
      <c r="D52" s="114">
        <v>45482</v>
      </c>
      <c r="E52" s="113" t="s">
        <v>78</v>
      </c>
      <c r="F52" s="115">
        <v>0.875</v>
      </c>
      <c r="G52" s="116">
        <f>D52+TIME(HOUR(F52)+$A$7,0,0)</f>
        <v>45482.625</v>
      </c>
      <c r="H52" s="113" t="str">
        <f>IF(I51="","Semifinal 1",Z48&amp;" - "&amp;Z49)</f>
        <v>Semifinal 1</v>
      </c>
      <c r="I52" s="50"/>
      <c r="J52" s="62"/>
      <c r="K52" s="66"/>
      <c r="L52" s="175">
        <f>IF(I52="",0,IFERROR(IF(SCORING.RULES!$C$8="No",1,((VLOOKUP($B52,ACTUALS!$B$4:$L$100,7,FALSE)=$H52)+(VLOOKUP($B52,ACTUALS!$B$4:$L$100,7,FALSE)=S52)))*(M52+N52+O52+P52+Q52),0))+$R52</f>
        <v>0</v>
      </c>
      <c r="M52" s="168">
        <f>IFERROR(IF($B52="","",IF(U52=INDEX(ACTUALS!$AA$4:$AA$100,MATCH($B52,ACTUALS!$B$4:$B$100,0),1),CorrectScore,0)),0)</f>
        <v>0</v>
      </c>
      <c r="N52" s="168" t="str">
        <f>IFERROR(IF(I52="","",IF(INDEX(ACTUALS!$AB$4:$AB$100,MATCH($B52,ACTUALS!$B$4:$B$100,0),1)=(AB52+AC52+AH52+AI52),CorrectNumberofGoals,0)),0)</f>
        <v/>
      </c>
      <c r="O52" s="168">
        <f>IFERROR(IF(V52="",0,IF($V52=INDEX(ACTUALS!$K$3:$K$100,MATCH($B52,ACTUALS!$B$3:$B$100,0),1),penaltiesscored,0)),0)</f>
        <v>0</v>
      </c>
      <c r="P52" s="168">
        <f>IFERROR(IF(B52="","",IF(INDEX(ACTUALS!$L$4:$L$100,MATCH($B52,ACTUALS!$B$4:$B$100,0),1)=W52,CorrectResult,0)),0)</f>
        <v>3</v>
      </c>
      <c r="Q52" s="168">
        <f>IFERROR(IF(ISNUMBER(AI52),IF(ISNUMBER(INDEX(ACTUALS!$Y$3:$Y$100,MATCH($B52,ACTUALS!$B$3:$B$100,0),1)),shootoutswon,0),0),0)</f>
        <v>0</v>
      </c>
      <c r="R52" s="168">
        <f t="shared" si="14"/>
        <v>0</v>
      </c>
      <c r="S52" s="168" t="e">
        <f t="shared" si="25"/>
        <v>#VALUE!</v>
      </c>
      <c r="T52" s="168" t="str">
        <f>IF($W52="","",IF(NOT(ISERROR(MATCH($S52,ACTUALS!$H$52:$H$53,0))),"Y","N"))</f>
        <v/>
      </c>
      <c r="U52" s="168" t="str">
        <f t="shared" si="26"/>
        <v/>
      </c>
      <c r="V52" s="168" t="str">
        <f t="shared" si="27"/>
        <v/>
      </c>
      <c r="W52" s="63" t="str">
        <f t="shared" si="15"/>
        <v/>
      </c>
      <c r="X52" s="65" t="e">
        <f t="shared" si="16"/>
        <v>#VALUE!</v>
      </c>
      <c r="Y52" s="65" t="e">
        <f t="shared" si="17"/>
        <v>#VALUE!</v>
      </c>
      <c r="Z52" s="65" t="str">
        <f>IF(W52="","",IF(W52=X52,X52,Y52))</f>
        <v/>
      </c>
      <c r="AA52" s="65" t="str">
        <f>IF(W52="","",IF(Z52=X52,Y52,X52))</f>
        <v/>
      </c>
      <c r="AB52" s="65" t="str">
        <f t="shared" si="20"/>
        <v/>
      </c>
      <c r="AC52" s="65" t="str">
        <f t="shared" si="21"/>
        <v/>
      </c>
      <c r="AD52" s="65"/>
      <c r="AE52" s="65"/>
      <c r="AF52" s="65"/>
      <c r="AG52" s="65"/>
      <c r="AH52" s="65">
        <f t="shared" si="28"/>
        <v>0</v>
      </c>
      <c r="AI52" s="65">
        <f t="shared" si="29"/>
        <v>0</v>
      </c>
      <c r="AJ52" s="65" t="str">
        <f t="shared" si="22"/>
        <v/>
      </c>
      <c r="AK52" s="65" t="str">
        <f t="shared" si="23"/>
        <v/>
      </c>
      <c r="AL52" s="65" t="e">
        <f t="shared" si="30"/>
        <v>#VALUE!</v>
      </c>
      <c r="AM52" s="65" t="e">
        <f t="shared" si="24"/>
        <v>#VALUE!</v>
      </c>
      <c r="AN52" s="161">
        <f t="shared" si="13"/>
        <v>45482</v>
      </c>
      <c r="AT52" s="75"/>
      <c r="AU52" s="79"/>
      <c r="AV52" s="79"/>
      <c r="AW52" s="79"/>
      <c r="AX52" s="79"/>
      <c r="AY52" s="79"/>
      <c r="AZ52" s="75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U52" s="58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R52" s="75"/>
      <c r="GS52" s="157"/>
      <c r="GT52" s="157"/>
      <c r="GU52" s="75"/>
      <c r="GV52" s="75"/>
      <c r="GW52" s="75"/>
      <c r="GX52" s="75"/>
      <c r="GY52" s="75"/>
      <c r="GZ52" s="75"/>
    </row>
    <row r="53" spans="1:208" s="11" customFormat="1" ht="30" customHeight="1" thickBot="1" x14ac:dyDescent="0.3">
      <c r="A53" s="20"/>
      <c r="B53" s="127">
        <v>50</v>
      </c>
      <c r="C53" s="127" t="s">
        <v>75</v>
      </c>
      <c r="D53" s="128">
        <v>45483</v>
      </c>
      <c r="E53" s="127" t="s">
        <v>81</v>
      </c>
      <c r="F53" s="129">
        <v>0.875</v>
      </c>
      <c r="G53" s="130">
        <f>D53+TIME(HOUR(F53)+$A$7,0,0)</f>
        <v>45483.625</v>
      </c>
      <c r="H53" s="127" t="str">
        <f>IF(I51="","Semifinal 2",Z50&amp;" - "&amp;Z51)</f>
        <v>Semifinal 2</v>
      </c>
      <c r="I53" s="51"/>
      <c r="J53" s="62"/>
      <c r="K53" s="66"/>
      <c r="L53" s="175">
        <f>IF(I53="",0,IFERROR(IF(SCORING.RULES!$C$8="No",1,((VLOOKUP($B53,ACTUALS!$B$4:$L$100,7,FALSE)=$H53)+(VLOOKUP($B53,ACTUALS!$B$4:$L$100,7,FALSE)=S53)))*(M53+N53+O53+P53+Q53),0))+$R53</f>
        <v>0</v>
      </c>
      <c r="M53" s="168">
        <f>IFERROR(IF($B53="","",IF(U53=INDEX(ACTUALS!$AA$4:$AA$100,MATCH($B53,ACTUALS!$B$4:$B$100,0),1),CorrectScore,0)),0)</f>
        <v>0</v>
      </c>
      <c r="N53" s="168" t="str">
        <f>IFERROR(IF(I53="","",IF(INDEX(ACTUALS!$AB$4:$AB$100,MATCH($B53,ACTUALS!$B$4:$B$100,0),1)=(AB53+AC53+AH53+AI53),CorrectNumberofGoals,0)),0)</f>
        <v/>
      </c>
      <c r="O53" s="168">
        <f>IFERROR(IF(V53="",0,IF($V53=INDEX(ACTUALS!$K$3:$K$100,MATCH($B53,ACTUALS!$B$3:$B$100,0),1),penaltiesscored,0)),0)</f>
        <v>0</v>
      </c>
      <c r="P53" s="168">
        <f>IFERROR(IF(B53="","",IF(INDEX(ACTUALS!$L$4:$L$100,MATCH($B53,ACTUALS!$B$4:$B$100,0),1)=W53,CorrectResult,0)),0)</f>
        <v>3</v>
      </c>
      <c r="Q53" s="168">
        <f>IFERROR(IF(ISNUMBER(AI53),IF(ISNUMBER(INDEX(ACTUALS!$Y$3:$Y$100,MATCH($B53,ACTUALS!$B$3:$B$100,0),1)),shootoutswon,0),0),0)</f>
        <v>0</v>
      </c>
      <c r="R53" s="168">
        <f t="shared" si="14"/>
        <v>0</v>
      </c>
      <c r="S53" s="168" t="e">
        <f t="shared" si="25"/>
        <v>#VALUE!</v>
      </c>
      <c r="T53" s="168" t="str">
        <f>IF($W53="","",IF(NOT(ISERROR(MATCH($S53,ACTUALS!$H$52:$H$53,0))),"Y","N"))</f>
        <v/>
      </c>
      <c r="U53" s="168" t="str">
        <f t="shared" si="26"/>
        <v/>
      </c>
      <c r="V53" s="168" t="str">
        <f t="shared" si="27"/>
        <v/>
      </c>
      <c r="W53" s="63" t="str">
        <f t="shared" si="15"/>
        <v/>
      </c>
      <c r="X53" s="65" t="e">
        <f t="shared" si="16"/>
        <v>#VALUE!</v>
      </c>
      <c r="Y53" s="65" t="e">
        <f t="shared" si="17"/>
        <v>#VALUE!</v>
      </c>
      <c r="Z53" s="65" t="str">
        <f>IF(W53="","",IF(W53=X53,X53,Y53))</f>
        <v/>
      </c>
      <c r="AA53" s="65" t="str">
        <f>IF(W53="","",IF(Z53=X53,Y53,X53))</f>
        <v/>
      </c>
      <c r="AB53" s="65" t="str">
        <f t="shared" si="20"/>
        <v/>
      </c>
      <c r="AC53" s="65" t="str">
        <f t="shared" si="21"/>
        <v/>
      </c>
      <c r="AD53" s="65"/>
      <c r="AE53" s="65"/>
      <c r="AF53" s="65"/>
      <c r="AG53" s="65"/>
      <c r="AH53" s="65">
        <f t="shared" si="28"/>
        <v>0</v>
      </c>
      <c r="AI53" s="65">
        <f t="shared" si="29"/>
        <v>0</v>
      </c>
      <c r="AJ53" s="65" t="str">
        <f t="shared" si="22"/>
        <v/>
      </c>
      <c r="AK53" s="65" t="str">
        <f t="shared" si="23"/>
        <v/>
      </c>
      <c r="AL53" s="65" t="e">
        <f t="shared" si="30"/>
        <v>#VALUE!</v>
      </c>
      <c r="AM53" s="65" t="e">
        <f t="shared" si="24"/>
        <v>#VALUE!</v>
      </c>
      <c r="AN53" s="161">
        <f t="shared" si="13"/>
        <v>45483</v>
      </c>
      <c r="AT53" s="75"/>
      <c r="AU53" s="79"/>
      <c r="AV53" s="79"/>
      <c r="AW53" s="79"/>
      <c r="AX53" s="79"/>
      <c r="AY53" s="79"/>
      <c r="AZ53" s="75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U53" s="58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R53" s="75"/>
      <c r="GS53" s="157"/>
      <c r="GT53" s="157"/>
      <c r="GU53" s="75"/>
      <c r="GV53" s="75"/>
      <c r="GW53" s="75"/>
      <c r="GX53" s="75"/>
      <c r="GY53" s="75"/>
      <c r="GZ53" s="75"/>
    </row>
    <row r="54" spans="1:208" s="11" customFormat="1" ht="30" customHeight="1" x14ac:dyDescent="0.25">
      <c r="A54" s="20"/>
      <c r="B54" s="113">
        <v>51</v>
      </c>
      <c r="C54" s="113" t="s">
        <v>45</v>
      </c>
      <c r="D54" s="114">
        <v>45487</v>
      </c>
      <c r="E54" s="113" t="s">
        <v>80</v>
      </c>
      <c r="F54" s="115">
        <v>0.875</v>
      </c>
      <c r="G54" s="116">
        <f>D54+TIME(HOUR(F54)+$A$7,0,0)</f>
        <v>45487.625</v>
      </c>
      <c r="H54" s="113" t="str">
        <f>IF(I53="","Final",Z52&amp;" - "&amp;Z53)</f>
        <v>Final</v>
      </c>
      <c r="I54" s="50"/>
      <c r="J54" s="62"/>
      <c r="K54" s="66"/>
      <c r="L54" s="175">
        <f>IF(I54="",0,IFERROR(IF(SCORING.RULES!$C$8="No",1,((VLOOKUP($B54,ACTUALS!$B$4:$L$100,7,FALSE)=$H54)+(VLOOKUP($B54,ACTUALS!$B$4:$L$100,7,FALSE)=S54)))*(M54+N54+O54+P54+Q54),0))+$R54</f>
        <v>0</v>
      </c>
      <c r="M54" s="168">
        <f>IFERROR(IF($B54="","",IF(U54=INDEX(ACTUALS!$AA$4:$AA$100,MATCH($B54,ACTUALS!$B$4:$B$100,0),1),CorrectScore,0)),0)</f>
        <v>0</v>
      </c>
      <c r="N54" s="168" t="str">
        <f>IFERROR(IF(I54="","",IF(INDEX(ACTUALS!$AB$4:$AB$100,MATCH($B54,ACTUALS!$B$4:$B$100,0),1)=(AB54+AC54+AH54+AI54),CorrectNumberofGoals,0)),0)</f>
        <v/>
      </c>
      <c r="O54" s="168">
        <f>IFERROR(IF(V54="",0,IF($V54=INDEX(ACTUALS!$K$3:$K$100,MATCH($B54,ACTUALS!$B$3:$B$100,0),1),penaltiesscored,0)),0)</f>
        <v>0</v>
      </c>
      <c r="P54" s="168">
        <f>IFERROR(IF(B54="","",IF(INDEX(ACTUALS!$L$4:$L$100,MATCH($B54,ACTUALS!$B$4:$B$100,0),1)=W54,CorrectResult,0)),0)</f>
        <v>3</v>
      </c>
      <c r="Q54" s="168">
        <f>IFERROR(IF(ISNUMBER(AI54),IF(ISNUMBER(INDEX(ACTUALS!$Y$3:$Y$100,MATCH($B54,ACTUALS!$B$3:$B$100,0),1)),shootoutswon,0),0),0)</f>
        <v>0</v>
      </c>
      <c r="R54" s="168">
        <f t="shared" si="14"/>
        <v>0</v>
      </c>
      <c r="S54" s="168" t="e">
        <f t="shared" si="25"/>
        <v>#VALUE!</v>
      </c>
      <c r="T54" s="168" t="e">
        <f>IF($X54="","",IF($S54=ACTUALS!H54,"Y","N"))</f>
        <v>#VALUE!</v>
      </c>
      <c r="U54" s="168" t="str">
        <f t="shared" si="26"/>
        <v/>
      </c>
      <c r="V54" s="168" t="str">
        <f t="shared" si="27"/>
        <v/>
      </c>
      <c r="W54" s="63" t="str">
        <f t="shared" si="15"/>
        <v/>
      </c>
      <c r="X54" s="65" t="e">
        <f t="shared" si="16"/>
        <v>#VALUE!</v>
      </c>
      <c r="Y54" s="65" t="e">
        <f t="shared" si="17"/>
        <v>#VALUE!</v>
      </c>
      <c r="Z54" s="65" t="str">
        <f>IF(W54="","",IF(W54=X54,X54,Y54))</f>
        <v/>
      </c>
      <c r="AA54" s="65" t="str">
        <f>IF(W54="","",IF(Z54=X54,Y54,X54))</f>
        <v/>
      </c>
      <c r="AB54" s="65" t="str">
        <f t="shared" si="20"/>
        <v/>
      </c>
      <c r="AC54" s="65" t="str">
        <f t="shared" si="21"/>
        <v/>
      </c>
      <c r="AD54" s="65"/>
      <c r="AE54" s="65"/>
      <c r="AF54" s="65"/>
      <c r="AG54" s="65"/>
      <c r="AH54" s="65">
        <f t="shared" si="28"/>
        <v>0</v>
      </c>
      <c r="AI54" s="65">
        <f t="shared" si="29"/>
        <v>0</v>
      </c>
      <c r="AJ54" s="65" t="str">
        <f t="shared" si="22"/>
        <v/>
      </c>
      <c r="AK54" s="65" t="str">
        <f t="shared" si="23"/>
        <v/>
      </c>
      <c r="AL54" s="65" t="e">
        <f t="shared" si="30"/>
        <v>#VALUE!</v>
      </c>
      <c r="AM54" s="65" t="e">
        <f t="shared" si="24"/>
        <v>#VALUE!</v>
      </c>
      <c r="AN54" s="161">
        <f t="shared" si="13"/>
        <v>45487</v>
      </c>
      <c r="AT54" s="75"/>
      <c r="AU54" s="79"/>
      <c r="AV54" s="79"/>
      <c r="AW54" s="79"/>
      <c r="AX54" s="79"/>
      <c r="AY54" s="79"/>
      <c r="AZ54" s="75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U54" s="58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R54" s="75"/>
      <c r="GS54" s="157"/>
      <c r="GT54" s="157"/>
      <c r="GU54" s="75"/>
      <c r="GV54" s="75"/>
      <c r="GW54" s="75"/>
      <c r="GX54" s="75"/>
      <c r="GY54" s="75"/>
      <c r="GZ54" s="75"/>
    </row>
    <row r="55" spans="1:208" x14ac:dyDescent="0.3">
      <c r="A55" s="21"/>
      <c r="D55" s="14"/>
      <c r="F55" s="15"/>
      <c r="G55" s="16"/>
      <c r="W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U55" s="11"/>
      <c r="AV55" s="11"/>
      <c r="AW55" s="11"/>
      <c r="AX55" s="11"/>
      <c r="AY55" s="11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CU55" s="60"/>
      <c r="GS55" s="156"/>
      <c r="GT55" s="159"/>
    </row>
    <row r="56" spans="1:208" x14ac:dyDescent="0.3">
      <c r="A56" s="21"/>
      <c r="B56" s="76"/>
      <c r="C56" s="76"/>
      <c r="D56" s="14"/>
      <c r="E56" s="89"/>
      <c r="F56" s="89"/>
      <c r="G56" s="90"/>
      <c r="H56" s="89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89"/>
      <c r="X56" s="89"/>
      <c r="Y56" s="92"/>
      <c r="Z56" s="92"/>
      <c r="AA56" s="92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92"/>
      <c r="AP56" s="92"/>
      <c r="AQ56" s="92"/>
      <c r="AR56" s="92"/>
      <c r="AS56" s="92"/>
      <c r="AT56" s="92"/>
      <c r="AU56" s="11"/>
      <c r="AV56" s="11"/>
      <c r="AW56" s="11"/>
      <c r="AX56" s="11"/>
      <c r="AY56" s="11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CU56" s="60"/>
      <c r="GS56" s="156"/>
      <c r="GT56" s="159"/>
    </row>
    <row r="57" spans="1:208" x14ac:dyDescent="0.3">
      <c r="A57" s="21"/>
      <c r="B57" s="170" t="s">
        <v>201</v>
      </c>
      <c r="C57" s="169"/>
      <c r="D57" s="172">
        <f>COUNTA(K4:K54)</f>
        <v>0</v>
      </c>
      <c r="E57" s="2"/>
      <c r="F57" s="47"/>
      <c r="W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U57" s="11"/>
      <c r="AV57" s="11"/>
      <c r="AW57" s="11"/>
      <c r="AX57" s="11"/>
      <c r="AY57" s="11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CU57" s="60"/>
      <c r="GS57" s="159"/>
      <c r="GT57" s="159"/>
    </row>
    <row r="58" spans="1:208" x14ac:dyDescent="0.3">
      <c r="A58" s="21"/>
      <c r="B58" s="171" t="s">
        <v>202</v>
      </c>
      <c r="C58" s="169"/>
      <c r="D58" s="172">
        <f>SUM(L4:L54)+(IF(D57=ACTUALS!F62,SCORING.RULES!C10,0))</f>
        <v>10</v>
      </c>
      <c r="E58" s="2"/>
      <c r="F58" s="47"/>
      <c r="W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CU58" s="60"/>
      <c r="GS58" s="159"/>
      <c r="GT58" s="159"/>
    </row>
    <row r="59" spans="1:208" x14ac:dyDescent="0.3">
      <c r="A59" s="21"/>
      <c r="B59" s="169"/>
      <c r="C59" s="169"/>
      <c r="D59" s="14"/>
      <c r="E59" s="2"/>
      <c r="F59" s="47"/>
      <c r="W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CU59" s="60"/>
      <c r="GS59" s="159"/>
      <c r="GT59" s="159"/>
    </row>
    <row r="60" spans="1:208" x14ac:dyDescent="0.3">
      <c r="A60" s="21"/>
      <c r="B60" s="169"/>
      <c r="C60" s="169"/>
      <c r="D60" s="14"/>
      <c r="E60" s="2"/>
      <c r="F60" s="47"/>
      <c r="W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CU60" s="60"/>
      <c r="GS60" s="159"/>
      <c r="GT60" s="159"/>
    </row>
    <row r="61" spans="1:208" x14ac:dyDescent="0.3">
      <c r="A61" s="21"/>
      <c r="B61" s="169"/>
      <c r="C61" s="169"/>
      <c r="D61" s="14"/>
      <c r="E61" s="89"/>
      <c r="F61" s="89"/>
      <c r="G61" s="90"/>
      <c r="H61" s="89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89"/>
      <c r="X61" s="89"/>
      <c r="Y61" s="92"/>
      <c r="Z61" s="92"/>
      <c r="AA61" s="92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92"/>
      <c r="AP61" s="92"/>
      <c r="AQ61" s="92"/>
      <c r="AR61" s="92"/>
      <c r="AS61" s="92"/>
      <c r="AT61" s="92"/>
      <c r="CU61" s="60"/>
      <c r="GS61" s="159"/>
      <c r="GT61" s="159"/>
    </row>
    <row r="62" spans="1:208" x14ac:dyDescent="0.3">
      <c r="B62" s="169"/>
      <c r="C62" s="169"/>
      <c r="D62" s="14"/>
      <c r="E62" s="89"/>
      <c r="F62" s="89"/>
      <c r="G62" s="90"/>
      <c r="H62" s="89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89"/>
      <c r="X62" s="89"/>
      <c r="Y62" s="92"/>
      <c r="Z62" s="92"/>
      <c r="AA62" s="92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92"/>
      <c r="AP62" s="92"/>
      <c r="AQ62" s="92"/>
      <c r="AR62" s="92"/>
      <c r="AS62" s="92"/>
      <c r="AT62" s="92"/>
      <c r="GS62" s="159"/>
      <c r="GT62" s="159"/>
    </row>
    <row r="63" spans="1:208" x14ac:dyDescent="0.3">
      <c r="B63" s="169"/>
      <c r="C63" s="169"/>
      <c r="E63" s="89"/>
      <c r="F63" s="89"/>
      <c r="G63" s="90"/>
      <c r="H63" s="89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89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GS63" s="159"/>
      <c r="GT63" s="159"/>
    </row>
    <row r="64" spans="1:208" x14ac:dyDescent="0.3">
      <c r="B64" s="169"/>
      <c r="C64" s="169"/>
      <c r="E64" s="89"/>
      <c r="F64" s="89"/>
      <c r="G64" s="90"/>
      <c r="H64" s="89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89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GS64" s="159"/>
      <c r="GT64" s="159"/>
    </row>
    <row r="65" spans="2:202" x14ac:dyDescent="0.3">
      <c r="B65" s="169"/>
      <c r="C65" s="169"/>
      <c r="E65" s="89"/>
      <c r="F65" s="89"/>
      <c r="G65" s="90"/>
      <c r="H65" s="89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89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GS65" s="159"/>
      <c r="GT65" s="159"/>
    </row>
    <row r="66" spans="2:202" x14ac:dyDescent="0.3">
      <c r="B66" s="169"/>
      <c r="C66" s="169"/>
      <c r="E66" s="89"/>
      <c r="F66" s="89"/>
      <c r="G66" s="90"/>
      <c r="H66" s="89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89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GS66" s="159"/>
      <c r="GT66" s="159"/>
    </row>
    <row r="67" spans="2:202" x14ac:dyDescent="0.3">
      <c r="B67" s="169"/>
      <c r="C67" s="169"/>
      <c r="E67" s="89"/>
      <c r="F67" s="89"/>
      <c r="G67" s="90"/>
      <c r="H67" s="89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89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GS67" s="159"/>
      <c r="GT67" s="159"/>
    </row>
    <row r="68" spans="2:202" x14ac:dyDescent="0.3">
      <c r="B68" s="169"/>
      <c r="C68" s="169"/>
      <c r="E68" s="2"/>
      <c r="F68" s="2"/>
      <c r="G68" s="47"/>
      <c r="H68" s="2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2"/>
      <c r="Y68" s="1"/>
      <c r="GS68" s="159"/>
      <c r="GT68" s="159"/>
    </row>
    <row r="69" spans="2:202" x14ac:dyDescent="0.3">
      <c r="B69" s="169"/>
      <c r="C69" s="169"/>
      <c r="E69" s="2"/>
      <c r="F69" s="2"/>
      <c r="G69" s="47"/>
      <c r="H69" s="2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2"/>
      <c r="Y69" s="1"/>
      <c r="GS69" s="159"/>
      <c r="GT69" s="159"/>
    </row>
    <row r="70" spans="2:202" x14ac:dyDescent="0.3">
      <c r="B70" s="169"/>
      <c r="C70" s="169"/>
      <c r="G70" s="47"/>
      <c r="H70" s="2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2"/>
      <c r="Y70" s="1"/>
      <c r="GS70" s="159"/>
      <c r="GT70" s="159"/>
    </row>
    <row r="71" spans="2:202" x14ac:dyDescent="0.3">
      <c r="B71" s="169"/>
      <c r="C71" s="169"/>
      <c r="GS71" s="159"/>
      <c r="GT71" s="159"/>
    </row>
    <row r="72" spans="2:202" x14ac:dyDescent="0.3">
      <c r="B72" s="169"/>
      <c r="C72" s="169"/>
      <c r="GS72" s="159"/>
    </row>
    <row r="73" spans="2:202" x14ac:dyDescent="0.3">
      <c r="B73" s="169"/>
      <c r="C73" s="169"/>
      <c r="GS73" s="159"/>
    </row>
    <row r="74" spans="2:202" x14ac:dyDescent="0.3">
      <c r="B74" s="169"/>
      <c r="C74" s="169"/>
    </row>
    <row r="75" spans="2:202" x14ac:dyDescent="0.3">
      <c r="B75" s="169"/>
      <c r="C75" s="169"/>
    </row>
    <row r="76" spans="2:202" x14ac:dyDescent="0.3">
      <c r="B76" s="169"/>
      <c r="C76" s="169"/>
    </row>
    <row r="77" spans="2:202" x14ac:dyDescent="0.3">
      <c r="B77" s="169"/>
      <c r="C77" s="169"/>
    </row>
    <row r="78" spans="2:202" x14ac:dyDescent="0.3">
      <c r="B78" s="169"/>
      <c r="C78" s="169"/>
    </row>
    <row r="79" spans="2:202" x14ac:dyDescent="0.3">
      <c r="B79" s="169"/>
      <c r="C79" s="169"/>
    </row>
    <row r="80" spans="2:202" x14ac:dyDescent="0.3">
      <c r="B80" s="169"/>
      <c r="C80" s="169"/>
    </row>
    <row r="81" spans="2:3" x14ac:dyDescent="0.3">
      <c r="B81" s="169"/>
      <c r="C81" s="169"/>
    </row>
    <row r="82" spans="2:3" x14ac:dyDescent="0.3">
      <c r="B82" s="169"/>
      <c r="C82" s="169"/>
    </row>
    <row r="83" spans="2:3" x14ac:dyDescent="0.3">
      <c r="B83" s="169"/>
      <c r="C83" s="169"/>
    </row>
    <row r="84" spans="2:3" x14ac:dyDescent="0.3">
      <c r="B84" s="169"/>
      <c r="C84" s="169"/>
    </row>
    <row r="85" spans="2:3" x14ac:dyDescent="0.3">
      <c r="B85" s="169"/>
      <c r="C85" s="169"/>
    </row>
    <row r="86" spans="2:3" x14ac:dyDescent="0.3">
      <c r="B86" s="169"/>
      <c r="C86" s="169"/>
    </row>
    <row r="87" spans="2:3" x14ac:dyDescent="0.3">
      <c r="B87" s="169"/>
      <c r="C87" s="169"/>
    </row>
  </sheetData>
  <sheetProtection algorithmName="SHA-512" hashValue="ictnF0aHka91md3HzBJjiR4R8A1kF7mP42wEejB2IpjHY7btUFB+tPJgt1wRv0jAG/KMN06OGXETGehCFG9yZA==" saltValue="RtwQYGy5+yDQ/WyANl4Zjg==" spinCount="100000" sheet="1" objects="1" scenarios="1"/>
  <mergeCells count="15">
    <mergeCell ref="HI3:HI19"/>
    <mergeCell ref="HC4:HH4"/>
    <mergeCell ref="AU5:AV5"/>
    <mergeCell ref="AU11:AV11"/>
    <mergeCell ref="AU17:AV17"/>
    <mergeCell ref="B1:W1"/>
    <mergeCell ref="AT1:AY1"/>
    <mergeCell ref="AT2:AY2"/>
    <mergeCell ref="AU3:AY3"/>
    <mergeCell ref="HC3:HH3"/>
    <mergeCell ref="AU23:AV23"/>
    <mergeCell ref="AU29:AV29"/>
    <mergeCell ref="AU35:AV35"/>
    <mergeCell ref="AU41:AY41"/>
    <mergeCell ref="AU50:AV50"/>
  </mergeCells>
  <conditionalFormatting sqref="A5 A8">
    <cfRule type="expression" dxfId="50" priority="13">
      <formula>AND(LEN($X2)&gt;0,(OR(IFERROR(FIND($X2,$HA$30,1)&gt;0,0),IFERROR(FIND($Y2,$HA$30,1)&gt;0,0))))</formula>
    </cfRule>
  </conditionalFormatting>
  <conditionalFormatting sqref="A6">
    <cfRule type="expression" dxfId="49" priority="14">
      <formula>AND(LEN($X2)&gt;0,(OR(IFERROR(FIND($X2,$HA$30,1)&gt;0,0),IFERROR(FIND($Y2,$HA$30,1)&gt;0,0))))</formula>
    </cfRule>
  </conditionalFormatting>
  <conditionalFormatting sqref="A7">
    <cfRule type="expression" dxfId="48" priority="15">
      <formula>AND(LEN($X2)&gt;0,(OR(IFERROR(FIND($X2,$HA$30,1)&gt;0,0),IFERROR(FIND($Y2,$HA$30,1)&gt;0,0))))</formula>
    </cfRule>
  </conditionalFormatting>
  <conditionalFormatting sqref="B4:I54">
    <cfRule type="expression" dxfId="47" priority="11">
      <formula>AND(LEN($X4)&gt;0,(OR(IFERROR(FIND($X4,$HA$30,1)&gt;0,0),IFERROR(FIND($Y4,$HA$30,1)&gt;0,0))))</formula>
    </cfRule>
  </conditionalFormatting>
  <conditionalFormatting sqref="M4:M39 J40:V54">
    <cfRule type="expression" dxfId="46" priority="1">
      <formula>LEFT(I4,FIND(":",I4,1)-1)=RIGHT(I4,LEN(I4)-FIND(":",I4,1))</formula>
    </cfRule>
  </conditionalFormatting>
  <conditionalFormatting sqref="AU8:AY8">
    <cfRule type="expression" dxfId="45" priority="7">
      <formula>$AZ8="X"</formula>
    </cfRule>
  </conditionalFormatting>
  <conditionalFormatting sqref="AU14:AY14">
    <cfRule type="expression" dxfId="44" priority="6">
      <formula>$AZ14="X"</formula>
    </cfRule>
  </conditionalFormatting>
  <conditionalFormatting sqref="AU20:AY20">
    <cfRule type="expression" dxfId="43" priority="5">
      <formula>$AZ20="X"</formula>
    </cfRule>
  </conditionalFormatting>
  <conditionalFormatting sqref="AU26:AY26">
    <cfRule type="expression" dxfId="42" priority="4">
      <formula>$AZ26="X"</formula>
    </cfRule>
  </conditionalFormatting>
  <conditionalFormatting sqref="AU32:AY32">
    <cfRule type="expression" dxfId="41" priority="3">
      <formula>$AZ32="X"</formula>
    </cfRule>
  </conditionalFormatting>
  <conditionalFormatting sqref="AU38:AY38">
    <cfRule type="expression" dxfId="40" priority="2">
      <formula>$AZ38="X"</formula>
    </cfRule>
  </conditionalFormatting>
  <conditionalFormatting sqref="BM1:BM1048576">
    <cfRule type="expression" dxfId="39" priority="8">
      <formula>ISNUMBER(BM1)</formula>
    </cfRule>
  </conditionalFormatting>
  <conditionalFormatting sqref="CV4:EA35">
    <cfRule type="expression" dxfId="38" priority="12">
      <formula>CV4=0</formula>
    </cfRule>
  </conditionalFormatting>
  <conditionalFormatting sqref="ED4:FI35">
    <cfRule type="expression" dxfId="37" priority="10">
      <formula>ED4=0</formula>
    </cfRule>
  </conditionalFormatting>
  <conditionalFormatting sqref="FL4:GQ35">
    <cfRule type="expression" dxfId="36" priority="9">
      <formula>FL4=0</formula>
    </cfRule>
  </conditionalFormatting>
  <hyperlinks>
    <hyperlink ref="AT2" r:id="rId1" xr:uid="{0EF595F7-CD63-447E-AD4E-5DD9D980E946}"/>
  </hyperlinks>
  <pageMargins left="0.7" right="0.7" top="0.75" bottom="0.75" header="0.3" footer="0.3"/>
  <pageSetup orientation="portrait" horizontalDpi="4294967293" verticalDpi="0" r:id="rId2"/>
  <drawing r:id="rId3"/>
  <tableParts count="4">
    <tablePart r:id="rId4"/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A0BCA-9E7A-4A12-802D-601020977F14}">
  <sheetPr>
    <tabColor theme="8" tint="0.39997558519241921"/>
  </sheetPr>
  <dimension ref="A1:HM87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3" sqref="K3"/>
    </sheetView>
  </sheetViews>
  <sheetFormatPr defaultRowHeight="16.5" x14ac:dyDescent="0.3"/>
  <cols>
    <col min="1" max="1" width="26.42578125" style="5" customWidth="1"/>
    <col min="2" max="2" width="13" style="6" customWidth="1"/>
    <col min="3" max="3" width="14.42578125" style="6" bestFit="1" customWidth="1"/>
    <col min="4" max="4" width="10.5703125" style="6" bestFit="1" customWidth="1"/>
    <col min="5" max="5" width="31.28515625" style="6" bestFit="1" customWidth="1"/>
    <col min="6" max="6" width="10.42578125" style="6" bestFit="1" customWidth="1"/>
    <col min="7" max="7" width="22.42578125" style="7" bestFit="1" customWidth="1"/>
    <col min="8" max="8" width="30.85546875" style="6" bestFit="1" customWidth="1"/>
    <col min="9" max="9" width="11.7109375" style="8" bestFit="1" customWidth="1"/>
    <col min="10" max="10" width="12.42578125" style="8" bestFit="1" customWidth="1"/>
    <col min="11" max="11" width="13" style="8" customWidth="1"/>
    <col min="12" max="12" width="17.28515625" style="8" bestFit="1" customWidth="1"/>
    <col min="13" max="13" width="18.85546875" style="8" hidden="1" customWidth="1"/>
    <col min="14" max="14" width="31.5703125" style="8" hidden="1" customWidth="1"/>
    <col min="15" max="15" width="31.7109375" style="8" hidden="1" customWidth="1"/>
    <col min="16" max="16" width="18.5703125" style="8" hidden="1" customWidth="1"/>
    <col min="17" max="17" width="26.85546875" style="8" hidden="1" customWidth="1"/>
    <col min="18" max="18" width="19.42578125" style="8" hidden="1" customWidth="1"/>
    <col min="19" max="19" width="19.140625" style="8" hidden="1" customWidth="1"/>
    <col min="20" max="20" width="18.7109375" style="8" hidden="1" customWidth="1"/>
    <col min="21" max="21" width="29.42578125" style="8" hidden="1" customWidth="1"/>
    <col min="22" max="22" width="27" style="8" hidden="1" customWidth="1"/>
    <col min="23" max="23" width="20.7109375" style="8" hidden="1" customWidth="1"/>
    <col min="24" max="24" width="14.28515625" style="6" hidden="1" customWidth="1"/>
    <col min="25" max="27" width="14.28515625" style="5" hidden="1" customWidth="1"/>
    <col min="28" max="37" width="17.28515625" style="5" hidden="1" customWidth="1"/>
    <col min="38" max="38" width="26.7109375" style="5" hidden="1" customWidth="1"/>
    <col min="39" max="40" width="17.28515625" style="5" hidden="1" customWidth="1"/>
    <col min="41" max="41" width="9.140625" style="5" hidden="1" customWidth="1"/>
    <col min="42" max="42" width="31.28515625" style="5" hidden="1" customWidth="1"/>
    <col min="43" max="44" width="9.140625" style="5" hidden="1" customWidth="1"/>
    <col min="45" max="45" width="1.42578125" style="5" hidden="1" customWidth="1"/>
    <col min="46" max="46" width="9.140625" style="5" customWidth="1"/>
    <col min="47" max="47" width="2.140625" style="6" bestFit="1" customWidth="1"/>
    <col min="48" max="48" width="17.28515625" style="5" bestFit="1" customWidth="1"/>
    <col min="49" max="49" width="9.140625" style="5" customWidth="1"/>
    <col min="50" max="50" width="4.42578125" style="6" bestFit="1" customWidth="1"/>
    <col min="51" max="51" width="9.140625" style="6" customWidth="1"/>
    <col min="52" max="52" width="10" style="67" customWidth="1"/>
    <col min="53" max="53" width="10" style="1" hidden="1" customWidth="1"/>
    <col min="54" max="54" width="9.140625" style="1" hidden="1" customWidth="1"/>
    <col min="55" max="55" width="9.140625" style="2" hidden="1" customWidth="1"/>
    <col min="56" max="56" width="17.28515625" style="2" hidden="1" customWidth="1"/>
    <col min="57" max="57" width="3" style="2" hidden="1" customWidth="1"/>
    <col min="58" max="58" width="2.5703125" style="2" hidden="1" customWidth="1"/>
    <col min="59" max="59" width="2.140625" style="2" hidden="1" customWidth="1"/>
    <col min="60" max="60" width="13.7109375" style="2" hidden="1" customWidth="1"/>
    <col min="61" max="61" width="15.42578125" style="1" hidden="1" customWidth="1"/>
    <col min="62" max="62" width="16.5703125" style="1" hidden="1" customWidth="1"/>
    <col min="63" max="63" width="18.140625" style="1" hidden="1" customWidth="1"/>
    <col min="64" max="64" width="9.140625" style="2" hidden="1" customWidth="1"/>
    <col min="65" max="65" width="11" style="2" hidden="1" customWidth="1"/>
    <col min="66" max="66" width="9.140625" style="2" hidden="1" customWidth="1"/>
    <col min="67" max="67" width="18.7109375" style="1" hidden="1" customWidth="1"/>
    <col min="68" max="68" width="18.7109375" style="2" hidden="1" customWidth="1"/>
    <col min="69" max="73" width="18.7109375" style="1" hidden="1" customWidth="1"/>
    <col min="74" max="75" width="22.7109375" style="1" hidden="1" customWidth="1"/>
    <col min="76" max="76" width="13.42578125" style="1" hidden="1" customWidth="1"/>
    <col min="77" max="79" width="9.140625" style="1" hidden="1" customWidth="1"/>
    <col min="80" max="80" width="18.5703125" style="1" hidden="1" customWidth="1"/>
    <col min="81" max="81" width="9.140625" style="1" hidden="1" customWidth="1"/>
    <col min="82" max="82" width="18.140625" style="1" hidden="1" customWidth="1"/>
    <col min="83" max="83" width="15.140625" style="1" hidden="1" customWidth="1"/>
    <col min="84" max="84" width="5.7109375" style="1" hidden="1" customWidth="1"/>
    <col min="85" max="85" width="13.7109375" style="1" hidden="1" customWidth="1"/>
    <col min="86" max="96" width="9.140625" style="1" hidden="1" customWidth="1"/>
    <col min="97" max="98" width="9.140625" style="5" hidden="1" customWidth="1"/>
    <col min="99" max="99" width="14.28515625" style="1" hidden="1" customWidth="1"/>
    <col min="100" max="131" width="4" style="54" hidden="1" customWidth="1"/>
    <col min="132" max="132" width="9.140625" style="1" hidden="1" customWidth="1"/>
    <col min="133" max="133" width="14.28515625" style="1" hidden="1" customWidth="1"/>
    <col min="134" max="165" width="4" style="1" hidden="1" customWidth="1"/>
    <col min="166" max="166" width="9.140625" style="1" hidden="1" customWidth="1"/>
    <col min="167" max="167" width="14.28515625" style="1" hidden="1" customWidth="1"/>
    <col min="168" max="193" width="4" style="1" hidden="1" customWidth="1"/>
    <col min="194" max="199" width="4" style="5" hidden="1" customWidth="1"/>
    <col min="200" max="200" width="9.140625" style="67" hidden="1" customWidth="1"/>
    <col min="201" max="201" width="23.7109375" style="160" bestFit="1" customWidth="1"/>
    <col min="202" max="202" width="12.42578125" style="160" customWidth="1"/>
    <col min="203" max="203" width="12" style="67" bestFit="1" customWidth="1"/>
    <col min="204" max="204" width="19.5703125" style="5" customWidth="1"/>
    <col min="205" max="208" width="12" style="67" customWidth="1"/>
    <col min="209" max="209" width="9.140625" style="5"/>
    <col min="210" max="221" width="9.140625" style="5" hidden="1" customWidth="1"/>
    <col min="222" max="16384" width="9.140625" style="5"/>
  </cols>
  <sheetData>
    <row r="1" spans="1:221" ht="120" customHeight="1" thickBot="1" x14ac:dyDescent="1.1000000000000001">
      <c r="A1" s="23"/>
      <c r="B1" s="182" t="s">
        <v>66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190" t="e" vm="1">
        <v>#VALUE!</v>
      </c>
      <c r="AU1" s="190"/>
      <c r="AV1" s="190"/>
      <c r="AW1" s="190"/>
      <c r="AX1" s="190"/>
      <c r="AY1" s="191"/>
      <c r="BT1" s="61"/>
      <c r="GS1" s="152"/>
      <c r="GT1" s="152"/>
      <c r="GU1" s="83"/>
      <c r="GV1" s="83"/>
      <c r="GW1" s="83"/>
      <c r="GX1" s="83"/>
      <c r="GY1" s="83"/>
      <c r="GZ1" s="83"/>
      <c r="HA1" s="67"/>
      <c r="HB1" s="67"/>
    </row>
    <row r="2" spans="1:221" s="67" customFormat="1" ht="17.25" thickBot="1" x14ac:dyDescent="0.35">
      <c r="B2" s="68"/>
      <c r="C2" s="68"/>
      <c r="D2" s="68"/>
      <c r="E2" s="68"/>
      <c r="F2" s="68"/>
      <c r="G2" s="69"/>
      <c r="H2" s="68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68"/>
      <c r="AT2" s="192" t="s">
        <v>191</v>
      </c>
      <c r="AU2" s="193"/>
      <c r="AV2" s="193"/>
      <c r="AW2" s="193"/>
      <c r="AX2" s="193"/>
      <c r="AY2" s="193"/>
      <c r="BA2" s="71"/>
      <c r="BB2" s="71"/>
      <c r="BC2" s="72"/>
      <c r="BD2" s="72"/>
      <c r="BE2" s="72"/>
      <c r="BF2" s="72"/>
      <c r="BG2" s="72"/>
      <c r="BH2" s="72"/>
      <c r="BI2" s="71"/>
      <c r="BJ2" s="71"/>
      <c r="BK2" s="71"/>
      <c r="BL2" s="72"/>
      <c r="BM2" s="72"/>
      <c r="BN2" s="72"/>
      <c r="BO2" s="71"/>
      <c r="BP2" s="72" t="s">
        <v>157</v>
      </c>
      <c r="BQ2" s="72" t="s">
        <v>158</v>
      </c>
      <c r="BR2" s="72" t="s">
        <v>159</v>
      </c>
      <c r="BS2" s="72" t="s">
        <v>160</v>
      </c>
      <c r="BT2" s="72" t="s">
        <v>164</v>
      </c>
      <c r="BU2" s="72" t="s">
        <v>165</v>
      </c>
      <c r="BV2" s="72" t="s">
        <v>166</v>
      </c>
      <c r="BW2" s="72" t="s">
        <v>168</v>
      </c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U2" s="71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S2" s="153"/>
      <c r="GT2" s="153"/>
      <c r="GV2" s="53" t="s">
        <v>155</v>
      </c>
    </row>
    <row r="3" spans="1:221" s="9" customFormat="1" ht="40.5" customHeight="1" thickBot="1" x14ac:dyDescent="0.75">
      <c r="B3" s="64" t="s">
        <v>58</v>
      </c>
      <c r="C3" s="25" t="s">
        <v>59</v>
      </c>
      <c r="D3" s="25" t="s">
        <v>60</v>
      </c>
      <c r="E3" s="25" t="s">
        <v>88</v>
      </c>
      <c r="F3" s="25" t="s">
        <v>61</v>
      </c>
      <c r="G3" s="25" t="s">
        <v>62</v>
      </c>
      <c r="H3" s="25" t="s">
        <v>63</v>
      </c>
      <c r="I3" s="86" t="s">
        <v>64</v>
      </c>
      <c r="J3" s="84" t="s">
        <v>170</v>
      </c>
      <c r="K3" s="85" t="s">
        <v>171</v>
      </c>
      <c r="L3" s="48" t="s">
        <v>207</v>
      </c>
      <c r="M3" s="167" t="s">
        <v>195</v>
      </c>
      <c r="N3" s="167" t="s">
        <v>196</v>
      </c>
      <c r="O3" s="167" t="s">
        <v>197</v>
      </c>
      <c r="P3" s="167" t="s">
        <v>198</v>
      </c>
      <c r="Q3" s="167" t="s">
        <v>199</v>
      </c>
      <c r="R3" s="167" t="s">
        <v>182</v>
      </c>
      <c r="S3" s="167" t="s">
        <v>185</v>
      </c>
      <c r="T3" s="167" t="s">
        <v>186</v>
      </c>
      <c r="U3" s="167" t="s">
        <v>181</v>
      </c>
      <c r="V3" s="167" t="s">
        <v>187</v>
      </c>
      <c r="W3" s="48" t="s">
        <v>65</v>
      </c>
      <c r="X3" s="26" t="s">
        <v>2</v>
      </c>
      <c r="Y3" s="27" t="s">
        <v>3</v>
      </c>
      <c r="Z3" s="27" t="s">
        <v>14</v>
      </c>
      <c r="AA3" s="27" t="s">
        <v>15</v>
      </c>
      <c r="AB3" s="27" t="s">
        <v>17</v>
      </c>
      <c r="AC3" s="27" t="s">
        <v>18</v>
      </c>
      <c r="AD3" s="27" t="s">
        <v>39</v>
      </c>
      <c r="AE3" s="27" t="s">
        <v>40</v>
      </c>
      <c r="AF3" s="27" t="s">
        <v>22</v>
      </c>
      <c r="AG3" s="27" t="s">
        <v>23</v>
      </c>
      <c r="AH3" s="27" t="s">
        <v>172</v>
      </c>
      <c r="AI3" s="27" t="s">
        <v>173</v>
      </c>
      <c r="AJ3" s="27" t="s">
        <v>174</v>
      </c>
      <c r="AK3" s="27" t="s">
        <v>175</v>
      </c>
      <c r="AL3" s="27" t="s">
        <v>200</v>
      </c>
      <c r="AM3" s="27" t="s">
        <v>179</v>
      </c>
      <c r="AN3" s="27" t="s">
        <v>192</v>
      </c>
      <c r="AT3" s="74"/>
      <c r="AU3" s="184" t="s">
        <v>50</v>
      </c>
      <c r="AV3" s="185"/>
      <c r="AW3" s="185"/>
      <c r="AX3" s="185"/>
      <c r="AY3" s="186"/>
      <c r="AZ3" s="82"/>
      <c r="BA3" s="40"/>
      <c r="BB3" s="40"/>
      <c r="BC3" s="3" t="s">
        <v>0</v>
      </c>
      <c r="BD3" s="3" t="s">
        <v>13</v>
      </c>
      <c r="BE3" s="3" t="s">
        <v>9</v>
      </c>
      <c r="BF3" s="3" t="s">
        <v>7</v>
      </c>
      <c r="BG3" s="3" t="s">
        <v>10</v>
      </c>
      <c r="BH3" s="3" t="s">
        <v>11</v>
      </c>
      <c r="BI3" s="3" t="s">
        <v>19</v>
      </c>
      <c r="BJ3" s="3" t="s">
        <v>20</v>
      </c>
      <c r="BK3" s="41" t="s">
        <v>16</v>
      </c>
      <c r="BL3" s="3" t="s">
        <v>21</v>
      </c>
      <c r="BM3" s="39" t="s">
        <v>44</v>
      </c>
      <c r="BN3" s="3" t="s">
        <v>43</v>
      </c>
      <c r="BO3" s="4" t="s">
        <v>21</v>
      </c>
      <c r="BP3" s="4" t="s">
        <v>36</v>
      </c>
      <c r="BQ3" s="4" t="s">
        <v>38</v>
      </c>
      <c r="BR3" s="4" t="s">
        <v>37</v>
      </c>
      <c r="BS3" s="4" t="s">
        <v>161</v>
      </c>
      <c r="BT3" s="4" t="s">
        <v>162</v>
      </c>
      <c r="BU3" s="4" t="s">
        <v>163</v>
      </c>
      <c r="BV3" s="4" t="s">
        <v>167</v>
      </c>
      <c r="BW3" s="4" t="s">
        <v>169</v>
      </c>
      <c r="BX3" s="40" t="s">
        <v>41</v>
      </c>
      <c r="BY3" s="40" t="s">
        <v>42</v>
      </c>
      <c r="BZ3" s="40"/>
      <c r="CA3" s="40" t="s">
        <v>0</v>
      </c>
      <c r="CB3" s="40" t="s">
        <v>136</v>
      </c>
      <c r="CC3" s="40" t="s">
        <v>11</v>
      </c>
      <c r="CD3" s="40" t="s">
        <v>16</v>
      </c>
      <c r="CE3" s="40" t="s">
        <v>19</v>
      </c>
      <c r="CF3" s="40" t="s">
        <v>137</v>
      </c>
      <c r="CG3" s="40" t="s">
        <v>139</v>
      </c>
      <c r="CH3" s="40" t="s">
        <v>21</v>
      </c>
      <c r="CI3" s="40"/>
      <c r="CJ3" s="40"/>
      <c r="CK3" s="40"/>
      <c r="CL3" s="40"/>
      <c r="CM3" s="40"/>
      <c r="CN3" s="40"/>
      <c r="CO3" s="40"/>
      <c r="CP3" s="40"/>
      <c r="CQ3" s="40"/>
      <c r="CR3" s="40"/>
      <c r="CU3" s="40" t="s">
        <v>35</v>
      </c>
      <c r="CV3" s="55" t="s">
        <v>27</v>
      </c>
      <c r="CW3" s="55" t="s">
        <v>124</v>
      </c>
      <c r="CX3" s="55" t="s">
        <v>125</v>
      </c>
      <c r="CY3" s="55" t="s">
        <v>31</v>
      </c>
      <c r="CZ3" s="55" t="s">
        <v>28</v>
      </c>
      <c r="DA3" s="55" t="s">
        <v>33</v>
      </c>
      <c r="DB3" s="55" t="s">
        <v>126</v>
      </c>
      <c r="DC3" s="55" t="s">
        <v>127</v>
      </c>
      <c r="DD3" s="55" t="s">
        <v>128</v>
      </c>
      <c r="DE3" s="55" t="s">
        <v>25</v>
      </c>
      <c r="DF3" s="55" t="s">
        <v>34</v>
      </c>
      <c r="DG3" s="55" t="s">
        <v>24</v>
      </c>
      <c r="DH3" s="55" t="s">
        <v>32</v>
      </c>
      <c r="DI3" s="55" t="s">
        <v>8</v>
      </c>
      <c r="DJ3" s="55" t="s">
        <v>129</v>
      </c>
      <c r="DK3" s="55" t="s">
        <v>26</v>
      </c>
      <c r="DL3" s="55" t="s">
        <v>29</v>
      </c>
      <c r="DM3" s="55" t="s">
        <v>130</v>
      </c>
      <c r="DN3" s="55" t="s">
        <v>131</v>
      </c>
      <c r="DO3" s="55" t="s">
        <v>132</v>
      </c>
      <c r="DP3" s="55" t="s">
        <v>133</v>
      </c>
      <c r="DQ3" s="55" t="s">
        <v>134</v>
      </c>
      <c r="DR3" s="55" t="s">
        <v>30</v>
      </c>
      <c r="DS3" s="55" t="s">
        <v>135</v>
      </c>
      <c r="DT3" s="55"/>
      <c r="DU3" s="55"/>
      <c r="DV3" s="55"/>
      <c r="DW3" s="55"/>
      <c r="DX3" s="55"/>
      <c r="DY3" s="55"/>
      <c r="DZ3" s="55"/>
      <c r="EA3" s="55"/>
      <c r="EB3" s="40"/>
      <c r="EC3" s="40" t="s">
        <v>35</v>
      </c>
      <c r="ED3" s="55" t="s">
        <v>27</v>
      </c>
      <c r="EE3" s="55" t="s">
        <v>124</v>
      </c>
      <c r="EF3" s="55" t="s">
        <v>125</v>
      </c>
      <c r="EG3" s="55" t="s">
        <v>31</v>
      </c>
      <c r="EH3" s="55" t="s">
        <v>28</v>
      </c>
      <c r="EI3" s="55" t="s">
        <v>33</v>
      </c>
      <c r="EJ3" s="55" t="s">
        <v>126</v>
      </c>
      <c r="EK3" s="55" t="s">
        <v>127</v>
      </c>
      <c r="EL3" s="55" t="s">
        <v>128</v>
      </c>
      <c r="EM3" s="55" t="s">
        <v>25</v>
      </c>
      <c r="EN3" s="55" t="s">
        <v>34</v>
      </c>
      <c r="EO3" s="55" t="s">
        <v>24</v>
      </c>
      <c r="EP3" s="55" t="s">
        <v>32</v>
      </c>
      <c r="EQ3" s="55" t="s">
        <v>8</v>
      </c>
      <c r="ER3" s="55" t="s">
        <v>129</v>
      </c>
      <c r="ES3" s="55" t="s">
        <v>26</v>
      </c>
      <c r="ET3" s="55" t="s">
        <v>29</v>
      </c>
      <c r="EU3" s="55" t="s">
        <v>130</v>
      </c>
      <c r="EV3" s="55" t="s">
        <v>131</v>
      </c>
      <c r="EW3" s="55" t="s">
        <v>132</v>
      </c>
      <c r="EX3" s="55" t="s">
        <v>133</v>
      </c>
      <c r="EY3" s="55" t="s">
        <v>134</v>
      </c>
      <c r="EZ3" s="55" t="s">
        <v>30</v>
      </c>
      <c r="FA3" s="55" t="s">
        <v>135</v>
      </c>
      <c r="FB3" s="55"/>
      <c r="FC3" s="55"/>
      <c r="FD3" s="55"/>
      <c r="FE3" s="55"/>
      <c r="FF3" s="55"/>
      <c r="FG3" s="55"/>
      <c r="FH3" s="55"/>
      <c r="FI3" s="55"/>
      <c r="FJ3" s="40"/>
      <c r="FK3" s="40" t="s">
        <v>35</v>
      </c>
      <c r="FL3" s="55" t="s">
        <v>27</v>
      </c>
      <c r="FM3" s="55" t="s">
        <v>124</v>
      </c>
      <c r="FN3" s="55" t="s">
        <v>125</v>
      </c>
      <c r="FO3" s="55" t="s">
        <v>31</v>
      </c>
      <c r="FP3" s="55" t="s">
        <v>28</v>
      </c>
      <c r="FQ3" s="55" t="s">
        <v>33</v>
      </c>
      <c r="FR3" s="55" t="s">
        <v>126</v>
      </c>
      <c r="FS3" s="55" t="s">
        <v>127</v>
      </c>
      <c r="FT3" s="55" t="s">
        <v>128</v>
      </c>
      <c r="FU3" s="55" t="s">
        <v>25</v>
      </c>
      <c r="FV3" s="55" t="s">
        <v>34</v>
      </c>
      <c r="FW3" s="55" t="s">
        <v>24</v>
      </c>
      <c r="FX3" s="55" t="s">
        <v>32</v>
      </c>
      <c r="FY3" s="55" t="s">
        <v>8</v>
      </c>
      <c r="FZ3" s="55" t="s">
        <v>129</v>
      </c>
      <c r="GA3" s="55" t="s">
        <v>26</v>
      </c>
      <c r="GB3" s="55" t="s">
        <v>29</v>
      </c>
      <c r="GC3" s="55" t="s">
        <v>130</v>
      </c>
      <c r="GD3" s="55" t="s">
        <v>131</v>
      </c>
      <c r="GE3" s="55" t="s">
        <v>132</v>
      </c>
      <c r="GF3" s="55" t="s">
        <v>133</v>
      </c>
      <c r="GG3" s="55" t="s">
        <v>134</v>
      </c>
      <c r="GH3" s="55" t="s">
        <v>30</v>
      </c>
      <c r="GI3" s="55" t="s">
        <v>135</v>
      </c>
      <c r="GJ3" s="55"/>
      <c r="GK3" s="55"/>
      <c r="GL3" s="12"/>
      <c r="GM3" s="12"/>
      <c r="GN3" s="12"/>
      <c r="GO3" s="12"/>
      <c r="GP3" s="12"/>
      <c r="GQ3" s="12"/>
      <c r="GR3" s="82"/>
      <c r="GS3" s="154" t="s">
        <v>13</v>
      </c>
      <c r="GT3" s="155" t="s">
        <v>47</v>
      </c>
      <c r="GU3" s="82"/>
      <c r="GV3" s="52" t="s">
        <v>156</v>
      </c>
      <c r="GW3" s="82"/>
      <c r="GX3" s="82"/>
      <c r="GY3" s="82"/>
      <c r="GZ3" s="82"/>
      <c r="HC3" s="178" t="s">
        <v>142</v>
      </c>
      <c r="HD3" s="178"/>
      <c r="HE3" s="178"/>
      <c r="HF3" s="178"/>
      <c r="HG3" s="178"/>
      <c r="HH3" s="178"/>
      <c r="HI3" s="178"/>
      <c r="HJ3" s="43" t="s">
        <v>144</v>
      </c>
      <c r="HK3" s="43" t="s">
        <v>146</v>
      </c>
      <c r="HL3" s="43" t="s">
        <v>147</v>
      </c>
      <c r="HM3" s="43" t="s">
        <v>148</v>
      </c>
    </row>
    <row r="4" spans="1:221" s="11" customFormat="1" ht="30" customHeight="1" thickBot="1" x14ac:dyDescent="0.25">
      <c r="B4" s="113">
        <v>1</v>
      </c>
      <c r="C4" s="113" t="s">
        <v>1</v>
      </c>
      <c r="D4" s="114">
        <v>45457</v>
      </c>
      <c r="E4" s="113" t="s">
        <v>78</v>
      </c>
      <c r="F4" s="115">
        <v>0.875</v>
      </c>
      <c r="G4" s="116">
        <f>(D4+F4)+IF($A$7&gt;=0,TIMEVALUE($A$7&amp;":00"),-TIMEVALUE(ABS($A$7)&amp;":00"))</f>
        <v>45457.625</v>
      </c>
      <c r="H4" s="113" t="s">
        <v>89</v>
      </c>
      <c r="I4" s="117"/>
      <c r="J4" s="118"/>
      <c r="K4" s="118"/>
      <c r="L4" s="174">
        <f>IF(I4="",0,IFERROR(IF(SCORING.RULES!$C$8="No",1,((VLOOKUP($B4,ACTUALS!$B$4:$L$100,7,FALSE)=$H4)+(VLOOKUP($B4,ACTUALS!$B$4:$L$100,7,FALSE)=S4)))*(M4+N4+O4+P4+Q4),0))+$R4</f>
        <v>0</v>
      </c>
      <c r="M4" s="168">
        <f>IFERROR(IF($B4="","",IF(U4=INDEX(ACTUALS!$AA$4:$AA$100,MATCH($B4,ACTUALS!$B$4:$B$100,0),1),CorrectScore,0)),0)</f>
        <v>0</v>
      </c>
      <c r="N4" s="157" t="str">
        <f>IFERROR(IF(I4="","",IF(INDEX(ACTUALS!$AB$4:$AB$100,MATCH($B4,ACTUALS!$B$4:$B$100,0),1)=(AB4+AC4+AH4+AI4),CorrectNumberofGoals,0)),0)</f>
        <v/>
      </c>
      <c r="O4" s="157"/>
      <c r="P4" s="157">
        <f>IFERROR(IF(B4="","",IF(INDEX(ACTUALS!$L$4:$L$100,MATCH($B4,ACTUALS!$B$4:$B$100,0),1)=W4,CorrectResult,0)),0)</f>
        <v>3</v>
      </c>
      <c r="Q4" s="157"/>
      <c r="R4" s="157"/>
      <c r="S4" s="157" t="str">
        <f t="shared" ref="S4:S39" si="0">IF(OR($H4="",$B4&lt;37),"",RIGHT($H4,LEN($H4)-FIND("-",$H4,1)-1)&amp;" - "&amp;LEFT($H4,FIND("-",$H4,1)-2))</f>
        <v/>
      </c>
      <c r="T4" s="157"/>
      <c r="U4" s="157" t="str">
        <f t="shared" ref="U4:U39" si="1">IF($I4="","",IF($T4="Y",AC4+AI4&amp;":"&amp;AB4+AH4,AB4+AH4&amp;":"&amp;AC4+AI4))</f>
        <v/>
      </c>
      <c r="V4" s="157" t="str">
        <f t="shared" ref="V4:V39" si="2">IF($K4="","",IF($T4="Y",$AK4&amp;":"&amp;$AJ4,$AJ4&amp;":"&amp;$AK4))</f>
        <v/>
      </c>
      <c r="W4" s="119" t="str">
        <f>IF(tblActuals354151923[[#This Row],[SCORE]]="","",IF(AB4=AC4,"Draw",IF(AB4&gt;AC4,X4,Y4)))</f>
        <v/>
      </c>
      <c r="X4" s="120" t="str">
        <f>IF(tblActuals354151923[[#This Row],[TEAMS]]="","",LEFT(H4,FIND(" -",H4,1)-1))</f>
        <v>Germany</v>
      </c>
      <c r="Y4" s="120" t="str">
        <f>IF(tblActuals354151923[[#This Row],[TEAMS]]="","",MID(H4,FIND("-",H4,1)+2,LEN(H4)-FIND("-",H4,1)+2))</f>
        <v>Scotland</v>
      </c>
      <c r="Z4" s="120" t="str">
        <f>IF(tblActuals354151923[[#This Row],[Team 1 Goals]]&gt;tblActuals354151923[[#This Row],[Team 2 Goals]],tblActuals354151923[[#This Row],[Team 1]],IF(tblActuals354151923[[#This Row],[Team 2 Goals]]&gt;tblActuals354151923[[#This Row],[Team 1 Goals]],tblActuals354151923[[#This Row],[Team 2]],""))</f>
        <v/>
      </c>
      <c r="AA4" s="120" t="str">
        <f>IF(tblActuals354151923[[#This Row],[Winner]]=tblActuals354151923[[#This Row],[Team 1]],tblActuals354151923[[#This Row],[Team 2]],IF(tblActuals354151923[[#This Row],[Winner]]=tblActuals354151923[[#This Row],[Team 2]],tblActuals354151923[[#This Row],[Team 1]],""))</f>
        <v/>
      </c>
      <c r="AB4" s="120" t="str">
        <f>IF(tblActuals354151923[[#This Row],[SCORE]]="","",LEFT(I4,FIND(":",I4,1)-1)*1)</f>
        <v/>
      </c>
      <c r="AC4" s="120" t="str">
        <f>IF(tblActuals354151923[[#This Row],[SCORE]]="","",MID(I4,FIND(":",I4,1)+1,LEN(I4)-FIND(":",I4,1)+1)*1)</f>
        <v/>
      </c>
      <c r="AD4" s="120" t="str">
        <f>IF(OR(tblActuals354151923[[#This Row],[Team 1 Goals]]="",tblActuals354151923[[#This Row],[Team 2 Goals]]=""),"",tblActuals354151923[[#This Row],[Team 1 Goals]]-tblActuals354151923[[#This Row],[Team 2 Goals]])</f>
        <v/>
      </c>
      <c r="AE4" s="120" t="str">
        <f>IF(OR(tblActuals354151923[[#This Row],[Team 1 Goals]]="",tblActuals354151923[[#This Row],[Team 2 Goals]]=""),"",tblActuals354151923[[#This Row],[Team 2 Goals]]-tblActuals354151923[[#This Row],[Team 1 Goals]])</f>
        <v/>
      </c>
      <c r="AF4" s="120" t="str">
        <f>IF(tblActuals354151923[[#This Row],[SCORE]]="","",IF(tblActuals354151923[[#This Row],[WINNER / RESULT]]="Draw",1,IF(tblActuals354151923[[#This Row],[WINNER / RESULT]]=tblActuals354151923[[#This Row],[Team 1]],3,0)))</f>
        <v/>
      </c>
      <c r="AG4" s="120" t="str">
        <f>IF(tblActuals354151923[[#This Row],[SCORE]]="","",IF(tblActuals354151923[[#This Row],[WINNER / RESULT]]="Draw",1,IF(tblActuals354151923[[#This Row],[WINNER / RESULT]]=tblActuals354151923[[#This Row],[Team 2]],3,0)))</f>
        <v/>
      </c>
      <c r="AH4" s="121"/>
      <c r="AI4" s="121"/>
      <c r="AJ4" s="121"/>
      <c r="AK4" s="121"/>
      <c r="AL4" s="120" t="e">
        <f>tblActuals354151923[[#This Row],[Team 1 Goals]]+tblActuals354151923[[#This Row],[Team 1 ET Goals]]&amp;":"&amp;tblActuals354151923[[#This Row],[Team 2 Goals]]+tblActuals354151923[[#This Row],[Team 2 ET Goals]]</f>
        <v>#VALUE!</v>
      </c>
      <c r="AM4" s="120" t="e">
        <f>+tblActuals354151923[[#This Row],[Team 1 Goals]]+tblActuals354151923[[#This Row],[Team 2 Goals]]</f>
        <v>#VALUE!</v>
      </c>
      <c r="AN4" s="161">
        <f t="shared" ref="AN4:AN35" si="3">DATE(YEAR(G4),MONTH(G4),DAY(G4))</f>
        <v>45457</v>
      </c>
      <c r="AP4" s="3" t="s">
        <v>4</v>
      </c>
      <c r="AR4" s="10"/>
      <c r="AT4" s="75"/>
      <c r="AU4" s="75"/>
      <c r="AV4" s="75"/>
      <c r="AW4" s="75"/>
      <c r="AX4" s="75"/>
      <c r="AY4" s="75"/>
      <c r="AZ4" s="75"/>
      <c r="BA4" s="42"/>
      <c r="BB4" s="4"/>
      <c r="BC4" s="4" t="s">
        <v>1</v>
      </c>
      <c r="BD4" s="4" t="s">
        <v>27</v>
      </c>
      <c r="BE4" s="4">
        <f>COUNTIF(tblActuals354151923[Winner],BD4)</f>
        <v>0</v>
      </c>
      <c r="BF4" s="4">
        <f>COUNTIFS(tblActuals354151923[Team 2],BD4,tblActuals354151923[WINNER / RESULT],"Draw")+COUNTIFS(tblActuals354151923[Team 1],BD4,tblActuals354151923[WINNER / RESULT],"Draw")</f>
        <v>0</v>
      </c>
      <c r="BG4" s="4">
        <f>COUNTIF(tblActuals354151923[Loser],BD4)</f>
        <v>0</v>
      </c>
      <c r="BH4" s="4">
        <f>BF4+(3*BE4)</f>
        <v>0</v>
      </c>
      <c r="BI4" s="4">
        <f>SUMIFS(tblActuals354151923[Team 1 Goals],tblActuals354151923[Team 1],BD4)+SUMIFS(tblActuals354151923[Team 2 Goals],tblActuals354151923[Team 2],BD4)</f>
        <v>0</v>
      </c>
      <c r="BJ4" s="4">
        <f>SUMIFS(tblActuals354151923[Team 2 Goals],tblActuals354151923[Team 1],BD4)+SUMIFS(tblActuals354151923[Team 1 Goals],tblActuals354151923[Team 2],BD4)</f>
        <v>0</v>
      </c>
      <c r="BK4" s="4">
        <f>BI4-BJ4</f>
        <v>0</v>
      </c>
      <c r="BL4" s="4">
        <f ca="1">RANK(BY4,$BY$4:$BY$7,1)</f>
        <v>1</v>
      </c>
      <c r="BM4" s="4" t="str">
        <f t="shared" ref="BM4:BM32" si="4">IFERROR(VLOOKUP(BD4,GS:GT,2,FALSE),"")</f>
        <v/>
      </c>
      <c r="BN4" s="4" t="str">
        <f ca="1">IF(BM4="",BL4&amp;BC4,BM4&amp;BC4)</f>
        <v>1A</v>
      </c>
      <c r="BO4" s="4">
        <f>RANK(BH4,$BH$4:$BH$7,0)</f>
        <v>1</v>
      </c>
      <c r="BP4" s="4" cm="1">
        <f t="array" aca="1" ref="BP4" ca="1">SUMPRODUCT((OFFSET($CV$3:$EA$3,MATCH($BD4,$CU$4:$CU$35,0),0))*((IF($BO6=$BO4,$CV$3:$EA$3=$BD6,0))+(IF($BO7=$BO4,$CV$3:$EA$3=$BD7,0))+(IF($BO5=$BO4,$CV$3:$EA$3=$BD5,0))))</f>
        <v>0</v>
      </c>
      <c r="BQ4" s="4" cm="1">
        <f t="array" aca="1" ref="BQ4" ca="1">SUMPRODUCT((OFFSET($ED$3:$FI$3,MATCH($BD4,$EC$4:$EC$35,0),0))*((IF($BO6=$BO4,$ED$3:$FI$3=$BD6,0))+(IF($BO7=$BO4,$ED$3:$FI$3=$BD7,0))+(IF($BO5=$BO4,$ED$3:$FI$3=$BD5,0))))</f>
        <v>0</v>
      </c>
      <c r="BR4" s="4" cm="1">
        <f t="array" aca="1" ref="BR4" ca="1">SUMPRODUCT((OFFSET($FL$3:$GQ$3,MATCH($BD4,$FK$4:$FK$35,0),0))*((IF($BO6=$BO4,$FL$3:$GQ$3=$BD6,0))+(IF($BO7=$BO4,$FL$3:$GQ$3=$BD7,0))+(IF($BO5=$BO4,$FL$3:$GQ$3=$BD5,0))))</f>
        <v>0</v>
      </c>
      <c r="BS4" s="4" cm="1">
        <f t="array" aca="1" ref="BS4" ca="1">SUMPRODUCT((OFFSET($CV$3:$EA$3,MATCH($BD4,$CU$4:$CU$35,0),0))*((IF($BO6&lt;&gt;$BO4,$CV$3:$EA$3=$BD6,0))+(IF($BO7&lt;&gt;$BO4,$CV$3:$EA$3=$BD7,0))+(IF($BO5&lt;&gt;$BO4,$CV$3:$EA$3=$BD5,0))))</f>
        <v>0</v>
      </c>
      <c r="BT4" s="4" cm="1">
        <f t="array" aca="1" ref="BT4" ca="1">SUMPRODUCT((OFFSET($ED$3:$FI$3,MATCH($BD4,$EC$4:$EC$35,0),0))*((IF($BO6&lt;&gt;$BO4,$ED$3:$FI$3=$BD6,0))+(IF($BO7&lt;&gt;$BO4,$ED$3:$FI$3=$BD7,0))+(IF($BO5&lt;&gt;$BO4,$ED$3:$FI$3=$BD5,0))))</f>
        <v>0</v>
      </c>
      <c r="BU4" s="4" cm="1">
        <f t="array" aca="1" ref="BU4" ca="1">SUMPRODUCT((OFFSET($FL$3:$GQ$3,MATCH($BD4,$FK$4:$FK$35,0),0))*((IF($BO6&lt;&gt;$BO4,$FL$3:$GQ$3=$BD6,0))+(IF($BO7&lt;&gt;$BO4,$FL$3:$GQ$3=$BD7,0))+(IF($BO5&lt;&gt;$BO4,$FL$3:$GQ$3=$BD5,0))))</f>
        <v>0</v>
      </c>
      <c r="BV4" s="4">
        <f>BK4</f>
        <v>0</v>
      </c>
      <c r="BW4" s="4">
        <f>BI4</f>
        <v>0</v>
      </c>
      <c r="BX4" s="4">
        <f ca="1">(BP4/10)+(BQ4/100)+(BR4/1000)+(BT4/10000)+(BU4/100000)+(BV4/1000000)+(BW4/10000000)+(ROW(BS7)/100000000)</f>
        <v>7.0000000000000005E-8</v>
      </c>
      <c r="BY4" s="4">
        <f ca="1">+BO4-BX4</f>
        <v>0.99999992999999998</v>
      </c>
      <c r="BZ4" s="4"/>
      <c r="CA4" s="4" t="s">
        <v>1</v>
      </c>
      <c r="CB4" s="4" t="str">
        <f ca="1">AV8</f>
        <v>Scotland</v>
      </c>
      <c r="CC4" s="4">
        <f t="shared" ref="CC4:CC9" ca="1" si="5">SUMIF(BD:BD,CB4,BH:BH)</f>
        <v>0</v>
      </c>
      <c r="CD4" s="4">
        <f t="shared" ref="CD4:CD9" ca="1" si="6">SUMIF(BD:BD,CB4,BK:BK)</f>
        <v>0</v>
      </c>
      <c r="CE4" s="4">
        <f t="shared" ref="CE4:CE9" ca="1" si="7">SUMIF(BD:BD,CB4,BI:BI)</f>
        <v>0</v>
      </c>
      <c r="CF4" s="4">
        <f t="shared" ref="CF4:CF9" ca="1" si="8">SUMIF(BD:BD,CB4,BE:BE)</f>
        <v>0</v>
      </c>
      <c r="CG4" s="4">
        <f t="shared" ref="CG4:CG9" ca="1" si="9">(CC4/1000)+(CD4/10000)+(CE4/100000)+(ROW(CF4)/10000000)</f>
        <v>3.9999999999999998E-7</v>
      </c>
      <c r="CH4" s="4">
        <f t="shared" ref="CH4:CH9" ca="1" si="10">RANK(CG4,$CG$4:$CG$9)</f>
        <v>6</v>
      </c>
      <c r="CI4" s="4"/>
      <c r="CJ4" s="4"/>
      <c r="CK4" s="4"/>
      <c r="CL4" s="4"/>
      <c r="CM4" s="4"/>
      <c r="CN4" s="4"/>
      <c r="CO4" s="4"/>
      <c r="CP4" s="4"/>
      <c r="CQ4" s="4"/>
      <c r="CR4" s="4"/>
      <c r="CU4" s="4" t="s">
        <v>27</v>
      </c>
      <c r="CV4" s="56">
        <f>SUMIFS(tblActuals354151923[Team 2 Points],tblActuals354151923[Team 2],$CU4,tblActuals354151923[Team 1],CV$3)+SUMIFS(tblActuals354151923[Team 1 Points],tblActuals354151923[Team 1],$CU4,tblActuals354151923[Team 2],CV$3)</f>
        <v>0</v>
      </c>
      <c r="CW4" s="56">
        <f>SUMIFS(tblActuals354151923[Team 2 Points],tblActuals354151923[Team 2],$CU4,tblActuals354151923[Team 1],CW$3)+SUMIFS(tblActuals354151923[Team 1 Points],tblActuals354151923[Team 1],$CU4,tblActuals354151923[Team 2],CW$3)</f>
        <v>0</v>
      </c>
      <c r="CX4" s="56">
        <f>SUMIFS(tblActuals354151923[Team 2 Points],tblActuals354151923[Team 2],$CU4,tblActuals354151923[Team 1],CX$3)+SUMIFS(tblActuals354151923[Team 1 Points],tblActuals354151923[Team 1],$CU4,tblActuals354151923[Team 2],CX$3)</f>
        <v>0</v>
      </c>
      <c r="CY4" s="56">
        <f>SUMIFS(tblActuals354151923[Team 2 Points],tblActuals354151923[Team 2],$CU4,tblActuals354151923[Team 1],CY$3)+SUMIFS(tblActuals354151923[Team 1 Points],tblActuals354151923[Team 1],$CU4,tblActuals354151923[Team 2],CY$3)</f>
        <v>0</v>
      </c>
      <c r="CZ4" s="56">
        <f>SUMIFS(tblActuals354151923[Team 2 Points],tblActuals354151923[Team 2],$CU4,tblActuals354151923[Team 1],CZ$3)+SUMIFS(tblActuals354151923[Team 1 Points],tblActuals354151923[Team 1],$CU4,tblActuals354151923[Team 2],CZ$3)</f>
        <v>0</v>
      </c>
      <c r="DA4" s="56">
        <f>SUMIFS(tblActuals354151923[Team 2 Points],tblActuals354151923[Team 2],$CU4,tblActuals354151923[Team 1],DA$3)+SUMIFS(tblActuals354151923[Team 1 Points],tblActuals354151923[Team 1],$CU4,tblActuals354151923[Team 2],DA$3)</f>
        <v>0</v>
      </c>
      <c r="DB4" s="56">
        <f>SUMIFS(tblActuals354151923[Team 2 Points],tblActuals354151923[Team 2],$CU4,tblActuals354151923[Team 1],DB$3)+SUMIFS(tblActuals354151923[Team 1 Points],tblActuals354151923[Team 1],$CU4,tblActuals354151923[Team 2],DB$3)</f>
        <v>0</v>
      </c>
      <c r="DC4" s="56">
        <f>SUMIFS(tblActuals354151923[Team 2 Points],tblActuals354151923[Team 2],$CU4,tblActuals354151923[Team 1],DC$3)+SUMIFS(tblActuals354151923[Team 1 Points],tblActuals354151923[Team 1],$CU4,tblActuals354151923[Team 2],DC$3)</f>
        <v>0</v>
      </c>
      <c r="DD4" s="56">
        <f>SUMIFS(tblActuals354151923[Team 2 Points],tblActuals354151923[Team 2],$CU4,tblActuals354151923[Team 1],DD$3)+SUMIFS(tblActuals354151923[Team 1 Points],tblActuals354151923[Team 1],$CU4,tblActuals354151923[Team 2],DD$3)</f>
        <v>0</v>
      </c>
      <c r="DE4" s="56">
        <f>SUMIFS(tblActuals354151923[Team 2 Points],tblActuals354151923[Team 2],$CU4,tblActuals354151923[Team 1],DE$3)+SUMIFS(tblActuals354151923[Team 1 Points],tblActuals354151923[Team 1],$CU4,tblActuals354151923[Team 2],DE$3)</f>
        <v>0</v>
      </c>
      <c r="DF4" s="56">
        <f>SUMIFS(tblActuals354151923[Team 2 Points],tblActuals354151923[Team 2],$CU4,tblActuals354151923[Team 1],DF$3)+SUMIFS(tblActuals354151923[Team 1 Points],tblActuals354151923[Team 1],$CU4,tblActuals354151923[Team 2],DF$3)</f>
        <v>0</v>
      </c>
      <c r="DG4" s="56">
        <f>SUMIFS(tblActuals354151923[Team 2 Points],tblActuals354151923[Team 2],$CU4,tblActuals354151923[Team 1],DG$3)+SUMIFS(tblActuals354151923[Team 1 Points],tblActuals354151923[Team 1],$CU4,tblActuals354151923[Team 2],DG$3)</f>
        <v>0</v>
      </c>
      <c r="DH4" s="56">
        <f>SUMIFS(tblActuals354151923[Team 2 Points],tblActuals354151923[Team 2],$CU4,tblActuals354151923[Team 1],DH$3)+SUMIFS(tblActuals354151923[Team 1 Points],tblActuals354151923[Team 1],$CU4,tblActuals354151923[Team 2],DH$3)</f>
        <v>0</v>
      </c>
      <c r="DI4" s="56">
        <f>SUMIFS(tblActuals354151923[Team 2 Points],tblActuals354151923[Team 2],$CU4,tblActuals354151923[Team 1],DI$3)+SUMIFS(tblActuals354151923[Team 1 Points],tblActuals354151923[Team 1],$CU4,tblActuals354151923[Team 2],DI$3)</f>
        <v>0</v>
      </c>
      <c r="DJ4" s="56">
        <f>SUMIFS(tblActuals354151923[Team 2 Points],tblActuals354151923[Team 2],$CU4,tblActuals354151923[Team 1],DJ$3)+SUMIFS(tblActuals354151923[Team 1 Points],tblActuals354151923[Team 1],$CU4,tblActuals354151923[Team 2],DJ$3)</f>
        <v>0</v>
      </c>
      <c r="DK4" s="56">
        <f>SUMIFS(tblActuals354151923[Team 2 Points],tblActuals354151923[Team 2],$CU4,tblActuals354151923[Team 1],DK$3)+SUMIFS(tblActuals354151923[Team 1 Points],tblActuals354151923[Team 1],$CU4,tblActuals354151923[Team 2],DK$3)</f>
        <v>0</v>
      </c>
      <c r="DL4" s="56">
        <f>SUMIFS(tblActuals354151923[Team 2 Points],tblActuals354151923[Team 2],$CU4,tblActuals354151923[Team 1],DL$3)+SUMIFS(tblActuals354151923[Team 1 Points],tblActuals354151923[Team 1],$CU4,tblActuals354151923[Team 2],DL$3)</f>
        <v>0</v>
      </c>
      <c r="DM4" s="56">
        <f>SUMIFS(tblActuals354151923[Team 2 Points],tblActuals354151923[Team 2],$CU4,tblActuals354151923[Team 1],DM$3)+SUMIFS(tblActuals354151923[Team 1 Points],tblActuals354151923[Team 1],$CU4,tblActuals354151923[Team 2],DM$3)</f>
        <v>0</v>
      </c>
      <c r="DN4" s="56">
        <f>SUMIFS(tblActuals354151923[Team 2 Points],tblActuals354151923[Team 2],$CU4,tblActuals354151923[Team 1],DN$3)+SUMIFS(tblActuals354151923[Team 1 Points],tblActuals354151923[Team 1],$CU4,tblActuals354151923[Team 2],DN$3)</f>
        <v>0</v>
      </c>
      <c r="DO4" s="56">
        <f>SUMIFS(tblActuals354151923[Team 2 Points],tblActuals354151923[Team 2],$CU4,tblActuals354151923[Team 1],DO$3)+SUMIFS(tblActuals354151923[Team 1 Points],tblActuals354151923[Team 1],$CU4,tblActuals354151923[Team 2],DO$3)</f>
        <v>0</v>
      </c>
      <c r="DP4" s="56">
        <f>SUMIFS(tblActuals354151923[Team 2 Points],tblActuals354151923[Team 2],$CU4,tblActuals354151923[Team 1],DP$3)+SUMIFS(tblActuals354151923[Team 1 Points],tblActuals354151923[Team 1],$CU4,tblActuals354151923[Team 2],DP$3)</f>
        <v>0</v>
      </c>
      <c r="DQ4" s="56">
        <f>SUMIFS(tblActuals354151923[Team 2 Points],tblActuals354151923[Team 2],$CU4,tblActuals354151923[Team 1],DQ$3)+SUMIFS(tblActuals354151923[Team 1 Points],tblActuals354151923[Team 1],$CU4,tblActuals354151923[Team 2],DQ$3)</f>
        <v>0</v>
      </c>
      <c r="DR4" s="56">
        <f>SUMIFS(tblActuals354151923[Team 2 Points],tblActuals354151923[Team 2],$CU4,tblActuals354151923[Team 1],DR$3)+SUMIFS(tblActuals354151923[Team 1 Points],tblActuals354151923[Team 1],$CU4,tblActuals354151923[Team 2],DR$3)</f>
        <v>0</v>
      </c>
      <c r="DS4" s="56">
        <f>SUMIFS(tblActuals354151923[Team 2 Points],tblActuals354151923[Team 2],$CU4,tblActuals354151923[Team 1],DS$3)+SUMIFS(tblActuals354151923[Team 1 Points],tblActuals354151923[Team 1],$CU4,tblActuals354151923[Team 2],DS$3)</f>
        <v>0</v>
      </c>
      <c r="DT4" s="57"/>
      <c r="DU4" s="57"/>
      <c r="DV4" s="57"/>
      <c r="DW4" s="57"/>
      <c r="DX4" s="57"/>
      <c r="DY4" s="57"/>
      <c r="DZ4" s="57"/>
      <c r="EA4" s="57"/>
      <c r="EB4" s="4"/>
      <c r="EC4" s="4" t="s">
        <v>27</v>
      </c>
      <c r="ED4" s="56">
        <f>SUMIFS(tblActuals354151923[Team 2 GD],tblActuals354151923[Team 2],$CU4,tblActuals354151923[Team 1],ED$3)+SUMIFS(tblActuals354151923[Team 1 GD],tblActuals354151923[Team 1],$CU4,tblActuals354151923[Team 2],ED$3)</f>
        <v>0</v>
      </c>
      <c r="EE4" s="56">
        <f>SUMIFS(tblActuals354151923[Team 2 GD],tblActuals354151923[Team 2],$CU4,tblActuals354151923[Team 1],EE$3)+SUMIFS(tblActuals354151923[Team 1 GD],tblActuals354151923[Team 1],$CU4,tblActuals354151923[Team 2],EE$3)</f>
        <v>0</v>
      </c>
      <c r="EF4" s="56">
        <f>SUMIFS(tblActuals354151923[Team 2 GD],tblActuals354151923[Team 2],$CU4,tblActuals354151923[Team 1],EF$3)+SUMIFS(tblActuals354151923[Team 1 GD],tblActuals354151923[Team 1],$CU4,tblActuals354151923[Team 2],EF$3)</f>
        <v>0</v>
      </c>
      <c r="EG4" s="56">
        <f>SUMIFS(tblActuals354151923[Team 2 GD],tblActuals354151923[Team 2],$CU4,tblActuals354151923[Team 1],EG$3)+SUMIFS(tblActuals354151923[Team 1 GD],tblActuals354151923[Team 1],$CU4,tblActuals354151923[Team 2],EG$3)</f>
        <v>0</v>
      </c>
      <c r="EH4" s="56">
        <f>SUMIFS(tblActuals354151923[Team 2 GD],tblActuals354151923[Team 2],$CU4,tblActuals354151923[Team 1],EH$3)+SUMIFS(tblActuals354151923[Team 1 GD],tblActuals354151923[Team 1],$CU4,tblActuals354151923[Team 2],EH$3)</f>
        <v>0</v>
      </c>
      <c r="EI4" s="56">
        <f>SUMIFS(tblActuals354151923[Team 2 GD],tblActuals354151923[Team 2],$CU4,tblActuals354151923[Team 1],EI$3)+SUMIFS(tblActuals354151923[Team 1 GD],tblActuals354151923[Team 1],$CU4,tblActuals354151923[Team 2],EI$3)</f>
        <v>0</v>
      </c>
      <c r="EJ4" s="56">
        <f>SUMIFS(tblActuals354151923[Team 2 GD],tblActuals354151923[Team 2],$CU4,tblActuals354151923[Team 1],EJ$3)+SUMIFS(tblActuals354151923[Team 1 GD],tblActuals354151923[Team 1],$CU4,tblActuals354151923[Team 2],EJ$3)</f>
        <v>0</v>
      </c>
      <c r="EK4" s="56">
        <f>SUMIFS(tblActuals354151923[Team 2 GD],tblActuals354151923[Team 2],$CU4,tblActuals354151923[Team 1],EK$3)+SUMIFS(tblActuals354151923[Team 1 GD],tblActuals354151923[Team 1],$CU4,tblActuals354151923[Team 2],EK$3)</f>
        <v>0</v>
      </c>
      <c r="EL4" s="56">
        <f>SUMIFS(tblActuals354151923[Team 2 GD],tblActuals354151923[Team 2],$CU4,tblActuals354151923[Team 1],EL$3)+SUMIFS(tblActuals354151923[Team 1 GD],tblActuals354151923[Team 1],$CU4,tblActuals354151923[Team 2],EL$3)</f>
        <v>0</v>
      </c>
      <c r="EM4" s="56">
        <f>SUMIFS(tblActuals354151923[Team 2 GD],tblActuals354151923[Team 2],$CU4,tblActuals354151923[Team 1],EM$3)+SUMIFS(tblActuals354151923[Team 1 GD],tblActuals354151923[Team 1],$CU4,tblActuals354151923[Team 2],EM$3)</f>
        <v>0</v>
      </c>
      <c r="EN4" s="56">
        <f>SUMIFS(tblActuals354151923[Team 2 GD],tblActuals354151923[Team 2],$CU4,tblActuals354151923[Team 1],EN$3)+SUMIFS(tblActuals354151923[Team 1 GD],tblActuals354151923[Team 1],$CU4,tblActuals354151923[Team 2],EN$3)</f>
        <v>0</v>
      </c>
      <c r="EO4" s="56">
        <f>SUMIFS(tblActuals354151923[Team 2 GD],tblActuals354151923[Team 2],$CU4,tblActuals354151923[Team 1],EO$3)+SUMIFS(tblActuals354151923[Team 1 GD],tblActuals354151923[Team 1],$CU4,tblActuals354151923[Team 2],EO$3)</f>
        <v>0</v>
      </c>
      <c r="EP4" s="56">
        <f>SUMIFS(tblActuals354151923[Team 2 GD],tblActuals354151923[Team 2],$CU4,tblActuals354151923[Team 1],EP$3)+SUMIFS(tblActuals354151923[Team 1 GD],tblActuals354151923[Team 1],$CU4,tblActuals354151923[Team 2],EP$3)</f>
        <v>0</v>
      </c>
      <c r="EQ4" s="56">
        <f>SUMIFS(tblActuals354151923[Team 2 GD],tblActuals354151923[Team 2],$CU4,tblActuals354151923[Team 1],EQ$3)+SUMIFS(tblActuals354151923[Team 1 GD],tblActuals354151923[Team 1],$CU4,tblActuals354151923[Team 2],EQ$3)</f>
        <v>0</v>
      </c>
      <c r="ER4" s="56">
        <f>SUMIFS(tblActuals354151923[Team 2 GD],tblActuals354151923[Team 2],$CU4,tblActuals354151923[Team 1],ER$3)+SUMIFS(tblActuals354151923[Team 1 GD],tblActuals354151923[Team 1],$CU4,tblActuals354151923[Team 2],ER$3)</f>
        <v>0</v>
      </c>
      <c r="ES4" s="56">
        <f>SUMIFS(tblActuals354151923[Team 2 GD],tblActuals354151923[Team 2],$CU4,tblActuals354151923[Team 1],ES$3)+SUMIFS(tblActuals354151923[Team 1 GD],tblActuals354151923[Team 1],$CU4,tblActuals354151923[Team 2],ES$3)</f>
        <v>0</v>
      </c>
      <c r="ET4" s="56">
        <f>SUMIFS(tblActuals354151923[Team 2 GD],tblActuals354151923[Team 2],$CU4,tblActuals354151923[Team 1],ET$3)+SUMIFS(tblActuals354151923[Team 1 GD],tblActuals354151923[Team 1],$CU4,tblActuals354151923[Team 2],ET$3)</f>
        <v>0</v>
      </c>
      <c r="EU4" s="56">
        <f>SUMIFS(tblActuals354151923[Team 2 GD],tblActuals354151923[Team 2],$CU4,tblActuals354151923[Team 1],EU$3)+SUMIFS(tblActuals354151923[Team 1 GD],tblActuals354151923[Team 1],$CU4,tblActuals354151923[Team 2],EU$3)</f>
        <v>0</v>
      </c>
      <c r="EV4" s="56">
        <f>SUMIFS(tblActuals354151923[Team 2 GD],tblActuals354151923[Team 2],$CU4,tblActuals354151923[Team 1],EV$3)+SUMIFS(tblActuals354151923[Team 1 GD],tblActuals354151923[Team 1],$CU4,tblActuals354151923[Team 2],EV$3)</f>
        <v>0</v>
      </c>
      <c r="EW4" s="56">
        <f>SUMIFS(tblActuals354151923[Team 2 GD],tblActuals354151923[Team 2],$CU4,tblActuals354151923[Team 1],EW$3)+SUMIFS(tblActuals354151923[Team 1 GD],tblActuals354151923[Team 1],$CU4,tblActuals354151923[Team 2],EW$3)</f>
        <v>0</v>
      </c>
      <c r="EX4" s="56">
        <f>SUMIFS(tblActuals354151923[Team 2 GD],tblActuals354151923[Team 2],$CU4,tblActuals354151923[Team 1],EX$3)+SUMIFS(tblActuals354151923[Team 1 GD],tblActuals354151923[Team 1],$CU4,tblActuals354151923[Team 2],EX$3)</f>
        <v>0</v>
      </c>
      <c r="EY4" s="56">
        <f>SUMIFS(tblActuals354151923[Team 2 GD],tblActuals354151923[Team 2],$CU4,tblActuals354151923[Team 1],EY$3)+SUMIFS(tblActuals354151923[Team 1 GD],tblActuals354151923[Team 1],$CU4,tblActuals354151923[Team 2],EY$3)</f>
        <v>0</v>
      </c>
      <c r="EZ4" s="56">
        <f>SUMIFS(tblActuals354151923[Team 2 GD],tblActuals354151923[Team 2],$CU4,tblActuals354151923[Team 1],EZ$3)+SUMIFS(tblActuals354151923[Team 1 GD],tblActuals354151923[Team 1],$CU4,tblActuals354151923[Team 2],EZ$3)</f>
        <v>0</v>
      </c>
      <c r="FA4" s="56">
        <f>SUMIFS(tblActuals354151923[Team 2 GD],tblActuals354151923[Team 2],$CU4,tblActuals354151923[Team 1],FA$3)+SUMIFS(tblActuals354151923[Team 1 GD],tblActuals354151923[Team 1],$CU4,tblActuals354151923[Team 2],FA$3)</f>
        <v>0</v>
      </c>
      <c r="FB4" s="57"/>
      <c r="FC4" s="57"/>
      <c r="FD4" s="57"/>
      <c r="FE4" s="57"/>
      <c r="FF4" s="57"/>
      <c r="FG4" s="57"/>
      <c r="FH4" s="57"/>
      <c r="FI4" s="57"/>
      <c r="FJ4" s="4"/>
      <c r="FK4" s="4" t="s">
        <v>27</v>
      </c>
      <c r="FL4" s="56">
        <f>SUMIFS(tblActuals354151923[Team 2 Goals],tblActuals354151923[Team 2],$CU4,tblActuals354151923[Team 1],FL$3)+SUMIFS(tblActuals354151923[Team 1 Goals],tblActuals354151923[Team 1],$CU4,tblActuals354151923[Team 2],FL$3)</f>
        <v>0</v>
      </c>
      <c r="FM4" s="56">
        <f>SUMIFS(tblActuals354151923[Team 2 Goals],tblActuals354151923[Team 2],$CU4,tblActuals354151923[Team 1],FM$3)+SUMIFS(tblActuals354151923[Team 1 Goals],tblActuals354151923[Team 1],$CU4,tblActuals354151923[Team 2],FM$3)</f>
        <v>0</v>
      </c>
      <c r="FN4" s="56">
        <f>SUMIFS(tblActuals354151923[Team 2 Goals],tblActuals354151923[Team 2],$CU4,tblActuals354151923[Team 1],FN$3)+SUMIFS(tblActuals354151923[Team 1 Goals],tblActuals354151923[Team 1],$CU4,tblActuals354151923[Team 2],FN$3)</f>
        <v>0</v>
      </c>
      <c r="FO4" s="56">
        <f>SUMIFS(tblActuals354151923[Team 2 Goals],tblActuals354151923[Team 2],$CU4,tblActuals354151923[Team 1],FO$3)+SUMIFS(tblActuals354151923[Team 1 Goals],tblActuals354151923[Team 1],$CU4,tblActuals354151923[Team 2],FO$3)</f>
        <v>0</v>
      </c>
      <c r="FP4" s="56">
        <f>SUMIFS(tblActuals354151923[Team 2 Goals],tblActuals354151923[Team 2],$CU4,tblActuals354151923[Team 1],FP$3)+SUMIFS(tblActuals354151923[Team 1 Goals],tblActuals354151923[Team 1],$CU4,tblActuals354151923[Team 2],FP$3)</f>
        <v>0</v>
      </c>
      <c r="FQ4" s="56">
        <f>SUMIFS(tblActuals354151923[Team 2 Goals],tblActuals354151923[Team 2],$CU4,tblActuals354151923[Team 1],FQ$3)+SUMIFS(tblActuals354151923[Team 1 Goals],tblActuals354151923[Team 1],$CU4,tblActuals354151923[Team 2],FQ$3)</f>
        <v>0</v>
      </c>
      <c r="FR4" s="56">
        <f>SUMIFS(tblActuals354151923[Team 2 Goals],tblActuals354151923[Team 2],$CU4,tblActuals354151923[Team 1],FR$3)+SUMIFS(tblActuals354151923[Team 1 Goals],tblActuals354151923[Team 1],$CU4,tblActuals354151923[Team 2],FR$3)</f>
        <v>0</v>
      </c>
      <c r="FS4" s="56">
        <f>SUMIFS(tblActuals354151923[Team 2 Goals],tblActuals354151923[Team 2],$CU4,tblActuals354151923[Team 1],FS$3)+SUMIFS(tblActuals354151923[Team 1 Goals],tblActuals354151923[Team 1],$CU4,tblActuals354151923[Team 2],FS$3)</f>
        <v>0</v>
      </c>
      <c r="FT4" s="56">
        <f>SUMIFS(tblActuals354151923[Team 2 Goals],tblActuals354151923[Team 2],$CU4,tblActuals354151923[Team 1],FT$3)+SUMIFS(tblActuals354151923[Team 1 Goals],tblActuals354151923[Team 1],$CU4,tblActuals354151923[Team 2],FT$3)</f>
        <v>0</v>
      </c>
      <c r="FU4" s="56">
        <f>SUMIFS(tblActuals354151923[Team 2 Goals],tblActuals354151923[Team 2],$CU4,tblActuals354151923[Team 1],FU$3)+SUMIFS(tblActuals354151923[Team 1 Goals],tblActuals354151923[Team 1],$CU4,tblActuals354151923[Team 2],FU$3)</f>
        <v>0</v>
      </c>
      <c r="FV4" s="56">
        <f>SUMIFS(tblActuals354151923[Team 2 Goals],tblActuals354151923[Team 2],$CU4,tblActuals354151923[Team 1],FV$3)+SUMIFS(tblActuals354151923[Team 1 Goals],tblActuals354151923[Team 1],$CU4,tblActuals354151923[Team 2],FV$3)</f>
        <v>0</v>
      </c>
      <c r="FW4" s="56">
        <f>SUMIFS(tblActuals354151923[Team 2 Goals],tblActuals354151923[Team 2],$CU4,tblActuals354151923[Team 1],FW$3)+SUMIFS(tblActuals354151923[Team 1 Goals],tblActuals354151923[Team 1],$CU4,tblActuals354151923[Team 2],FW$3)</f>
        <v>0</v>
      </c>
      <c r="FX4" s="56">
        <f>SUMIFS(tblActuals354151923[Team 2 Goals],tblActuals354151923[Team 2],$CU4,tblActuals354151923[Team 1],FX$3)+SUMIFS(tblActuals354151923[Team 1 Goals],tblActuals354151923[Team 1],$CU4,tblActuals354151923[Team 2],FX$3)</f>
        <v>0</v>
      </c>
      <c r="FY4" s="56">
        <f>SUMIFS(tblActuals354151923[Team 2 Goals],tblActuals354151923[Team 2],$CU4,tblActuals354151923[Team 1],FY$3)+SUMIFS(tblActuals354151923[Team 1 Goals],tblActuals354151923[Team 1],$CU4,tblActuals354151923[Team 2],FY$3)</f>
        <v>0</v>
      </c>
      <c r="FZ4" s="56">
        <f>SUMIFS(tblActuals354151923[Team 2 Goals],tblActuals354151923[Team 2],$CU4,tblActuals354151923[Team 1],FZ$3)+SUMIFS(tblActuals354151923[Team 1 Goals],tblActuals354151923[Team 1],$CU4,tblActuals354151923[Team 2],FZ$3)</f>
        <v>0</v>
      </c>
      <c r="GA4" s="56">
        <f>SUMIFS(tblActuals354151923[Team 2 Goals],tblActuals354151923[Team 2],$CU4,tblActuals354151923[Team 1],GA$3)+SUMIFS(tblActuals354151923[Team 1 Goals],tblActuals354151923[Team 1],$CU4,tblActuals354151923[Team 2],GA$3)</f>
        <v>0</v>
      </c>
      <c r="GB4" s="56">
        <f>SUMIFS(tblActuals354151923[Team 2 Goals],tblActuals354151923[Team 2],$CU4,tblActuals354151923[Team 1],GB$3)+SUMIFS(tblActuals354151923[Team 1 Goals],tblActuals354151923[Team 1],$CU4,tblActuals354151923[Team 2],GB$3)</f>
        <v>0</v>
      </c>
      <c r="GC4" s="56">
        <f>SUMIFS(tblActuals354151923[Team 2 Goals],tblActuals354151923[Team 2],$CU4,tblActuals354151923[Team 1],GC$3)+SUMIFS(tblActuals354151923[Team 1 Goals],tblActuals354151923[Team 1],$CU4,tblActuals354151923[Team 2],GC$3)</f>
        <v>0</v>
      </c>
      <c r="GD4" s="56">
        <f>SUMIFS(tblActuals354151923[Team 2 Goals],tblActuals354151923[Team 2],$CU4,tblActuals354151923[Team 1],GD$3)+SUMIFS(tblActuals354151923[Team 1 Goals],tblActuals354151923[Team 1],$CU4,tblActuals354151923[Team 2],GD$3)</f>
        <v>0</v>
      </c>
      <c r="GE4" s="56">
        <f>SUMIFS(tblActuals354151923[Team 2 Goals],tblActuals354151923[Team 2],$CU4,tblActuals354151923[Team 1],GE$3)+SUMIFS(tblActuals354151923[Team 1 Goals],tblActuals354151923[Team 1],$CU4,tblActuals354151923[Team 2],GE$3)</f>
        <v>0</v>
      </c>
      <c r="GF4" s="56">
        <f>SUMIFS(tblActuals354151923[Team 2 Goals],tblActuals354151923[Team 2],$CU4,tblActuals354151923[Team 1],GF$3)+SUMIFS(tblActuals354151923[Team 1 Goals],tblActuals354151923[Team 1],$CU4,tblActuals354151923[Team 2],GF$3)</f>
        <v>0</v>
      </c>
      <c r="GG4" s="56">
        <f>SUMIFS(tblActuals354151923[Team 2 Goals],tblActuals354151923[Team 2],$CU4,tblActuals354151923[Team 1],GG$3)+SUMIFS(tblActuals354151923[Team 1 Goals],tblActuals354151923[Team 1],$CU4,tblActuals354151923[Team 2],GG$3)</f>
        <v>0</v>
      </c>
      <c r="GH4" s="56">
        <f>SUMIFS(tblActuals354151923[Team 2 Goals],tblActuals354151923[Team 2],$CU4,tblActuals354151923[Team 1],GH$3)+SUMIFS(tblActuals354151923[Team 1 Goals],tblActuals354151923[Team 1],$CU4,tblActuals354151923[Team 2],GH$3)</f>
        <v>0</v>
      </c>
      <c r="GI4" s="56">
        <f>SUMIFS(tblActuals354151923[Team 2 Goals],tblActuals354151923[Team 2],$CU4,tblActuals354151923[Team 1],GI$3)+SUMIFS(tblActuals354151923[Team 1 Goals],tblActuals354151923[Team 1],$CU4,tblActuals354151923[Team 2],GI$3)</f>
        <v>0</v>
      </c>
      <c r="GJ4" s="57"/>
      <c r="GK4" s="57"/>
      <c r="GL4" s="37"/>
      <c r="GM4" s="37"/>
      <c r="GN4" s="37"/>
      <c r="GO4" s="37"/>
      <c r="GP4" s="37"/>
      <c r="GQ4" s="37"/>
      <c r="GR4" s="75"/>
      <c r="GS4" s="156"/>
      <c r="GT4" s="156"/>
      <c r="GU4" s="75"/>
      <c r="GV4" s="22"/>
      <c r="GW4" s="75"/>
      <c r="GX4" s="75"/>
      <c r="GY4" s="75"/>
      <c r="GZ4" s="75"/>
      <c r="HB4" s="4" t="s">
        <v>0</v>
      </c>
      <c r="HC4" s="178" t="s">
        <v>143</v>
      </c>
      <c r="HD4" s="178"/>
      <c r="HE4" s="178"/>
      <c r="HF4" s="178"/>
      <c r="HG4" s="178"/>
      <c r="HH4" s="178"/>
      <c r="HI4" s="178"/>
      <c r="HJ4" s="43" t="s">
        <v>145</v>
      </c>
      <c r="HK4" s="43" t="s">
        <v>145</v>
      </c>
      <c r="HL4" s="43" t="s">
        <v>145</v>
      </c>
      <c r="HM4" s="43" t="s">
        <v>145</v>
      </c>
    </row>
    <row r="5" spans="1:221" s="11" customFormat="1" ht="30" customHeight="1" thickBot="1" x14ac:dyDescent="0.25">
      <c r="A5" s="28" t="s">
        <v>72</v>
      </c>
      <c r="B5" s="122">
        <v>2</v>
      </c>
      <c r="C5" s="122" t="s">
        <v>1</v>
      </c>
      <c r="D5" s="123">
        <v>45458</v>
      </c>
      <c r="E5" s="122" t="s">
        <v>79</v>
      </c>
      <c r="F5" s="124">
        <v>0.625</v>
      </c>
      <c r="G5" s="125">
        <f t="shared" ref="G5:G51" si="11">(D5+F5)+IF($A$7&gt;=0,TIMEVALUE($A$7&amp;":00"),-TIMEVALUE(ABS($A$7)&amp;":00"))</f>
        <v>45458.375</v>
      </c>
      <c r="H5" s="122" t="s">
        <v>90</v>
      </c>
      <c r="I5" s="126"/>
      <c r="J5" s="118"/>
      <c r="K5" s="118"/>
      <c r="L5" s="174">
        <f>IF(I5="",0,IFERROR(IF(SCORING.RULES!$C$8="No",1,((VLOOKUP($B5,ACTUALS!$B$4:$L$100,7,FALSE)=$H5)+(VLOOKUP($B5,ACTUALS!$B$4:$L$100,7,FALSE)=S5)))*(M5+N5+O5+P5+Q5),0))+$R5</f>
        <v>0</v>
      </c>
      <c r="M5" s="168">
        <f>IFERROR(IF($B5="","",IF(U5=INDEX(ACTUALS!$AA$4:$AA$100,MATCH($B5,ACTUALS!$B$4:$B$100,0),1),CorrectScore,0)),0)</f>
        <v>0</v>
      </c>
      <c r="N5" s="157" t="str">
        <f>IFERROR(IF(I5="","",IF(INDEX(ACTUALS!$AB$4:$AB$100,MATCH($B5,ACTUALS!$B$4:$B$100,0),1)=(AB5+AC5+AH5+AI5),CorrectNumberofGoals,0)),0)</f>
        <v/>
      </c>
      <c r="O5" s="157"/>
      <c r="P5" s="157">
        <f>IFERROR(IF(B5="","",IF(INDEX(ACTUALS!$L$4:$L$100,MATCH($B5,ACTUALS!$B$4:$B$100,0),1)=W5,CorrectResult,0)),0)</f>
        <v>3</v>
      </c>
      <c r="Q5" s="157"/>
      <c r="R5" s="157"/>
      <c r="S5" s="157" t="str">
        <f t="shared" si="0"/>
        <v/>
      </c>
      <c r="T5" s="157"/>
      <c r="U5" s="157" t="str">
        <f t="shared" si="1"/>
        <v/>
      </c>
      <c r="V5" s="157" t="str">
        <f t="shared" si="2"/>
        <v/>
      </c>
      <c r="W5" s="119" t="str">
        <f>IF(tblActuals354151923[[#This Row],[SCORE]]="","",IF(AB5=AC5,"Draw",IF(AB5&gt;AC5,X5,Y5)))</f>
        <v/>
      </c>
      <c r="X5" s="120" t="str">
        <f>IF(tblActuals354151923[[#This Row],[TEAMS]]="","",LEFT(H5,FIND(" -",H5,1)-1))</f>
        <v>Hungary</v>
      </c>
      <c r="Y5" s="120" t="str">
        <f>IF(tblActuals354151923[[#This Row],[TEAMS]]="","",MID(H5,FIND("-",H5,1)+2,LEN(H5)-FIND("-",H5,1)+2))</f>
        <v>Switzerland</v>
      </c>
      <c r="Z5" s="120" t="str">
        <f>IF(tblActuals354151923[[#This Row],[Team 1 Goals]]&gt;tblActuals354151923[[#This Row],[Team 2 Goals]],tblActuals354151923[[#This Row],[Team 1]],IF(tblActuals354151923[[#This Row],[Team 2 Goals]]&gt;tblActuals354151923[[#This Row],[Team 1 Goals]],tblActuals354151923[[#This Row],[Team 2]],""))</f>
        <v/>
      </c>
      <c r="AA5" s="120" t="str">
        <f>IF(tblActuals354151923[[#This Row],[Winner]]=tblActuals354151923[[#This Row],[Team 1]],tblActuals354151923[[#This Row],[Team 2]],IF(tblActuals354151923[[#This Row],[Winner]]=tblActuals354151923[[#This Row],[Team 2]],tblActuals354151923[[#This Row],[Team 1]],""))</f>
        <v/>
      </c>
      <c r="AB5" s="120" t="str">
        <f>IF(tblActuals354151923[[#This Row],[SCORE]]="","",LEFT(I5,FIND(":",I5,1)-1)*1)</f>
        <v/>
      </c>
      <c r="AC5" s="120" t="str">
        <f>IF(tblActuals354151923[[#This Row],[SCORE]]="","",MID(I5,FIND(":",I5,1)+1,LEN(I5)-FIND(":",I5,1)+1)*1)</f>
        <v/>
      </c>
      <c r="AD5" s="120" t="str">
        <f>IF(OR(tblActuals354151923[[#This Row],[Team 1 Goals]]="",tblActuals354151923[[#This Row],[Team 2 Goals]]=""),"",tblActuals354151923[[#This Row],[Team 1 Goals]]-tblActuals354151923[[#This Row],[Team 2 Goals]])</f>
        <v/>
      </c>
      <c r="AE5" s="120" t="str">
        <f>IF(OR(tblActuals354151923[[#This Row],[Team 1 Goals]]="",tblActuals354151923[[#This Row],[Team 2 Goals]]=""),"",tblActuals354151923[[#This Row],[Team 2 Goals]]-tblActuals354151923[[#This Row],[Team 1 Goals]])</f>
        <v/>
      </c>
      <c r="AF5" s="120" t="str">
        <f>IF(tblActuals354151923[[#This Row],[SCORE]]="","",IF(tblActuals354151923[[#This Row],[WINNER / RESULT]]="Draw",1,IF(tblActuals354151923[[#This Row],[WINNER / RESULT]]=tblActuals354151923[[#This Row],[Team 1]],3,0)))</f>
        <v/>
      </c>
      <c r="AG5" s="120" t="str">
        <f>IF(tblActuals354151923[[#This Row],[SCORE]]="","",IF(tblActuals354151923[[#This Row],[WINNER / RESULT]]="Draw",1,IF(tblActuals354151923[[#This Row],[WINNER / RESULT]]=tblActuals354151923[[#This Row],[Team 2]],3,0)))</f>
        <v/>
      </c>
      <c r="AH5" s="121"/>
      <c r="AI5" s="121"/>
      <c r="AJ5" s="121"/>
      <c r="AK5" s="121"/>
      <c r="AL5" s="120" t="e">
        <f>tblActuals354151923[[#This Row],[Team 1 Goals]]+tblActuals354151923[[#This Row],[Team 1 ET Goals]]&amp;":"&amp;tblActuals354151923[[#This Row],[Team 2 Goals]]+tblActuals354151923[[#This Row],[Team 2 ET Goals]]</f>
        <v>#VALUE!</v>
      </c>
      <c r="AM5" s="120" t="e">
        <f>+tblActuals354151923[[#This Row],[Team 1 Goals]]+tblActuals354151923[[#This Row],[Team 2 Goals]]</f>
        <v>#VALUE!</v>
      </c>
      <c r="AN5" s="161">
        <f t="shared" si="3"/>
        <v>45458</v>
      </c>
      <c r="AP5" s="38" t="s">
        <v>80</v>
      </c>
      <c r="AT5" s="76"/>
      <c r="AU5" s="179" t="s">
        <v>51</v>
      </c>
      <c r="AV5" s="180"/>
      <c r="AW5" s="133" t="s">
        <v>46</v>
      </c>
      <c r="AX5" s="134" t="s">
        <v>57</v>
      </c>
      <c r="AY5" s="135" t="s">
        <v>11</v>
      </c>
      <c r="AZ5" s="75"/>
      <c r="BA5" s="42"/>
      <c r="BB5" s="4"/>
      <c r="BC5" s="4" t="s">
        <v>1</v>
      </c>
      <c r="BD5" s="4" t="s">
        <v>125</v>
      </c>
      <c r="BE5" s="4">
        <f>COUNTIF(tblActuals354151923[Winner],BD5)</f>
        <v>0</v>
      </c>
      <c r="BF5" s="4">
        <f>COUNTIFS(tblActuals354151923[Team 2],BD5,tblActuals354151923[WINNER / RESULT],"Draw")+COUNTIFS(tblActuals354151923[Team 1],BD5,tblActuals354151923[WINNER / RESULT],"Draw")</f>
        <v>0</v>
      </c>
      <c r="BG5" s="4">
        <f>COUNTIF(tblActuals354151923[Loser],BD5)</f>
        <v>0</v>
      </c>
      <c r="BH5" s="4">
        <f>BF5+(3*BE5)</f>
        <v>0</v>
      </c>
      <c r="BI5" s="4">
        <f>SUMIFS(tblActuals354151923[Team 1 Goals],tblActuals354151923[Team 1],BD5)+SUMIFS(tblActuals354151923[Team 2 Goals],tblActuals354151923[Team 2],BD5)</f>
        <v>0</v>
      </c>
      <c r="BJ5" s="4">
        <f>SUMIFS(tblActuals354151923[Team 2 Goals],tblActuals354151923[Team 1],BD5)+SUMIFS(tblActuals354151923[Team 1 Goals],tblActuals354151923[Team 2],BD5)</f>
        <v>0</v>
      </c>
      <c r="BK5" s="4">
        <f>BI5-BJ5</f>
        <v>0</v>
      </c>
      <c r="BL5" s="4">
        <f ca="1">RANK(BY5,$BY$4:$BY$7,1)</f>
        <v>2</v>
      </c>
      <c r="BM5" s="4" t="str">
        <f t="shared" si="4"/>
        <v/>
      </c>
      <c r="BN5" s="4" t="str">
        <f ca="1">IF(BM5="",BL5&amp;BC5,BM5&amp;BC5)</f>
        <v>2A</v>
      </c>
      <c r="BO5" s="4">
        <f>RANK(BH5,$BH$4:$BH$7,0)</f>
        <v>1</v>
      </c>
      <c r="BP5" s="4" cm="1">
        <f t="array" aca="1" ref="BP5" ca="1">SUMPRODUCT((OFFSET($CV$3:$EA$3,MATCH($BD5,$CU$4:$CU$35,0),0))*((IF($BO6=$BO5,$CV$3:$EA$3=$BD6,0))+(IF($BO7=$BO5,$CV$3:$EA$3=$BD7,0))+(IF($BO4=$BO5,$CV$3:$EA$3=$BD4,0))))</f>
        <v>0</v>
      </c>
      <c r="BQ5" s="4" cm="1">
        <f t="array" aca="1" ref="BQ5" ca="1">SUMPRODUCT((OFFSET($ED$3:$FI$3,MATCH($BD5,$EC$4:$EC$35,0),0))*((IF($BO6=$BO5,$ED$3:$FI$3=$BD6,0))+(IF($BO7=$BO5,$ED$3:$FI$3=$BD7,0))+(IF($BO4=$BO5,$ED$3:$FI$3=$BD4,0))))</f>
        <v>0</v>
      </c>
      <c r="BR5" s="4" cm="1">
        <f t="array" aca="1" ref="BR5" ca="1">SUMPRODUCT((OFFSET($FL$3:$GQ$3,MATCH($BD5,$FK$4:$FK$35,0),0))*((IF($BO6=$BO5,$FL$3:$GQ$3=$BD6,0))+(IF($BO7=$BO5,$FL$3:$GQ$3=$BD7,0))+(IF($BO4=$BO5,$FL$3:$GQ$3=$BD4,0))))</f>
        <v>0</v>
      </c>
      <c r="BS5" s="4" cm="1">
        <f t="array" aca="1" ref="BS5" ca="1">SUMPRODUCT((OFFSET($CV$3:$EA$3,MATCH($BD5,$CU$4:$CU$35,0),0))*((IF($BO6&lt;&gt;$BO5,$CV$3:$EA$3=$BD6,0))+(IF($BO7&lt;&gt;$BO5,$CV$3:$EA$3=$BD7,0))+(IF($BO4&lt;&gt;$BO5,$CV$3:$EA$3=$BD4,0))))</f>
        <v>0</v>
      </c>
      <c r="BT5" s="4" cm="1">
        <f t="array" aca="1" ref="BT5" ca="1">SUMPRODUCT((OFFSET($ED$3:$FI$3,MATCH($BD5,$EC$4:$EC$35,0),0))*((IF($BO6&lt;&gt;$BO5,$ED$3:$FI$3=$BD6,0))+(IF($BO7&lt;&gt;$BO5,$ED$3:$FI$3=$BD7,0))+(IF($BO4&lt;&gt;$BO5,$ED$3:$FI$3=$BD4,0))))</f>
        <v>0</v>
      </c>
      <c r="BU5" s="4" cm="1">
        <f t="array" aca="1" ref="BU5" ca="1">SUMPRODUCT((OFFSET($FL$3:$GQ$3,MATCH($BD5,$FK$4:$FK$35,0),0))*((IF($BO6&lt;&gt;$BO5,$FL$3:$GQ$3=$BD6,0))+(IF($BO7&lt;&gt;$BO5,$FL$3:$GQ$3=$BD7,0))+(IF($BO4&lt;&gt;$BO5,$FL$3:$GQ$3=$BD4,0))))</f>
        <v>0</v>
      </c>
      <c r="BV5" s="4">
        <f>BK5</f>
        <v>0</v>
      </c>
      <c r="BW5" s="4">
        <f>BI5</f>
        <v>0</v>
      </c>
      <c r="BX5" s="4">
        <f ca="1">(BP5/10)+(BQ5/100)+(BR5/1000)+(BT5/10000)+(BU5/100000)+(BV5/1000000)+(BW5/10000000)+(ROW(BS6)/100000000)</f>
        <v>5.9999999999999995E-8</v>
      </c>
      <c r="BY5" s="4">
        <f ca="1">+BO5-BX5</f>
        <v>0.99999994000000003</v>
      </c>
      <c r="BZ5" s="4"/>
      <c r="CA5" s="4" t="s">
        <v>5</v>
      </c>
      <c r="CB5" s="4" t="str">
        <f ca="1">AV14</f>
        <v>Italy</v>
      </c>
      <c r="CC5" s="4">
        <f t="shared" ca="1" si="5"/>
        <v>0</v>
      </c>
      <c r="CD5" s="4">
        <f t="shared" ca="1" si="6"/>
        <v>0</v>
      </c>
      <c r="CE5" s="4">
        <f t="shared" ca="1" si="7"/>
        <v>0</v>
      </c>
      <c r="CF5" s="4">
        <f t="shared" ca="1" si="8"/>
        <v>0</v>
      </c>
      <c r="CG5" s="4">
        <f t="shared" ca="1" si="9"/>
        <v>4.9999999999999998E-7</v>
      </c>
      <c r="CH5" s="4">
        <f t="shared" ca="1" si="10"/>
        <v>5</v>
      </c>
      <c r="CI5" s="4"/>
      <c r="CJ5" s="4"/>
      <c r="CK5" s="4"/>
      <c r="CL5" s="4"/>
      <c r="CM5" s="4"/>
      <c r="CN5" s="4"/>
      <c r="CO5" s="4"/>
      <c r="CP5" s="4"/>
      <c r="CQ5" s="4"/>
      <c r="CR5" s="4"/>
      <c r="CU5" s="4" t="s">
        <v>124</v>
      </c>
      <c r="CV5" s="56">
        <f>SUMIFS(tblActuals354151923[Team 2 Points],tblActuals354151923[Team 2],$CU5,tblActuals354151923[Team 1],CV$3)+SUMIFS(tblActuals354151923[Team 1 Points],tblActuals354151923[Team 1],$CU5,tblActuals354151923[Team 2],CV$3)</f>
        <v>0</v>
      </c>
      <c r="CW5" s="56">
        <f>SUMIFS(tblActuals354151923[Team 2 Points],tblActuals354151923[Team 2],$CU5,tblActuals354151923[Team 1],CW$3)+SUMIFS(tblActuals354151923[Team 1 Points],tblActuals354151923[Team 1],$CU5,tblActuals354151923[Team 2],CW$3)</f>
        <v>0</v>
      </c>
      <c r="CX5" s="56">
        <f>SUMIFS(tblActuals354151923[Team 2 Points],tblActuals354151923[Team 2],$CU5,tblActuals354151923[Team 1],CX$3)+SUMIFS(tblActuals354151923[Team 1 Points],tblActuals354151923[Team 1],$CU5,tblActuals354151923[Team 2],CX$3)</f>
        <v>0</v>
      </c>
      <c r="CY5" s="56">
        <f>SUMIFS(tblActuals354151923[Team 2 Points],tblActuals354151923[Team 2],$CU5,tblActuals354151923[Team 1],CY$3)+SUMIFS(tblActuals354151923[Team 1 Points],tblActuals354151923[Team 1],$CU5,tblActuals354151923[Team 2],CY$3)</f>
        <v>0</v>
      </c>
      <c r="CZ5" s="56">
        <f>SUMIFS(tblActuals354151923[Team 2 Points],tblActuals354151923[Team 2],$CU5,tblActuals354151923[Team 1],CZ$3)+SUMIFS(tblActuals354151923[Team 1 Points],tblActuals354151923[Team 1],$CU5,tblActuals354151923[Team 2],CZ$3)</f>
        <v>0</v>
      </c>
      <c r="DA5" s="56">
        <f>SUMIFS(tblActuals354151923[Team 2 Points],tblActuals354151923[Team 2],$CU5,tblActuals354151923[Team 1],DA$3)+SUMIFS(tblActuals354151923[Team 1 Points],tblActuals354151923[Team 1],$CU5,tblActuals354151923[Team 2],DA$3)</f>
        <v>0</v>
      </c>
      <c r="DB5" s="56">
        <f>SUMIFS(tblActuals354151923[Team 2 Points],tblActuals354151923[Team 2],$CU5,tblActuals354151923[Team 1],DB$3)+SUMIFS(tblActuals354151923[Team 1 Points],tblActuals354151923[Team 1],$CU5,tblActuals354151923[Team 2],DB$3)</f>
        <v>0</v>
      </c>
      <c r="DC5" s="56">
        <f>SUMIFS(tblActuals354151923[Team 2 Points],tblActuals354151923[Team 2],$CU5,tblActuals354151923[Team 1],DC$3)+SUMIFS(tblActuals354151923[Team 1 Points],tblActuals354151923[Team 1],$CU5,tblActuals354151923[Team 2],DC$3)</f>
        <v>0</v>
      </c>
      <c r="DD5" s="56">
        <f>SUMIFS(tblActuals354151923[Team 2 Points],tblActuals354151923[Team 2],$CU5,tblActuals354151923[Team 1],DD$3)+SUMIFS(tblActuals354151923[Team 1 Points],tblActuals354151923[Team 1],$CU5,tblActuals354151923[Team 2],DD$3)</f>
        <v>0</v>
      </c>
      <c r="DE5" s="56">
        <f>SUMIFS(tblActuals354151923[Team 2 Points],tblActuals354151923[Team 2],$CU5,tblActuals354151923[Team 1],DE$3)+SUMIFS(tblActuals354151923[Team 1 Points],tblActuals354151923[Team 1],$CU5,tblActuals354151923[Team 2],DE$3)</f>
        <v>0</v>
      </c>
      <c r="DF5" s="56">
        <f>SUMIFS(tblActuals354151923[Team 2 Points],tblActuals354151923[Team 2],$CU5,tblActuals354151923[Team 1],DF$3)+SUMIFS(tblActuals354151923[Team 1 Points],tblActuals354151923[Team 1],$CU5,tblActuals354151923[Team 2],DF$3)</f>
        <v>0</v>
      </c>
      <c r="DG5" s="56">
        <f>SUMIFS(tblActuals354151923[Team 2 Points],tblActuals354151923[Team 2],$CU5,tblActuals354151923[Team 1],DG$3)+SUMIFS(tblActuals354151923[Team 1 Points],tblActuals354151923[Team 1],$CU5,tblActuals354151923[Team 2],DG$3)</f>
        <v>0</v>
      </c>
      <c r="DH5" s="56">
        <f>SUMIFS(tblActuals354151923[Team 2 Points],tblActuals354151923[Team 2],$CU5,tblActuals354151923[Team 1],DH$3)+SUMIFS(tblActuals354151923[Team 1 Points],tblActuals354151923[Team 1],$CU5,tblActuals354151923[Team 2],DH$3)</f>
        <v>0</v>
      </c>
      <c r="DI5" s="56">
        <f>SUMIFS(tblActuals354151923[Team 2 Points],tblActuals354151923[Team 2],$CU5,tblActuals354151923[Team 1],DI$3)+SUMIFS(tblActuals354151923[Team 1 Points],tblActuals354151923[Team 1],$CU5,tblActuals354151923[Team 2],DI$3)</f>
        <v>0</v>
      </c>
      <c r="DJ5" s="56">
        <f>SUMIFS(tblActuals354151923[Team 2 Points],tblActuals354151923[Team 2],$CU5,tblActuals354151923[Team 1],DJ$3)+SUMIFS(tblActuals354151923[Team 1 Points],tblActuals354151923[Team 1],$CU5,tblActuals354151923[Team 2],DJ$3)</f>
        <v>0</v>
      </c>
      <c r="DK5" s="56">
        <f>SUMIFS(tblActuals354151923[Team 2 Points],tblActuals354151923[Team 2],$CU5,tblActuals354151923[Team 1],DK$3)+SUMIFS(tblActuals354151923[Team 1 Points],tblActuals354151923[Team 1],$CU5,tblActuals354151923[Team 2],DK$3)</f>
        <v>0</v>
      </c>
      <c r="DL5" s="56">
        <f>SUMIFS(tblActuals354151923[Team 2 Points],tblActuals354151923[Team 2],$CU5,tblActuals354151923[Team 1],DL$3)+SUMIFS(tblActuals354151923[Team 1 Points],tblActuals354151923[Team 1],$CU5,tblActuals354151923[Team 2],DL$3)</f>
        <v>0</v>
      </c>
      <c r="DM5" s="56">
        <f>SUMIFS(tblActuals354151923[Team 2 Points],tblActuals354151923[Team 2],$CU5,tblActuals354151923[Team 1],DM$3)+SUMIFS(tblActuals354151923[Team 1 Points],tblActuals354151923[Team 1],$CU5,tblActuals354151923[Team 2],DM$3)</f>
        <v>0</v>
      </c>
      <c r="DN5" s="56">
        <f>SUMIFS(tblActuals354151923[Team 2 Points],tblActuals354151923[Team 2],$CU5,tblActuals354151923[Team 1],DN$3)+SUMIFS(tblActuals354151923[Team 1 Points],tblActuals354151923[Team 1],$CU5,tblActuals354151923[Team 2],DN$3)</f>
        <v>0</v>
      </c>
      <c r="DO5" s="56">
        <f>SUMIFS(tblActuals354151923[Team 2 Points],tblActuals354151923[Team 2],$CU5,tblActuals354151923[Team 1],DO$3)+SUMIFS(tblActuals354151923[Team 1 Points],tblActuals354151923[Team 1],$CU5,tblActuals354151923[Team 2],DO$3)</f>
        <v>0</v>
      </c>
      <c r="DP5" s="56">
        <f>SUMIFS(tblActuals354151923[Team 2 Points],tblActuals354151923[Team 2],$CU5,tblActuals354151923[Team 1],DP$3)+SUMIFS(tblActuals354151923[Team 1 Points],tblActuals354151923[Team 1],$CU5,tblActuals354151923[Team 2],DP$3)</f>
        <v>0</v>
      </c>
      <c r="DQ5" s="56">
        <f>SUMIFS(tblActuals354151923[Team 2 Points],tblActuals354151923[Team 2],$CU5,tblActuals354151923[Team 1],DQ$3)+SUMIFS(tblActuals354151923[Team 1 Points],tblActuals354151923[Team 1],$CU5,tblActuals354151923[Team 2],DQ$3)</f>
        <v>0</v>
      </c>
      <c r="DR5" s="56">
        <f>SUMIFS(tblActuals354151923[Team 2 Points],tblActuals354151923[Team 2],$CU5,tblActuals354151923[Team 1],DR$3)+SUMIFS(tblActuals354151923[Team 1 Points],tblActuals354151923[Team 1],$CU5,tblActuals354151923[Team 2],DR$3)</f>
        <v>0</v>
      </c>
      <c r="DS5" s="56">
        <f>SUMIFS(tblActuals354151923[Team 2 Points],tblActuals354151923[Team 2],$CU5,tblActuals354151923[Team 1],DS$3)+SUMIFS(tblActuals354151923[Team 1 Points],tblActuals354151923[Team 1],$CU5,tblActuals354151923[Team 2],DS$3)</f>
        <v>0</v>
      </c>
      <c r="DT5" s="57"/>
      <c r="DU5" s="57"/>
      <c r="DV5" s="57"/>
      <c r="DW5" s="57"/>
      <c r="DX5" s="57"/>
      <c r="DY5" s="57"/>
      <c r="DZ5" s="57"/>
      <c r="EA5" s="57"/>
      <c r="EB5" s="4"/>
      <c r="EC5" s="4" t="s">
        <v>124</v>
      </c>
      <c r="ED5" s="56">
        <f>SUMIFS(tblActuals354151923[Team 2 GD],tblActuals354151923[Team 2],$CU5,tblActuals354151923[Team 1],ED$3)+SUMIFS(tblActuals354151923[Team 1 GD],tblActuals354151923[Team 1],$CU5,tblActuals354151923[Team 2],ED$3)</f>
        <v>0</v>
      </c>
      <c r="EE5" s="56">
        <f>SUMIFS(tblActuals354151923[Team 2 GD],tblActuals354151923[Team 2],$CU5,tblActuals354151923[Team 1],EE$3)+SUMIFS(tblActuals354151923[Team 1 GD],tblActuals354151923[Team 1],$CU5,tblActuals354151923[Team 2],EE$3)</f>
        <v>0</v>
      </c>
      <c r="EF5" s="56">
        <f>SUMIFS(tblActuals354151923[Team 2 GD],tblActuals354151923[Team 2],$CU5,tblActuals354151923[Team 1],EF$3)+SUMIFS(tblActuals354151923[Team 1 GD],tblActuals354151923[Team 1],$CU5,tblActuals354151923[Team 2],EF$3)</f>
        <v>0</v>
      </c>
      <c r="EG5" s="56">
        <f>SUMIFS(tblActuals354151923[Team 2 GD],tblActuals354151923[Team 2],$CU5,tblActuals354151923[Team 1],EG$3)+SUMIFS(tblActuals354151923[Team 1 GD],tblActuals354151923[Team 1],$CU5,tblActuals354151923[Team 2],EG$3)</f>
        <v>0</v>
      </c>
      <c r="EH5" s="56">
        <f>SUMIFS(tblActuals354151923[Team 2 GD],tblActuals354151923[Team 2],$CU5,tblActuals354151923[Team 1],EH$3)+SUMIFS(tblActuals354151923[Team 1 GD],tblActuals354151923[Team 1],$CU5,tblActuals354151923[Team 2],EH$3)</f>
        <v>0</v>
      </c>
      <c r="EI5" s="56">
        <f>SUMIFS(tblActuals354151923[Team 2 GD],tblActuals354151923[Team 2],$CU5,tblActuals354151923[Team 1],EI$3)+SUMIFS(tblActuals354151923[Team 1 GD],tblActuals354151923[Team 1],$CU5,tblActuals354151923[Team 2],EI$3)</f>
        <v>0</v>
      </c>
      <c r="EJ5" s="56">
        <f>SUMIFS(tblActuals354151923[Team 2 GD],tblActuals354151923[Team 2],$CU5,tblActuals354151923[Team 1],EJ$3)+SUMIFS(tblActuals354151923[Team 1 GD],tblActuals354151923[Team 1],$CU5,tblActuals354151923[Team 2],EJ$3)</f>
        <v>0</v>
      </c>
      <c r="EK5" s="56">
        <f>SUMIFS(tblActuals354151923[Team 2 GD],tblActuals354151923[Team 2],$CU5,tblActuals354151923[Team 1],EK$3)+SUMIFS(tblActuals354151923[Team 1 GD],tblActuals354151923[Team 1],$CU5,tblActuals354151923[Team 2],EK$3)</f>
        <v>0</v>
      </c>
      <c r="EL5" s="56">
        <f>SUMIFS(tblActuals354151923[Team 2 GD],tblActuals354151923[Team 2],$CU5,tblActuals354151923[Team 1],EL$3)+SUMIFS(tblActuals354151923[Team 1 GD],tblActuals354151923[Team 1],$CU5,tblActuals354151923[Team 2],EL$3)</f>
        <v>0</v>
      </c>
      <c r="EM5" s="56">
        <f>SUMIFS(tblActuals354151923[Team 2 GD],tblActuals354151923[Team 2],$CU5,tblActuals354151923[Team 1],EM$3)+SUMIFS(tblActuals354151923[Team 1 GD],tblActuals354151923[Team 1],$CU5,tblActuals354151923[Team 2],EM$3)</f>
        <v>0</v>
      </c>
      <c r="EN5" s="56">
        <f>SUMIFS(tblActuals354151923[Team 2 GD],tblActuals354151923[Team 2],$CU5,tblActuals354151923[Team 1],EN$3)+SUMIFS(tblActuals354151923[Team 1 GD],tblActuals354151923[Team 1],$CU5,tblActuals354151923[Team 2],EN$3)</f>
        <v>0</v>
      </c>
      <c r="EO5" s="56">
        <f>SUMIFS(tblActuals354151923[Team 2 GD],tblActuals354151923[Team 2],$CU5,tblActuals354151923[Team 1],EO$3)+SUMIFS(tblActuals354151923[Team 1 GD],tblActuals354151923[Team 1],$CU5,tblActuals354151923[Team 2],EO$3)</f>
        <v>0</v>
      </c>
      <c r="EP5" s="56">
        <f>SUMIFS(tblActuals354151923[Team 2 GD],tblActuals354151923[Team 2],$CU5,tblActuals354151923[Team 1],EP$3)+SUMIFS(tblActuals354151923[Team 1 GD],tblActuals354151923[Team 1],$CU5,tblActuals354151923[Team 2],EP$3)</f>
        <v>0</v>
      </c>
      <c r="EQ5" s="56">
        <f>SUMIFS(tblActuals354151923[Team 2 GD],tblActuals354151923[Team 2],$CU5,tblActuals354151923[Team 1],EQ$3)+SUMIFS(tblActuals354151923[Team 1 GD],tblActuals354151923[Team 1],$CU5,tblActuals354151923[Team 2],EQ$3)</f>
        <v>0</v>
      </c>
      <c r="ER5" s="56">
        <f>SUMIFS(tblActuals354151923[Team 2 GD],tblActuals354151923[Team 2],$CU5,tblActuals354151923[Team 1],ER$3)+SUMIFS(tblActuals354151923[Team 1 GD],tblActuals354151923[Team 1],$CU5,tblActuals354151923[Team 2],ER$3)</f>
        <v>0</v>
      </c>
      <c r="ES5" s="56">
        <f>SUMIFS(tblActuals354151923[Team 2 GD],tblActuals354151923[Team 2],$CU5,tblActuals354151923[Team 1],ES$3)+SUMIFS(tblActuals354151923[Team 1 GD],tblActuals354151923[Team 1],$CU5,tblActuals354151923[Team 2],ES$3)</f>
        <v>0</v>
      </c>
      <c r="ET5" s="56">
        <f>SUMIFS(tblActuals354151923[Team 2 GD],tblActuals354151923[Team 2],$CU5,tblActuals354151923[Team 1],ET$3)+SUMIFS(tblActuals354151923[Team 1 GD],tblActuals354151923[Team 1],$CU5,tblActuals354151923[Team 2],ET$3)</f>
        <v>0</v>
      </c>
      <c r="EU5" s="56">
        <f>SUMIFS(tblActuals354151923[Team 2 GD],tblActuals354151923[Team 2],$CU5,tblActuals354151923[Team 1],EU$3)+SUMIFS(tblActuals354151923[Team 1 GD],tblActuals354151923[Team 1],$CU5,tblActuals354151923[Team 2],EU$3)</f>
        <v>0</v>
      </c>
      <c r="EV5" s="56">
        <f>SUMIFS(tblActuals354151923[Team 2 GD],tblActuals354151923[Team 2],$CU5,tblActuals354151923[Team 1],EV$3)+SUMIFS(tblActuals354151923[Team 1 GD],tblActuals354151923[Team 1],$CU5,tblActuals354151923[Team 2],EV$3)</f>
        <v>0</v>
      </c>
      <c r="EW5" s="56">
        <f>SUMIFS(tblActuals354151923[Team 2 GD],tblActuals354151923[Team 2],$CU5,tblActuals354151923[Team 1],EW$3)+SUMIFS(tblActuals354151923[Team 1 GD],tblActuals354151923[Team 1],$CU5,tblActuals354151923[Team 2],EW$3)</f>
        <v>0</v>
      </c>
      <c r="EX5" s="56">
        <f>SUMIFS(tblActuals354151923[Team 2 GD],tblActuals354151923[Team 2],$CU5,tblActuals354151923[Team 1],EX$3)+SUMIFS(tblActuals354151923[Team 1 GD],tblActuals354151923[Team 1],$CU5,tblActuals354151923[Team 2],EX$3)</f>
        <v>0</v>
      </c>
      <c r="EY5" s="56">
        <f>SUMIFS(tblActuals354151923[Team 2 GD],tblActuals354151923[Team 2],$CU5,tblActuals354151923[Team 1],EY$3)+SUMIFS(tblActuals354151923[Team 1 GD],tblActuals354151923[Team 1],$CU5,tblActuals354151923[Team 2],EY$3)</f>
        <v>0</v>
      </c>
      <c r="EZ5" s="56">
        <f>SUMIFS(tblActuals354151923[Team 2 GD],tblActuals354151923[Team 2],$CU5,tblActuals354151923[Team 1],EZ$3)+SUMIFS(tblActuals354151923[Team 1 GD],tblActuals354151923[Team 1],$CU5,tblActuals354151923[Team 2],EZ$3)</f>
        <v>0</v>
      </c>
      <c r="FA5" s="56">
        <f>SUMIFS(tblActuals354151923[Team 2 GD],tblActuals354151923[Team 2],$CU5,tblActuals354151923[Team 1],FA$3)+SUMIFS(tblActuals354151923[Team 1 GD],tblActuals354151923[Team 1],$CU5,tblActuals354151923[Team 2],FA$3)</f>
        <v>0</v>
      </c>
      <c r="FB5" s="57"/>
      <c r="FC5" s="57"/>
      <c r="FD5" s="57"/>
      <c r="FE5" s="57"/>
      <c r="FF5" s="57"/>
      <c r="FG5" s="57"/>
      <c r="FH5" s="57"/>
      <c r="FI5" s="57"/>
      <c r="FJ5" s="4"/>
      <c r="FK5" s="4" t="s">
        <v>124</v>
      </c>
      <c r="FL5" s="56">
        <f>SUMIFS(tblActuals354151923[Team 2 Goals],tblActuals354151923[Team 2],$CU5,tblActuals354151923[Team 1],FL$3)+SUMIFS(tblActuals354151923[Team 1 Goals],tblActuals354151923[Team 1],$CU5,tblActuals354151923[Team 2],FL$3)</f>
        <v>0</v>
      </c>
      <c r="FM5" s="56">
        <f>SUMIFS(tblActuals354151923[Team 2 Goals],tblActuals354151923[Team 2],$CU5,tblActuals354151923[Team 1],FM$3)+SUMIFS(tblActuals354151923[Team 1 Goals],tblActuals354151923[Team 1],$CU5,tblActuals354151923[Team 2],FM$3)</f>
        <v>0</v>
      </c>
      <c r="FN5" s="56">
        <f>SUMIFS(tblActuals354151923[Team 2 Goals],tblActuals354151923[Team 2],$CU5,tblActuals354151923[Team 1],FN$3)+SUMIFS(tblActuals354151923[Team 1 Goals],tblActuals354151923[Team 1],$CU5,tblActuals354151923[Team 2],FN$3)</f>
        <v>0</v>
      </c>
      <c r="FO5" s="56">
        <f>SUMIFS(tblActuals354151923[Team 2 Goals],tblActuals354151923[Team 2],$CU5,tblActuals354151923[Team 1],FO$3)+SUMIFS(tblActuals354151923[Team 1 Goals],tblActuals354151923[Team 1],$CU5,tblActuals354151923[Team 2],FO$3)</f>
        <v>0</v>
      </c>
      <c r="FP5" s="56">
        <f>SUMIFS(tblActuals354151923[Team 2 Goals],tblActuals354151923[Team 2],$CU5,tblActuals354151923[Team 1],FP$3)+SUMIFS(tblActuals354151923[Team 1 Goals],tblActuals354151923[Team 1],$CU5,tblActuals354151923[Team 2],FP$3)</f>
        <v>0</v>
      </c>
      <c r="FQ5" s="56">
        <f>SUMIFS(tblActuals354151923[Team 2 Goals],tblActuals354151923[Team 2],$CU5,tblActuals354151923[Team 1],FQ$3)+SUMIFS(tblActuals354151923[Team 1 Goals],tblActuals354151923[Team 1],$CU5,tblActuals354151923[Team 2],FQ$3)</f>
        <v>0</v>
      </c>
      <c r="FR5" s="56">
        <f>SUMIFS(tblActuals354151923[Team 2 Goals],tblActuals354151923[Team 2],$CU5,tblActuals354151923[Team 1],FR$3)+SUMIFS(tblActuals354151923[Team 1 Goals],tblActuals354151923[Team 1],$CU5,tblActuals354151923[Team 2],FR$3)</f>
        <v>0</v>
      </c>
      <c r="FS5" s="56">
        <f>SUMIFS(tblActuals354151923[Team 2 Goals],tblActuals354151923[Team 2],$CU5,tblActuals354151923[Team 1],FS$3)+SUMIFS(tblActuals354151923[Team 1 Goals],tblActuals354151923[Team 1],$CU5,tblActuals354151923[Team 2],FS$3)</f>
        <v>0</v>
      </c>
      <c r="FT5" s="56">
        <f>SUMIFS(tblActuals354151923[Team 2 Goals],tblActuals354151923[Team 2],$CU5,tblActuals354151923[Team 1],FT$3)+SUMIFS(tblActuals354151923[Team 1 Goals],tblActuals354151923[Team 1],$CU5,tblActuals354151923[Team 2],FT$3)</f>
        <v>0</v>
      </c>
      <c r="FU5" s="56">
        <f>SUMIFS(tblActuals354151923[Team 2 Goals],tblActuals354151923[Team 2],$CU5,tblActuals354151923[Team 1],FU$3)+SUMIFS(tblActuals354151923[Team 1 Goals],tblActuals354151923[Team 1],$CU5,tblActuals354151923[Team 2],FU$3)</f>
        <v>0</v>
      </c>
      <c r="FV5" s="56">
        <f>SUMIFS(tblActuals354151923[Team 2 Goals],tblActuals354151923[Team 2],$CU5,tblActuals354151923[Team 1],FV$3)+SUMIFS(tblActuals354151923[Team 1 Goals],tblActuals354151923[Team 1],$CU5,tblActuals354151923[Team 2],FV$3)</f>
        <v>0</v>
      </c>
      <c r="FW5" s="56">
        <f>SUMIFS(tblActuals354151923[Team 2 Goals],tblActuals354151923[Team 2],$CU5,tblActuals354151923[Team 1],FW$3)+SUMIFS(tblActuals354151923[Team 1 Goals],tblActuals354151923[Team 1],$CU5,tblActuals354151923[Team 2],FW$3)</f>
        <v>0</v>
      </c>
      <c r="FX5" s="56">
        <f>SUMIFS(tblActuals354151923[Team 2 Goals],tblActuals354151923[Team 2],$CU5,tblActuals354151923[Team 1],FX$3)+SUMIFS(tblActuals354151923[Team 1 Goals],tblActuals354151923[Team 1],$CU5,tblActuals354151923[Team 2],FX$3)</f>
        <v>0</v>
      </c>
      <c r="FY5" s="56">
        <f>SUMIFS(tblActuals354151923[Team 2 Goals],tblActuals354151923[Team 2],$CU5,tblActuals354151923[Team 1],FY$3)+SUMIFS(tblActuals354151923[Team 1 Goals],tblActuals354151923[Team 1],$CU5,tblActuals354151923[Team 2],FY$3)</f>
        <v>0</v>
      </c>
      <c r="FZ5" s="56">
        <f>SUMIFS(tblActuals354151923[Team 2 Goals],tblActuals354151923[Team 2],$CU5,tblActuals354151923[Team 1],FZ$3)+SUMIFS(tblActuals354151923[Team 1 Goals],tblActuals354151923[Team 1],$CU5,tblActuals354151923[Team 2],FZ$3)</f>
        <v>0</v>
      </c>
      <c r="GA5" s="56">
        <f>SUMIFS(tblActuals354151923[Team 2 Goals],tblActuals354151923[Team 2],$CU5,tblActuals354151923[Team 1],GA$3)+SUMIFS(tblActuals354151923[Team 1 Goals],tblActuals354151923[Team 1],$CU5,tblActuals354151923[Team 2],GA$3)</f>
        <v>0</v>
      </c>
      <c r="GB5" s="56">
        <f>SUMIFS(tblActuals354151923[Team 2 Goals],tblActuals354151923[Team 2],$CU5,tblActuals354151923[Team 1],GB$3)+SUMIFS(tblActuals354151923[Team 1 Goals],tblActuals354151923[Team 1],$CU5,tblActuals354151923[Team 2],GB$3)</f>
        <v>0</v>
      </c>
      <c r="GC5" s="56">
        <f>SUMIFS(tblActuals354151923[Team 2 Goals],tblActuals354151923[Team 2],$CU5,tblActuals354151923[Team 1],GC$3)+SUMIFS(tblActuals354151923[Team 1 Goals],tblActuals354151923[Team 1],$CU5,tblActuals354151923[Team 2],GC$3)</f>
        <v>0</v>
      </c>
      <c r="GD5" s="56">
        <f>SUMIFS(tblActuals354151923[Team 2 Goals],tblActuals354151923[Team 2],$CU5,tblActuals354151923[Team 1],GD$3)+SUMIFS(tblActuals354151923[Team 1 Goals],tblActuals354151923[Team 1],$CU5,tblActuals354151923[Team 2],GD$3)</f>
        <v>0</v>
      </c>
      <c r="GE5" s="56">
        <f>SUMIFS(tblActuals354151923[Team 2 Goals],tblActuals354151923[Team 2],$CU5,tblActuals354151923[Team 1],GE$3)+SUMIFS(tblActuals354151923[Team 1 Goals],tblActuals354151923[Team 1],$CU5,tblActuals354151923[Team 2],GE$3)</f>
        <v>0</v>
      </c>
      <c r="GF5" s="56">
        <f>SUMIFS(tblActuals354151923[Team 2 Goals],tblActuals354151923[Team 2],$CU5,tblActuals354151923[Team 1],GF$3)+SUMIFS(tblActuals354151923[Team 1 Goals],tblActuals354151923[Team 1],$CU5,tblActuals354151923[Team 2],GF$3)</f>
        <v>0</v>
      </c>
      <c r="GG5" s="56">
        <f>SUMIFS(tblActuals354151923[Team 2 Goals],tblActuals354151923[Team 2],$CU5,tblActuals354151923[Team 1],GG$3)+SUMIFS(tblActuals354151923[Team 1 Goals],tblActuals354151923[Team 1],$CU5,tblActuals354151923[Team 2],GG$3)</f>
        <v>0</v>
      </c>
      <c r="GH5" s="56">
        <f>SUMIFS(tblActuals354151923[Team 2 Goals],tblActuals354151923[Team 2],$CU5,tblActuals354151923[Team 1],GH$3)+SUMIFS(tblActuals354151923[Team 1 Goals],tblActuals354151923[Team 1],$CU5,tblActuals354151923[Team 2],GH$3)</f>
        <v>0</v>
      </c>
      <c r="GI5" s="56">
        <f>SUMIFS(tblActuals354151923[Team 2 Goals],tblActuals354151923[Team 2],$CU5,tblActuals354151923[Team 1],GI$3)+SUMIFS(tblActuals354151923[Team 1 Goals],tblActuals354151923[Team 1],$CU5,tblActuals354151923[Team 2],GI$3)</f>
        <v>0</v>
      </c>
      <c r="GJ5" s="57"/>
      <c r="GK5" s="57"/>
      <c r="GL5" s="37"/>
      <c r="GM5" s="37"/>
      <c r="GN5" s="37"/>
      <c r="GO5" s="37"/>
      <c r="GP5" s="37"/>
      <c r="GQ5" s="37"/>
      <c r="GR5" s="75"/>
      <c r="GS5" s="156"/>
      <c r="GT5" s="156"/>
      <c r="GU5" s="75"/>
      <c r="GV5" s="22"/>
      <c r="GW5" s="75"/>
      <c r="GX5" s="75"/>
      <c r="GY5" s="75"/>
      <c r="GZ5" s="75"/>
      <c r="HB5" s="4" t="str">
        <f>_xlfn.CONCAT(HC5:HH5)</f>
        <v>ABCD</v>
      </c>
      <c r="HC5" s="44" t="s">
        <v>1</v>
      </c>
      <c r="HD5" s="44" t="s">
        <v>5</v>
      </c>
      <c r="HE5" s="44" t="s">
        <v>6</v>
      </c>
      <c r="HF5" s="44" t="s">
        <v>7</v>
      </c>
      <c r="HG5" s="45"/>
      <c r="HH5" s="45"/>
      <c r="HI5" s="178"/>
      <c r="HJ5" s="45" t="s">
        <v>149</v>
      </c>
      <c r="HK5" s="45" t="s">
        <v>150</v>
      </c>
      <c r="HL5" s="45" t="s">
        <v>151</v>
      </c>
      <c r="HM5" s="45" t="s">
        <v>152</v>
      </c>
    </row>
    <row r="6" spans="1:221" s="11" customFormat="1" ht="30" customHeight="1" x14ac:dyDescent="0.2">
      <c r="A6" s="29">
        <v>-4</v>
      </c>
      <c r="B6" s="122">
        <v>3</v>
      </c>
      <c r="C6" s="122" t="s">
        <v>5</v>
      </c>
      <c r="D6" s="123">
        <v>45458</v>
      </c>
      <c r="E6" s="122" t="s">
        <v>80</v>
      </c>
      <c r="F6" s="124">
        <v>0.75</v>
      </c>
      <c r="G6" s="125">
        <f t="shared" si="11"/>
        <v>45458.5</v>
      </c>
      <c r="H6" s="122" t="s">
        <v>91</v>
      </c>
      <c r="I6" s="126"/>
      <c r="J6" s="118"/>
      <c r="K6" s="118"/>
      <c r="L6" s="174">
        <f>IF(I6="",0,IFERROR(IF(SCORING.RULES!$C$8="No",1,((VLOOKUP($B6,ACTUALS!$B$4:$L$100,7,FALSE)=$H6)+(VLOOKUP($B6,ACTUALS!$B$4:$L$100,7,FALSE)=S6)))*(M6+N6+O6+P6+Q6),0))+$R6</f>
        <v>0</v>
      </c>
      <c r="M6" s="168">
        <f>IFERROR(IF($B6="","",IF(U6=INDEX(ACTUALS!$AA$4:$AA$100,MATCH($B6,ACTUALS!$B$4:$B$100,0),1),CorrectScore,0)),0)</f>
        <v>0</v>
      </c>
      <c r="N6" s="157" t="str">
        <f>IFERROR(IF(I6="","",IF(INDEX(ACTUALS!$AB$4:$AB$100,MATCH($B6,ACTUALS!$B$4:$B$100,0),1)=(AB6+AC6+AH6+AI6),CorrectNumberofGoals,0)),0)</f>
        <v/>
      </c>
      <c r="O6" s="157"/>
      <c r="P6" s="157">
        <f>IFERROR(IF(B6="","",IF(INDEX(ACTUALS!$L$4:$L$100,MATCH($B6,ACTUALS!$B$4:$B$100,0),1)=W6,CorrectResult,0)),0)</f>
        <v>3</v>
      </c>
      <c r="Q6" s="157"/>
      <c r="R6" s="157"/>
      <c r="S6" s="157" t="str">
        <f t="shared" si="0"/>
        <v/>
      </c>
      <c r="T6" s="157"/>
      <c r="U6" s="157" t="str">
        <f t="shared" si="1"/>
        <v/>
      </c>
      <c r="V6" s="157" t="str">
        <f t="shared" si="2"/>
        <v/>
      </c>
      <c r="W6" s="119" t="str">
        <f>IF(tblActuals354151923[[#This Row],[SCORE]]="","",IF(AB6=AC6,"Draw",IF(AB6&gt;AC6,X6,Y6)))</f>
        <v/>
      </c>
      <c r="X6" s="120" t="str">
        <f>IF(tblActuals354151923[[#This Row],[TEAMS]]="","",LEFT(H6,FIND(" -",H6,1)-1))</f>
        <v>Spain</v>
      </c>
      <c r="Y6" s="120" t="str">
        <f>IF(tblActuals354151923[[#This Row],[TEAMS]]="","",MID(H6,FIND("-",H6,1)+2,LEN(H6)-FIND("-",H6,1)+2))</f>
        <v>Croatia</v>
      </c>
      <c r="Z6" s="120" t="str">
        <f>IF(tblActuals354151923[[#This Row],[Team 1 Goals]]&gt;tblActuals354151923[[#This Row],[Team 2 Goals]],tblActuals354151923[[#This Row],[Team 1]],IF(tblActuals354151923[[#This Row],[Team 2 Goals]]&gt;tblActuals354151923[[#This Row],[Team 1 Goals]],tblActuals354151923[[#This Row],[Team 2]],""))</f>
        <v/>
      </c>
      <c r="AA6" s="120" t="str">
        <f>IF(tblActuals354151923[[#This Row],[Winner]]=tblActuals354151923[[#This Row],[Team 1]],tblActuals354151923[[#This Row],[Team 2]],IF(tblActuals354151923[[#This Row],[Winner]]=tblActuals354151923[[#This Row],[Team 2]],tblActuals354151923[[#This Row],[Team 1]],""))</f>
        <v/>
      </c>
      <c r="AB6" s="120" t="str">
        <f>IF(tblActuals354151923[[#This Row],[SCORE]]="","",LEFT(I6,FIND(":",I6,1)-1)*1)</f>
        <v/>
      </c>
      <c r="AC6" s="120" t="str">
        <f>IF(tblActuals354151923[[#This Row],[SCORE]]="","",MID(I6,FIND(":",I6,1)+1,LEN(I6)-FIND(":",I6,1)+1)*1)</f>
        <v/>
      </c>
      <c r="AD6" s="120" t="str">
        <f>IF(OR(tblActuals354151923[[#This Row],[Team 1 Goals]]="",tblActuals354151923[[#This Row],[Team 2 Goals]]=""),"",tblActuals354151923[[#This Row],[Team 1 Goals]]-tblActuals354151923[[#This Row],[Team 2 Goals]])</f>
        <v/>
      </c>
      <c r="AE6" s="120" t="str">
        <f>IF(OR(tblActuals354151923[[#This Row],[Team 1 Goals]]="",tblActuals354151923[[#This Row],[Team 2 Goals]]=""),"",tblActuals354151923[[#This Row],[Team 2 Goals]]-tblActuals354151923[[#This Row],[Team 1 Goals]])</f>
        <v/>
      </c>
      <c r="AF6" s="120" t="str">
        <f>IF(tblActuals354151923[[#This Row],[SCORE]]="","",IF(tblActuals354151923[[#This Row],[WINNER / RESULT]]="Draw",1,IF(tblActuals354151923[[#This Row],[WINNER / RESULT]]=tblActuals354151923[[#This Row],[Team 1]],3,0)))</f>
        <v/>
      </c>
      <c r="AG6" s="120" t="str">
        <f>IF(tblActuals354151923[[#This Row],[SCORE]]="","",IF(tblActuals354151923[[#This Row],[WINNER / RESULT]]="Draw",1,IF(tblActuals354151923[[#This Row],[WINNER / RESULT]]=tblActuals354151923[[#This Row],[Team 2]],3,0)))</f>
        <v/>
      </c>
      <c r="AH6" s="121"/>
      <c r="AI6" s="121"/>
      <c r="AJ6" s="121"/>
      <c r="AK6" s="121"/>
      <c r="AL6" s="120" t="e">
        <f>tblActuals354151923[[#This Row],[Team 1 Goals]]+tblActuals354151923[[#This Row],[Team 1 ET Goals]]&amp;":"&amp;tblActuals354151923[[#This Row],[Team 2 Goals]]+tblActuals354151923[[#This Row],[Team 2 ET Goals]]</f>
        <v>#VALUE!</v>
      </c>
      <c r="AM6" s="120" t="e">
        <f>+tblActuals354151923[[#This Row],[Team 1 Goals]]+tblActuals354151923[[#This Row],[Team 2 Goals]]</f>
        <v>#VALUE!</v>
      </c>
      <c r="AN6" s="161">
        <f t="shared" si="3"/>
        <v>45458</v>
      </c>
      <c r="AP6" s="38" t="s">
        <v>79</v>
      </c>
      <c r="AT6" s="77" t="s">
        <v>1</v>
      </c>
      <c r="AU6" s="136">
        <v>1</v>
      </c>
      <c r="AV6" s="137" t="str">
        <f ca="1">IFERROR(INDEX(BD:BD,MATCH("1"&amp;AT6,BN:BN,0),1),"")</f>
        <v>Germany</v>
      </c>
      <c r="AW6" s="137" t="str">
        <f ca="1">IF(AV6="","",VLOOKUP(AV6,BD:BI,2,FALSE)&amp;"-"&amp;VLOOKUP(AV6,BD:BI,3,FALSE)&amp;"-"&amp;VLOOKUP(AV6,BD:BI,4,FALSE))</f>
        <v>0-0-0</v>
      </c>
      <c r="AX6" s="137">
        <f ca="1">IF(AV6="","",VLOOKUP(AV6,BD:BK,8,FALSE))</f>
        <v>0</v>
      </c>
      <c r="AY6" s="138">
        <f ca="1">IF(AV6="","",VLOOKUP(AV6,BD:BN,5,FALSE))</f>
        <v>0</v>
      </c>
      <c r="AZ6" s="75"/>
      <c r="BA6" s="42"/>
      <c r="BB6" s="4"/>
      <c r="BC6" s="4" t="s">
        <v>1</v>
      </c>
      <c r="BD6" s="4" t="s">
        <v>124</v>
      </c>
      <c r="BE6" s="4">
        <f>COUNTIF(tblActuals354151923[Winner],BD6)</f>
        <v>0</v>
      </c>
      <c r="BF6" s="4">
        <f>COUNTIFS(tblActuals354151923[Team 2],BD6,tblActuals354151923[WINNER / RESULT],"Draw")+COUNTIFS(tblActuals354151923[Team 1],BD6,tblActuals354151923[WINNER / RESULT],"Draw")</f>
        <v>0</v>
      </c>
      <c r="BG6" s="4">
        <f>COUNTIF(tblActuals354151923[Loser],BD6)</f>
        <v>0</v>
      </c>
      <c r="BH6" s="4">
        <f>BF6+(3*BE6)</f>
        <v>0</v>
      </c>
      <c r="BI6" s="4">
        <f>SUMIFS(tblActuals354151923[Team 1 Goals],tblActuals354151923[Team 1],BD6)+SUMIFS(tblActuals354151923[Team 2 Goals],tblActuals354151923[Team 2],BD6)</f>
        <v>0</v>
      </c>
      <c r="BJ6" s="4">
        <f>SUMIFS(tblActuals354151923[Team 2 Goals],tblActuals354151923[Team 1],BD6)+SUMIFS(tblActuals354151923[Team 1 Goals],tblActuals354151923[Team 2],BD6)</f>
        <v>0</v>
      </c>
      <c r="BK6" s="4">
        <f>BI6-BJ6</f>
        <v>0</v>
      </c>
      <c r="BL6" s="4">
        <f ca="1">RANK(BY6,$BY$4:$BY$7,1)</f>
        <v>3</v>
      </c>
      <c r="BM6" s="4" t="str">
        <f t="shared" si="4"/>
        <v/>
      </c>
      <c r="BN6" s="4" t="str">
        <f ca="1">IF(BM6="",BL6&amp;BC6,BM6&amp;BC6)</f>
        <v>3A</v>
      </c>
      <c r="BO6" s="4">
        <f>RANK(BH6,$BH$4:$BH$7,0)</f>
        <v>1</v>
      </c>
      <c r="BP6" s="4" cm="1">
        <f t="array" aca="1" ref="BP6" ca="1">SUMPRODUCT((OFFSET($CV$3:$EA$3,MATCH($BD6,$CU$4:$CU$35,0),0))*((IF($BO4=$BO6,$CV$3:$EA$3=$BD4,0))+(IF($BO7=$BO6,$CV$3:$EA$3=$BD7,0))+(IF($BO5=$BO6,$CV$3:$EA$3=$BD5,0))))</f>
        <v>0</v>
      </c>
      <c r="BQ6" s="4" cm="1">
        <f t="array" aca="1" ref="BQ6" ca="1">SUMPRODUCT((OFFSET($ED$3:$FI$3,MATCH($BD6,$EC$4:$EC$35,0),0))*((IF($BO4=$BO6,$ED$3:$FI$3=$BD4,0))+(IF($BO7=$BO6,$ED$3:$FI$3=$BD7,0))+(IF($BO5=$BO6,$ED$3:$FI$3=$BD5,0))))</f>
        <v>0</v>
      </c>
      <c r="BR6" s="4" cm="1">
        <f t="array" aca="1" ref="BR6" ca="1">SUMPRODUCT((OFFSET($FL$3:$GQ$3,MATCH($BD6,$FK$4:$FK$35,0),0))*((IF($BO4=$BO6,$FL$3:$GQ$3=$BD4,0))+(IF($BO7=$BO6,$FL$3:$GQ$3=$BD7,0))+(IF($BO5=$BO6,$FL$3:$GQ$3=$BD5,0))))</f>
        <v>0</v>
      </c>
      <c r="BS6" s="4" cm="1">
        <f t="array" aca="1" ref="BS6" ca="1">SUMPRODUCT((OFFSET($CV$3:$EA$3,MATCH($BD6,$CU$4:$CU$35,0),0))*((IF($BO4&lt;&gt;$BO6,$CV$3:$EA$3=$BD4,0))+(IF($BO7&lt;&gt;$BO6,$CV$3:$EA$3=$BD7,0))+(IF($BO5&lt;&gt;$BO6,$CV$3:$EA$3=$BD5,0))))</f>
        <v>0</v>
      </c>
      <c r="BT6" s="4" cm="1">
        <f t="array" aca="1" ref="BT6" ca="1">SUMPRODUCT((OFFSET($ED$3:$FI$3,MATCH($BD6,$EC$4:$EC$35,0),0))*((IF($BO4&lt;&gt;$BO6,$ED$3:$FI$3=$BD4,0))+(IF($BO7&lt;&gt;$BO6,$ED$3:$FI$3=$BD7,0))+(IF($BO5&lt;&gt;$BO6,$ED$3:$FI$3=$BD5,0))))</f>
        <v>0</v>
      </c>
      <c r="BU6" s="4" cm="1">
        <f t="array" aca="1" ref="BU6" ca="1">SUMPRODUCT((OFFSET($FL$3:$GQ$3,MATCH($BD6,$FK$4:$FK$35,0),0))*((IF($BO4&lt;&gt;$BO6,$FL$3:$GQ$3=$BD4,0))+(IF($BO7&lt;&gt;$BO6,$FL$3:$GQ$3=$BD7,0))+(IF($BO5&lt;&gt;$BO6,$FL$3:$GQ$3=$BD5,0))))</f>
        <v>0</v>
      </c>
      <c r="BV6" s="4">
        <f>BK6</f>
        <v>0</v>
      </c>
      <c r="BW6" s="4">
        <f>BI6</f>
        <v>0</v>
      </c>
      <c r="BX6" s="4">
        <f ca="1">(BP6/10)+(BQ6/100)+(BR6/1000)+(BT6/10000)+(BU6/100000)+(BV6/1000000)+(BW6/10000000)+(ROW(BS5)/100000000)</f>
        <v>4.9999999999999998E-8</v>
      </c>
      <c r="BY6" s="4">
        <f ca="1">+BO6-BX6</f>
        <v>0.99999994999999997</v>
      </c>
      <c r="BZ6" s="4"/>
      <c r="CA6" s="4" t="s">
        <v>6</v>
      </c>
      <c r="CB6" s="4" t="str">
        <f ca="1">AV20</f>
        <v>Serbia</v>
      </c>
      <c r="CC6" s="4">
        <f t="shared" ca="1" si="5"/>
        <v>0</v>
      </c>
      <c r="CD6" s="4">
        <f t="shared" ca="1" si="6"/>
        <v>0</v>
      </c>
      <c r="CE6" s="4">
        <f t="shared" ca="1" si="7"/>
        <v>0</v>
      </c>
      <c r="CF6" s="4">
        <f t="shared" ca="1" si="8"/>
        <v>0</v>
      </c>
      <c r="CG6" s="4">
        <f t="shared" ca="1" si="9"/>
        <v>5.9999999999999997E-7</v>
      </c>
      <c r="CH6" s="4">
        <f t="shared" ca="1" si="10"/>
        <v>4</v>
      </c>
      <c r="CI6" s="4"/>
      <c r="CJ6" s="4"/>
      <c r="CK6" s="4"/>
      <c r="CL6" s="4"/>
      <c r="CM6" s="4"/>
      <c r="CN6" s="4"/>
      <c r="CO6" s="4"/>
      <c r="CP6" s="4"/>
      <c r="CQ6" s="4"/>
      <c r="CR6" s="4"/>
      <c r="CU6" s="4" t="s">
        <v>125</v>
      </c>
      <c r="CV6" s="56">
        <f>SUMIFS(tblActuals354151923[Team 2 Points],tblActuals354151923[Team 2],$CU6,tblActuals354151923[Team 1],CV$3)+SUMIFS(tblActuals354151923[Team 1 Points],tblActuals354151923[Team 1],$CU6,tblActuals354151923[Team 2],CV$3)</f>
        <v>0</v>
      </c>
      <c r="CW6" s="56">
        <f>SUMIFS(tblActuals354151923[Team 2 Points],tblActuals354151923[Team 2],$CU6,tblActuals354151923[Team 1],CW$3)+SUMIFS(tblActuals354151923[Team 1 Points],tblActuals354151923[Team 1],$CU6,tblActuals354151923[Team 2],CW$3)</f>
        <v>0</v>
      </c>
      <c r="CX6" s="56">
        <f>SUMIFS(tblActuals354151923[Team 2 Points],tblActuals354151923[Team 2],$CU6,tblActuals354151923[Team 1],CX$3)+SUMIFS(tblActuals354151923[Team 1 Points],tblActuals354151923[Team 1],$CU6,tblActuals354151923[Team 2],CX$3)</f>
        <v>0</v>
      </c>
      <c r="CY6" s="56">
        <f>SUMIFS(tblActuals354151923[Team 2 Points],tblActuals354151923[Team 2],$CU6,tblActuals354151923[Team 1],CY$3)+SUMIFS(tblActuals354151923[Team 1 Points],tblActuals354151923[Team 1],$CU6,tblActuals354151923[Team 2],CY$3)</f>
        <v>0</v>
      </c>
      <c r="CZ6" s="56">
        <f>SUMIFS(tblActuals354151923[Team 2 Points],tblActuals354151923[Team 2],$CU6,tblActuals354151923[Team 1],CZ$3)+SUMIFS(tblActuals354151923[Team 1 Points],tblActuals354151923[Team 1],$CU6,tblActuals354151923[Team 2],CZ$3)</f>
        <v>0</v>
      </c>
      <c r="DA6" s="56">
        <f>SUMIFS(tblActuals354151923[Team 2 Points],tblActuals354151923[Team 2],$CU6,tblActuals354151923[Team 1],DA$3)+SUMIFS(tblActuals354151923[Team 1 Points],tblActuals354151923[Team 1],$CU6,tblActuals354151923[Team 2],DA$3)</f>
        <v>0</v>
      </c>
      <c r="DB6" s="56">
        <f>SUMIFS(tblActuals354151923[Team 2 Points],tblActuals354151923[Team 2],$CU6,tblActuals354151923[Team 1],DB$3)+SUMIFS(tblActuals354151923[Team 1 Points],tblActuals354151923[Team 1],$CU6,tblActuals354151923[Team 2],DB$3)</f>
        <v>0</v>
      </c>
      <c r="DC6" s="56">
        <f>SUMIFS(tblActuals354151923[Team 2 Points],tblActuals354151923[Team 2],$CU6,tblActuals354151923[Team 1],DC$3)+SUMIFS(tblActuals354151923[Team 1 Points],tblActuals354151923[Team 1],$CU6,tblActuals354151923[Team 2],DC$3)</f>
        <v>0</v>
      </c>
      <c r="DD6" s="56">
        <f>SUMIFS(tblActuals354151923[Team 2 Points],tblActuals354151923[Team 2],$CU6,tblActuals354151923[Team 1],DD$3)+SUMIFS(tblActuals354151923[Team 1 Points],tblActuals354151923[Team 1],$CU6,tblActuals354151923[Team 2],DD$3)</f>
        <v>0</v>
      </c>
      <c r="DE6" s="56">
        <f>SUMIFS(tblActuals354151923[Team 2 Points],tblActuals354151923[Team 2],$CU6,tblActuals354151923[Team 1],DE$3)+SUMIFS(tblActuals354151923[Team 1 Points],tblActuals354151923[Team 1],$CU6,tblActuals354151923[Team 2],DE$3)</f>
        <v>0</v>
      </c>
      <c r="DF6" s="56">
        <f>SUMIFS(tblActuals354151923[Team 2 Points],tblActuals354151923[Team 2],$CU6,tblActuals354151923[Team 1],DF$3)+SUMIFS(tblActuals354151923[Team 1 Points],tblActuals354151923[Team 1],$CU6,tblActuals354151923[Team 2],DF$3)</f>
        <v>0</v>
      </c>
      <c r="DG6" s="56">
        <f>SUMIFS(tblActuals354151923[Team 2 Points],tblActuals354151923[Team 2],$CU6,tblActuals354151923[Team 1],DG$3)+SUMIFS(tblActuals354151923[Team 1 Points],tblActuals354151923[Team 1],$CU6,tblActuals354151923[Team 2],DG$3)</f>
        <v>0</v>
      </c>
      <c r="DH6" s="56">
        <f>SUMIFS(tblActuals354151923[Team 2 Points],tblActuals354151923[Team 2],$CU6,tblActuals354151923[Team 1],DH$3)+SUMIFS(tblActuals354151923[Team 1 Points],tblActuals354151923[Team 1],$CU6,tblActuals354151923[Team 2],DH$3)</f>
        <v>0</v>
      </c>
      <c r="DI6" s="56">
        <f>SUMIFS(tblActuals354151923[Team 2 Points],tblActuals354151923[Team 2],$CU6,tblActuals354151923[Team 1],DI$3)+SUMIFS(tblActuals354151923[Team 1 Points],tblActuals354151923[Team 1],$CU6,tblActuals354151923[Team 2],DI$3)</f>
        <v>0</v>
      </c>
      <c r="DJ6" s="56">
        <f>SUMIFS(tblActuals354151923[Team 2 Points],tblActuals354151923[Team 2],$CU6,tblActuals354151923[Team 1],DJ$3)+SUMIFS(tblActuals354151923[Team 1 Points],tblActuals354151923[Team 1],$CU6,tblActuals354151923[Team 2],DJ$3)</f>
        <v>0</v>
      </c>
      <c r="DK6" s="56">
        <f>SUMIFS(tblActuals354151923[Team 2 Points],tblActuals354151923[Team 2],$CU6,tblActuals354151923[Team 1],DK$3)+SUMIFS(tblActuals354151923[Team 1 Points],tblActuals354151923[Team 1],$CU6,tblActuals354151923[Team 2],DK$3)</f>
        <v>0</v>
      </c>
      <c r="DL6" s="56">
        <f>SUMIFS(tblActuals354151923[Team 2 Points],tblActuals354151923[Team 2],$CU6,tblActuals354151923[Team 1],DL$3)+SUMIFS(tblActuals354151923[Team 1 Points],tblActuals354151923[Team 1],$CU6,tblActuals354151923[Team 2],DL$3)</f>
        <v>0</v>
      </c>
      <c r="DM6" s="56">
        <f>SUMIFS(tblActuals354151923[Team 2 Points],tblActuals354151923[Team 2],$CU6,tblActuals354151923[Team 1],DM$3)+SUMIFS(tblActuals354151923[Team 1 Points],tblActuals354151923[Team 1],$CU6,tblActuals354151923[Team 2],DM$3)</f>
        <v>0</v>
      </c>
      <c r="DN6" s="56">
        <f>SUMIFS(tblActuals354151923[Team 2 Points],tblActuals354151923[Team 2],$CU6,tblActuals354151923[Team 1],DN$3)+SUMIFS(tblActuals354151923[Team 1 Points],tblActuals354151923[Team 1],$CU6,tblActuals354151923[Team 2],DN$3)</f>
        <v>0</v>
      </c>
      <c r="DO6" s="56">
        <f>SUMIFS(tblActuals354151923[Team 2 Points],tblActuals354151923[Team 2],$CU6,tblActuals354151923[Team 1],DO$3)+SUMIFS(tblActuals354151923[Team 1 Points],tblActuals354151923[Team 1],$CU6,tblActuals354151923[Team 2],DO$3)</f>
        <v>0</v>
      </c>
      <c r="DP6" s="56">
        <f>SUMIFS(tblActuals354151923[Team 2 Points],tblActuals354151923[Team 2],$CU6,tblActuals354151923[Team 1],DP$3)+SUMIFS(tblActuals354151923[Team 1 Points],tblActuals354151923[Team 1],$CU6,tblActuals354151923[Team 2],DP$3)</f>
        <v>0</v>
      </c>
      <c r="DQ6" s="56">
        <f>SUMIFS(tblActuals354151923[Team 2 Points],tblActuals354151923[Team 2],$CU6,tblActuals354151923[Team 1],DQ$3)+SUMIFS(tblActuals354151923[Team 1 Points],tblActuals354151923[Team 1],$CU6,tblActuals354151923[Team 2],DQ$3)</f>
        <v>0</v>
      </c>
      <c r="DR6" s="56">
        <f>SUMIFS(tblActuals354151923[Team 2 Points],tblActuals354151923[Team 2],$CU6,tblActuals354151923[Team 1],DR$3)+SUMIFS(tblActuals354151923[Team 1 Points],tblActuals354151923[Team 1],$CU6,tblActuals354151923[Team 2],DR$3)</f>
        <v>0</v>
      </c>
      <c r="DS6" s="56">
        <f>SUMIFS(tblActuals354151923[Team 2 Points],tblActuals354151923[Team 2],$CU6,tblActuals354151923[Team 1],DS$3)+SUMIFS(tblActuals354151923[Team 1 Points],tblActuals354151923[Team 1],$CU6,tblActuals354151923[Team 2],DS$3)</f>
        <v>0</v>
      </c>
      <c r="DT6" s="57"/>
      <c r="DU6" s="57"/>
      <c r="DV6" s="57"/>
      <c r="DW6" s="57"/>
      <c r="DX6" s="57"/>
      <c r="DY6" s="57"/>
      <c r="DZ6" s="57"/>
      <c r="EA6" s="57"/>
      <c r="EB6" s="4"/>
      <c r="EC6" s="4" t="s">
        <v>125</v>
      </c>
      <c r="ED6" s="56">
        <f>SUMIFS(tblActuals354151923[Team 2 GD],tblActuals354151923[Team 2],$CU6,tblActuals354151923[Team 1],ED$3)+SUMIFS(tblActuals354151923[Team 1 GD],tblActuals354151923[Team 1],$CU6,tblActuals354151923[Team 2],ED$3)</f>
        <v>0</v>
      </c>
      <c r="EE6" s="56">
        <f>SUMIFS(tblActuals354151923[Team 2 GD],tblActuals354151923[Team 2],$CU6,tblActuals354151923[Team 1],EE$3)+SUMIFS(tblActuals354151923[Team 1 GD],tblActuals354151923[Team 1],$CU6,tblActuals354151923[Team 2],EE$3)</f>
        <v>0</v>
      </c>
      <c r="EF6" s="56">
        <f>SUMIFS(tblActuals354151923[Team 2 GD],tblActuals354151923[Team 2],$CU6,tblActuals354151923[Team 1],EF$3)+SUMIFS(tblActuals354151923[Team 1 GD],tblActuals354151923[Team 1],$CU6,tblActuals354151923[Team 2],EF$3)</f>
        <v>0</v>
      </c>
      <c r="EG6" s="56">
        <f>SUMIFS(tblActuals354151923[Team 2 GD],tblActuals354151923[Team 2],$CU6,tblActuals354151923[Team 1],EG$3)+SUMIFS(tblActuals354151923[Team 1 GD],tblActuals354151923[Team 1],$CU6,tblActuals354151923[Team 2],EG$3)</f>
        <v>0</v>
      </c>
      <c r="EH6" s="56">
        <f>SUMIFS(tblActuals354151923[Team 2 GD],tblActuals354151923[Team 2],$CU6,tblActuals354151923[Team 1],EH$3)+SUMIFS(tblActuals354151923[Team 1 GD],tblActuals354151923[Team 1],$CU6,tblActuals354151923[Team 2],EH$3)</f>
        <v>0</v>
      </c>
      <c r="EI6" s="56">
        <f>SUMIFS(tblActuals354151923[Team 2 GD],tblActuals354151923[Team 2],$CU6,tblActuals354151923[Team 1],EI$3)+SUMIFS(tblActuals354151923[Team 1 GD],tblActuals354151923[Team 1],$CU6,tblActuals354151923[Team 2],EI$3)</f>
        <v>0</v>
      </c>
      <c r="EJ6" s="56">
        <f>SUMIFS(tblActuals354151923[Team 2 GD],tblActuals354151923[Team 2],$CU6,tblActuals354151923[Team 1],EJ$3)+SUMIFS(tblActuals354151923[Team 1 GD],tblActuals354151923[Team 1],$CU6,tblActuals354151923[Team 2],EJ$3)</f>
        <v>0</v>
      </c>
      <c r="EK6" s="56">
        <f>SUMIFS(tblActuals354151923[Team 2 GD],tblActuals354151923[Team 2],$CU6,tblActuals354151923[Team 1],EK$3)+SUMIFS(tblActuals354151923[Team 1 GD],tblActuals354151923[Team 1],$CU6,tblActuals354151923[Team 2],EK$3)</f>
        <v>0</v>
      </c>
      <c r="EL6" s="56">
        <f>SUMIFS(tblActuals354151923[Team 2 GD],tblActuals354151923[Team 2],$CU6,tblActuals354151923[Team 1],EL$3)+SUMIFS(tblActuals354151923[Team 1 GD],tblActuals354151923[Team 1],$CU6,tblActuals354151923[Team 2],EL$3)</f>
        <v>0</v>
      </c>
      <c r="EM6" s="56">
        <f>SUMIFS(tblActuals354151923[Team 2 GD],tblActuals354151923[Team 2],$CU6,tblActuals354151923[Team 1],EM$3)+SUMIFS(tblActuals354151923[Team 1 GD],tblActuals354151923[Team 1],$CU6,tblActuals354151923[Team 2],EM$3)</f>
        <v>0</v>
      </c>
      <c r="EN6" s="56">
        <f>SUMIFS(tblActuals354151923[Team 2 GD],tblActuals354151923[Team 2],$CU6,tblActuals354151923[Team 1],EN$3)+SUMIFS(tblActuals354151923[Team 1 GD],tblActuals354151923[Team 1],$CU6,tblActuals354151923[Team 2],EN$3)</f>
        <v>0</v>
      </c>
      <c r="EO6" s="56">
        <f>SUMIFS(tblActuals354151923[Team 2 GD],tblActuals354151923[Team 2],$CU6,tblActuals354151923[Team 1],EO$3)+SUMIFS(tblActuals354151923[Team 1 GD],tblActuals354151923[Team 1],$CU6,tblActuals354151923[Team 2],EO$3)</f>
        <v>0</v>
      </c>
      <c r="EP6" s="56">
        <f>SUMIFS(tblActuals354151923[Team 2 GD],tblActuals354151923[Team 2],$CU6,tblActuals354151923[Team 1],EP$3)+SUMIFS(tblActuals354151923[Team 1 GD],tblActuals354151923[Team 1],$CU6,tblActuals354151923[Team 2],EP$3)</f>
        <v>0</v>
      </c>
      <c r="EQ6" s="56">
        <f>SUMIFS(tblActuals354151923[Team 2 GD],tblActuals354151923[Team 2],$CU6,tblActuals354151923[Team 1],EQ$3)+SUMIFS(tblActuals354151923[Team 1 GD],tblActuals354151923[Team 1],$CU6,tblActuals354151923[Team 2],EQ$3)</f>
        <v>0</v>
      </c>
      <c r="ER6" s="56">
        <f>SUMIFS(tblActuals354151923[Team 2 GD],tblActuals354151923[Team 2],$CU6,tblActuals354151923[Team 1],ER$3)+SUMIFS(tblActuals354151923[Team 1 GD],tblActuals354151923[Team 1],$CU6,tblActuals354151923[Team 2],ER$3)</f>
        <v>0</v>
      </c>
      <c r="ES6" s="56">
        <f>SUMIFS(tblActuals354151923[Team 2 GD],tblActuals354151923[Team 2],$CU6,tblActuals354151923[Team 1],ES$3)+SUMIFS(tblActuals354151923[Team 1 GD],tblActuals354151923[Team 1],$CU6,tblActuals354151923[Team 2],ES$3)</f>
        <v>0</v>
      </c>
      <c r="ET6" s="56">
        <f>SUMIFS(tblActuals354151923[Team 2 GD],tblActuals354151923[Team 2],$CU6,tblActuals354151923[Team 1],ET$3)+SUMIFS(tblActuals354151923[Team 1 GD],tblActuals354151923[Team 1],$CU6,tblActuals354151923[Team 2],ET$3)</f>
        <v>0</v>
      </c>
      <c r="EU6" s="56">
        <f>SUMIFS(tblActuals354151923[Team 2 GD],tblActuals354151923[Team 2],$CU6,tblActuals354151923[Team 1],EU$3)+SUMIFS(tblActuals354151923[Team 1 GD],tblActuals354151923[Team 1],$CU6,tblActuals354151923[Team 2],EU$3)</f>
        <v>0</v>
      </c>
      <c r="EV6" s="56">
        <f>SUMIFS(tblActuals354151923[Team 2 GD],tblActuals354151923[Team 2],$CU6,tblActuals354151923[Team 1],EV$3)+SUMIFS(tblActuals354151923[Team 1 GD],tblActuals354151923[Team 1],$CU6,tblActuals354151923[Team 2],EV$3)</f>
        <v>0</v>
      </c>
      <c r="EW6" s="56">
        <f>SUMIFS(tblActuals354151923[Team 2 GD],tblActuals354151923[Team 2],$CU6,tblActuals354151923[Team 1],EW$3)+SUMIFS(tblActuals354151923[Team 1 GD],tblActuals354151923[Team 1],$CU6,tblActuals354151923[Team 2],EW$3)</f>
        <v>0</v>
      </c>
      <c r="EX6" s="56">
        <f>SUMIFS(tblActuals354151923[Team 2 GD],tblActuals354151923[Team 2],$CU6,tblActuals354151923[Team 1],EX$3)+SUMIFS(tblActuals354151923[Team 1 GD],tblActuals354151923[Team 1],$CU6,tblActuals354151923[Team 2],EX$3)</f>
        <v>0</v>
      </c>
      <c r="EY6" s="56">
        <f>SUMIFS(tblActuals354151923[Team 2 GD],tblActuals354151923[Team 2],$CU6,tblActuals354151923[Team 1],EY$3)+SUMIFS(tblActuals354151923[Team 1 GD],tblActuals354151923[Team 1],$CU6,tblActuals354151923[Team 2],EY$3)</f>
        <v>0</v>
      </c>
      <c r="EZ6" s="56">
        <f>SUMIFS(tblActuals354151923[Team 2 GD],tblActuals354151923[Team 2],$CU6,tblActuals354151923[Team 1],EZ$3)+SUMIFS(tblActuals354151923[Team 1 GD],tblActuals354151923[Team 1],$CU6,tblActuals354151923[Team 2],EZ$3)</f>
        <v>0</v>
      </c>
      <c r="FA6" s="56">
        <f>SUMIFS(tblActuals354151923[Team 2 GD],tblActuals354151923[Team 2],$CU6,tblActuals354151923[Team 1],FA$3)+SUMIFS(tblActuals354151923[Team 1 GD],tblActuals354151923[Team 1],$CU6,tblActuals354151923[Team 2],FA$3)</f>
        <v>0</v>
      </c>
      <c r="FB6" s="57"/>
      <c r="FC6" s="57"/>
      <c r="FD6" s="57"/>
      <c r="FE6" s="57"/>
      <c r="FF6" s="57"/>
      <c r="FG6" s="57"/>
      <c r="FH6" s="57"/>
      <c r="FI6" s="57"/>
      <c r="FJ6" s="4"/>
      <c r="FK6" s="4" t="s">
        <v>125</v>
      </c>
      <c r="FL6" s="56">
        <f>SUMIFS(tblActuals354151923[Team 2 Goals],tblActuals354151923[Team 2],$CU6,tblActuals354151923[Team 1],FL$3)+SUMIFS(tblActuals354151923[Team 1 Goals],tblActuals354151923[Team 1],$CU6,tblActuals354151923[Team 2],FL$3)</f>
        <v>0</v>
      </c>
      <c r="FM6" s="56">
        <f>SUMIFS(tblActuals354151923[Team 2 Goals],tblActuals354151923[Team 2],$CU6,tblActuals354151923[Team 1],FM$3)+SUMIFS(tblActuals354151923[Team 1 Goals],tblActuals354151923[Team 1],$CU6,tblActuals354151923[Team 2],FM$3)</f>
        <v>0</v>
      </c>
      <c r="FN6" s="56">
        <f>SUMIFS(tblActuals354151923[Team 2 Goals],tblActuals354151923[Team 2],$CU6,tblActuals354151923[Team 1],FN$3)+SUMIFS(tblActuals354151923[Team 1 Goals],tblActuals354151923[Team 1],$CU6,tblActuals354151923[Team 2],FN$3)</f>
        <v>0</v>
      </c>
      <c r="FO6" s="56">
        <f>SUMIFS(tblActuals354151923[Team 2 Goals],tblActuals354151923[Team 2],$CU6,tblActuals354151923[Team 1],FO$3)+SUMIFS(tblActuals354151923[Team 1 Goals],tblActuals354151923[Team 1],$CU6,tblActuals354151923[Team 2],FO$3)</f>
        <v>0</v>
      </c>
      <c r="FP6" s="56">
        <f>SUMIFS(tblActuals354151923[Team 2 Goals],tblActuals354151923[Team 2],$CU6,tblActuals354151923[Team 1],FP$3)+SUMIFS(tblActuals354151923[Team 1 Goals],tblActuals354151923[Team 1],$CU6,tblActuals354151923[Team 2],FP$3)</f>
        <v>0</v>
      </c>
      <c r="FQ6" s="56">
        <f>SUMIFS(tblActuals354151923[Team 2 Goals],tblActuals354151923[Team 2],$CU6,tblActuals354151923[Team 1],FQ$3)+SUMIFS(tblActuals354151923[Team 1 Goals],tblActuals354151923[Team 1],$CU6,tblActuals354151923[Team 2],FQ$3)</f>
        <v>0</v>
      </c>
      <c r="FR6" s="56">
        <f>SUMIFS(tblActuals354151923[Team 2 Goals],tblActuals354151923[Team 2],$CU6,tblActuals354151923[Team 1],FR$3)+SUMIFS(tblActuals354151923[Team 1 Goals],tblActuals354151923[Team 1],$CU6,tblActuals354151923[Team 2],FR$3)</f>
        <v>0</v>
      </c>
      <c r="FS6" s="56">
        <f>SUMIFS(tblActuals354151923[Team 2 Goals],tblActuals354151923[Team 2],$CU6,tblActuals354151923[Team 1],FS$3)+SUMIFS(tblActuals354151923[Team 1 Goals],tblActuals354151923[Team 1],$CU6,tblActuals354151923[Team 2],FS$3)</f>
        <v>0</v>
      </c>
      <c r="FT6" s="56">
        <f>SUMIFS(tblActuals354151923[Team 2 Goals],tblActuals354151923[Team 2],$CU6,tblActuals354151923[Team 1],FT$3)+SUMIFS(tblActuals354151923[Team 1 Goals],tblActuals354151923[Team 1],$CU6,tblActuals354151923[Team 2],FT$3)</f>
        <v>0</v>
      </c>
      <c r="FU6" s="56">
        <f>SUMIFS(tblActuals354151923[Team 2 Goals],tblActuals354151923[Team 2],$CU6,tblActuals354151923[Team 1],FU$3)+SUMIFS(tblActuals354151923[Team 1 Goals],tblActuals354151923[Team 1],$CU6,tblActuals354151923[Team 2],FU$3)</f>
        <v>0</v>
      </c>
      <c r="FV6" s="56">
        <f>SUMIFS(tblActuals354151923[Team 2 Goals],tblActuals354151923[Team 2],$CU6,tblActuals354151923[Team 1],FV$3)+SUMIFS(tblActuals354151923[Team 1 Goals],tblActuals354151923[Team 1],$CU6,tblActuals354151923[Team 2],FV$3)</f>
        <v>0</v>
      </c>
      <c r="FW6" s="56">
        <f>SUMIFS(tblActuals354151923[Team 2 Goals],tblActuals354151923[Team 2],$CU6,tblActuals354151923[Team 1],FW$3)+SUMIFS(tblActuals354151923[Team 1 Goals],tblActuals354151923[Team 1],$CU6,tblActuals354151923[Team 2],FW$3)</f>
        <v>0</v>
      </c>
      <c r="FX6" s="56">
        <f>SUMIFS(tblActuals354151923[Team 2 Goals],tblActuals354151923[Team 2],$CU6,tblActuals354151923[Team 1],FX$3)+SUMIFS(tblActuals354151923[Team 1 Goals],tblActuals354151923[Team 1],$CU6,tblActuals354151923[Team 2],FX$3)</f>
        <v>0</v>
      </c>
      <c r="FY6" s="56">
        <f>SUMIFS(tblActuals354151923[Team 2 Goals],tblActuals354151923[Team 2],$CU6,tblActuals354151923[Team 1],FY$3)+SUMIFS(tblActuals354151923[Team 1 Goals],tblActuals354151923[Team 1],$CU6,tblActuals354151923[Team 2],FY$3)</f>
        <v>0</v>
      </c>
      <c r="FZ6" s="56">
        <f>SUMIFS(tblActuals354151923[Team 2 Goals],tblActuals354151923[Team 2],$CU6,tblActuals354151923[Team 1],FZ$3)+SUMIFS(tblActuals354151923[Team 1 Goals],tblActuals354151923[Team 1],$CU6,tblActuals354151923[Team 2],FZ$3)</f>
        <v>0</v>
      </c>
      <c r="GA6" s="56">
        <f>SUMIFS(tblActuals354151923[Team 2 Goals],tblActuals354151923[Team 2],$CU6,tblActuals354151923[Team 1],GA$3)+SUMIFS(tblActuals354151923[Team 1 Goals],tblActuals354151923[Team 1],$CU6,tblActuals354151923[Team 2],GA$3)</f>
        <v>0</v>
      </c>
      <c r="GB6" s="56">
        <f>SUMIFS(tblActuals354151923[Team 2 Goals],tblActuals354151923[Team 2],$CU6,tblActuals354151923[Team 1],GB$3)+SUMIFS(tblActuals354151923[Team 1 Goals],tblActuals354151923[Team 1],$CU6,tblActuals354151923[Team 2],GB$3)</f>
        <v>0</v>
      </c>
      <c r="GC6" s="56">
        <f>SUMIFS(tblActuals354151923[Team 2 Goals],tblActuals354151923[Team 2],$CU6,tblActuals354151923[Team 1],GC$3)+SUMIFS(tblActuals354151923[Team 1 Goals],tblActuals354151923[Team 1],$CU6,tblActuals354151923[Team 2],GC$3)</f>
        <v>0</v>
      </c>
      <c r="GD6" s="56">
        <f>SUMIFS(tblActuals354151923[Team 2 Goals],tblActuals354151923[Team 2],$CU6,tblActuals354151923[Team 1],GD$3)+SUMIFS(tblActuals354151923[Team 1 Goals],tblActuals354151923[Team 1],$CU6,tblActuals354151923[Team 2],GD$3)</f>
        <v>0</v>
      </c>
      <c r="GE6" s="56">
        <f>SUMIFS(tblActuals354151923[Team 2 Goals],tblActuals354151923[Team 2],$CU6,tblActuals354151923[Team 1],GE$3)+SUMIFS(tblActuals354151923[Team 1 Goals],tblActuals354151923[Team 1],$CU6,tblActuals354151923[Team 2],GE$3)</f>
        <v>0</v>
      </c>
      <c r="GF6" s="56">
        <f>SUMIFS(tblActuals354151923[Team 2 Goals],tblActuals354151923[Team 2],$CU6,tblActuals354151923[Team 1],GF$3)+SUMIFS(tblActuals354151923[Team 1 Goals],tblActuals354151923[Team 1],$CU6,tblActuals354151923[Team 2],GF$3)</f>
        <v>0</v>
      </c>
      <c r="GG6" s="56">
        <f>SUMIFS(tblActuals354151923[Team 2 Goals],tblActuals354151923[Team 2],$CU6,tblActuals354151923[Team 1],GG$3)+SUMIFS(tblActuals354151923[Team 1 Goals],tblActuals354151923[Team 1],$CU6,tblActuals354151923[Team 2],GG$3)</f>
        <v>0</v>
      </c>
      <c r="GH6" s="56">
        <f>SUMIFS(tblActuals354151923[Team 2 Goals],tblActuals354151923[Team 2],$CU6,tblActuals354151923[Team 1],GH$3)+SUMIFS(tblActuals354151923[Team 1 Goals],tblActuals354151923[Team 1],$CU6,tblActuals354151923[Team 2],GH$3)</f>
        <v>0</v>
      </c>
      <c r="GI6" s="56">
        <f>SUMIFS(tblActuals354151923[Team 2 Goals],tblActuals354151923[Team 2],$CU6,tblActuals354151923[Team 1],GI$3)+SUMIFS(tblActuals354151923[Team 1 Goals],tblActuals354151923[Team 1],$CU6,tblActuals354151923[Team 2],GI$3)</f>
        <v>0</v>
      </c>
      <c r="GJ6" s="57"/>
      <c r="GK6" s="57"/>
      <c r="GL6" s="37"/>
      <c r="GM6" s="37"/>
      <c r="GN6" s="37"/>
      <c r="GO6" s="37"/>
      <c r="GP6" s="37"/>
      <c r="GQ6" s="37"/>
      <c r="GR6" s="75"/>
      <c r="GS6" s="156"/>
      <c r="GT6" s="156"/>
      <c r="GU6" s="75"/>
      <c r="GV6" s="22"/>
      <c r="GW6" s="75"/>
      <c r="GX6" s="75"/>
      <c r="GY6" s="75"/>
      <c r="GZ6" s="75"/>
      <c r="HB6" s="4" t="str">
        <f t="shared" ref="HB6:HB19" si="12">_xlfn.CONCAT(HC6:HH6)</f>
        <v>ABCE</v>
      </c>
      <c r="HC6" s="44" t="s">
        <v>1</v>
      </c>
      <c r="HD6" s="44" t="s">
        <v>5</v>
      </c>
      <c r="HE6" s="44" t="s">
        <v>6</v>
      </c>
      <c r="HF6" s="45"/>
      <c r="HG6" s="44" t="s">
        <v>12</v>
      </c>
      <c r="HH6" s="45"/>
      <c r="HI6" s="178"/>
      <c r="HJ6" s="45" t="s">
        <v>149</v>
      </c>
      <c r="HK6" s="45" t="s">
        <v>153</v>
      </c>
      <c r="HL6" s="45" t="s">
        <v>151</v>
      </c>
      <c r="HM6" s="45" t="s">
        <v>152</v>
      </c>
    </row>
    <row r="7" spans="1:221" s="11" customFormat="1" ht="30" customHeight="1" x14ac:dyDescent="0.3">
      <c r="A7" s="6">
        <f>A6-2</f>
        <v>-6</v>
      </c>
      <c r="B7" s="122">
        <v>4</v>
      </c>
      <c r="C7" s="122" t="s">
        <v>5</v>
      </c>
      <c r="D7" s="123">
        <v>45458</v>
      </c>
      <c r="E7" s="122" t="s">
        <v>81</v>
      </c>
      <c r="F7" s="124">
        <v>0.875</v>
      </c>
      <c r="G7" s="125">
        <f t="shared" si="11"/>
        <v>45458.625</v>
      </c>
      <c r="H7" s="122" t="s">
        <v>92</v>
      </c>
      <c r="I7" s="126"/>
      <c r="J7" s="118"/>
      <c r="K7" s="118"/>
      <c r="L7" s="174">
        <f>IF(I7="",0,IFERROR(IF(SCORING.RULES!$C$8="No",1,((VLOOKUP($B7,ACTUALS!$B$4:$L$100,7,FALSE)=$H7)+(VLOOKUP($B7,ACTUALS!$B$4:$L$100,7,FALSE)=S7)))*(M7+N7+O7+P7+Q7),0))+$R7</f>
        <v>0</v>
      </c>
      <c r="M7" s="168">
        <f>IFERROR(IF($B7="","",IF(U7=INDEX(ACTUALS!$AA$4:$AA$100,MATCH($B7,ACTUALS!$B$4:$B$100,0),1),CorrectScore,0)),0)</f>
        <v>0</v>
      </c>
      <c r="N7" s="157" t="str">
        <f>IFERROR(IF(I7="","",IF(INDEX(ACTUALS!$AB$4:$AB$100,MATCH($B7,ACTUALS!$B$4:$B$100,0),1)=(AB7+AC7+AH7+AI7),CorrectNumberofGoals,0)),0)</f>
        <v/>
      </c>
      <c r="O7" s="157"/>
      <c r="P7" s="157">
        <f>IFERROR(IF(B7="","",IF(INDEX(ACTUALS!$L$4:$L$100,MATCH($B7,ACTUALS!$B$4:$B$100,0),1)=W7,CorrectResult,0)),0)</f>
        <v>3</v>
      </c>
      <c r="Q7" s="157"/>
      <c r="R7" s="157"/>
      <c r="S7" s="157" t="str">
        <f t="shared" si="0"/>
        <v/>
      </c>
      <c r="T7" s="157"/>
      <c r="U7" s="157" t="str">
        <f t="shared" si="1"/>
        <v/>
      </c>
      <c r="V7" s="157" t="str">
        <f t="shared" si="2"/>
        <v/>
      </c>
      <c r="W7" s="119" t="str">
        <f>IF(tblActuals354151923[[#This Row],[SCORE]]="","",IF(AB7=AC7,"Draw",IF(AB7&gt;AC7,X7,Y7)))</f>
        <v/>
      </c>
      <c r="X7" s="120" t="str">
        <f>IF(tblActuals354151923[[#This Row],[TEAMS]]="","",LEFT(H7,FIND(" -",H7,1)-1))</f>
        <v>Italy</v>
      </c>
      <c r="Y7" s="120" t="str">
        <f>IF(tblActuals354151923[[#This Row],[TEAMS]]="","",MID(H7,FIND("-",H7,1)+2,LEN(H7)-FIND("-",H7,1)+2))</f>
        <v>Albania</v>
      </c>
      <c r="Z7" s="120" t="str">
        <f>IF(tblActuals354151923[[#This Row],[Team 1 Goals]]&gt;tblActuals354151923[[#This Row],[Team 2 Goals]],tblActuals354151923[[#This Row],[Team 1]],IF(tblActuals354151923[[#This Row],[Team 2 Goals]]&gt;tblActuals354151923[[#This Row],[Team 1 Goals]],tblActuals354151923[[#This Row],[Team 2]],""))</f>
        <v/>
      </c>
      <c r="AA7" s="120" t="str">
        <f>IF(tblActuals354151923[[#This Row],[Winner]]=tblActuals354151923[[#This Row],[Team 1]],tblActuals354151923[[#This Row],[Team 2]],IF(tblActuals354151923[[#This Row],[Winner]]=tblActuals354151923[[#This Row],[Team 2]],tblActuals354151923[[#This Row],[Team 1]],""))</f>
        <v/>
      </c>
      <c r="AB7" s="120" t="str">
        <f>IF(tblActuals354151923[[#This Row],[SCORE]]="","",LEFT(I7,FIND(":",I7,1)-1)*1)</f>
        <v/>
      </c>
      <c r="AC7" s="120" t="str">
        <f>IF(tblActuals354151923[[#This Row],[SCORE]]="","",MID(I7,FIND(":",I7,1)+1,LEN(I7)-FIND(":",I7,1)+1)*1)</f>
        <v/>
      </c>
      <c r="AD7" s="120" t="str">
        <f>IF(OR(tblActuals354151923[[#This Row],[Team 1 Goals]]="",tblActuals354151923[[#This Row],[Team 2 Goals]]=""),"",tblActuals354151923[[#This Row],[Team 1 Goals]]-tblActuals354151923[[#This Row],[Team 2 Goals]])</f>
        <v/>
      </c>
      <c r="AE7" s="120" t="str">
        <f>IF(OR(tblActuals354151923[[#This Row],[Team 1 Goals]]="",tblActuals354151923[[#This Row],[Team 2 Goals]]=""),"",tblActuals354151923[[#This Row],[Team 2 Goals]]-tblActuals354151923[[#This Row],[Team 1 Goals]])</f>
        <v/>
      </c>
      <c r="AF7" s="120" t="str">
        <f>IF(tblActuals354151923[[#This Row],[SCORE]]="","",IF(tblActuals354151923[[#This Row],[WINNER / RESULT]]="Draw",1,IF(tblActuals354151923[[#This Row],[WINNER / RESULT]]=tblActuals354151923[[#This Row],[Team 1]],3,0)))</f>
        <v/>
      </c>
      <c r="AG7" s="120" t="str">
        <f>IF(tblActuals354151923[[#This Row],[SCORE]]="","",IF(tblActuals354151923[[#This Row],[WINNER / RESULT]]="Draw",1,IF(tblActuals354151923[[#This Row],[WINNER / RESULT]]=tblActuals354151923[[#This Row],[Team 2]],3,0)))</f>
        <v/>
      </c>
      <c r="AH7" s="121"/>
      <c r="AI7" s="121"/>
      <c r="AJ7" s="121"/>
      <c r="AK7" s="121"/>
      <c r="AL7" s="120" t="e">
        <f>tblActuals354151923[[#This Row],[Team 1 Goals]]+tblActuals354151923[[#This Row],[Team 1 ET Goals]]&amp;":"&amp;tblActuals354151923[[#This Row],[Team 2 Goals]]+tblActuals354151923[[#This Row],[Team 2 ET Goals]]</f>
        <v>#VALUE!</v>
      </c>
      <c r="AM7" s="120" t="e">
        <f>+tblActuals354151923[[#This Row],[Team 1 Goals]]+tblActuals354151923[[#This Row],[Team 2 Goals]]</f>
        <v>#VALUE!</v>
      </c>
      <c r="AN7" s="161">
        <f t="shared" si="3"/>
        <v>45458</v>
      </c>
      <c r="AP7" s="38" t="s">
        <v>81</v>
      </c>
      <c r="AT7" s="77" t="s">
        <v>1</v>
      </c>
      <c r="AU7" s="139">
        <v>2</v>
      </c>
      <c r="AV7" s="140" t="str">
        <f ca="1">IFERROR(INDEX(BD:BD,MATCH("2"&amp;AT7,BN:BN,0),1),"")</f>
        <v>Hungary</v>
      </c>
      <c r="AW7" s="140" t="str">
        <f ca="1">IF(AV7="","",VLOOKUP(AV7,BD:BI,2,FALSE)&amp;"-"&amp;VLOOKUP(AV7,BD:BI,3,FALSE)&amp;"-"&amp;VLOOKUP(AV7,BD:BI,4,FALSE))</f>
        <v>0-0-0</v>
      </c>
      <c r="AX7" s="140">
        <f ca="1">IF(AV7="","",VLOOKUP(AV7,BD:BK,8,FALSE))</f>
        <v>0</v>
      </c>
      <c r="AY7" s="141">
        <f ca="1">IF(AV7="","",VLOOKUP(AV7,BD:BN,5,FALSE))</f>
        <v>0</v>
      </c>
      <c r="AZ7" s="75"/>
      <c r="BA7" s="42"/>
      <c r="BB7" s="4"/>
      <c r="BC7" s="4" t="s">
        <v>1</v>
      </c>
      <c r="BD7" s="4" t="s">
        <v>31</v>
      </c>
      <c r="BE7" s="4">
        <f>COUNTIF(tblActuals354151923[Winner],BD7)</f>
        <v>0</v>
      </c>
      <c r="BF7" s="4">
        <f>COUNTIFS(tblActuals354151923[Team 2],BD7,tblActuals354151923[WINNER / RESULT],"Draw")+COUNTIFS(tblActuals354151923[Team 1],BD7,tblActuals354151923[WINNER / RESULT],"Draw")</f>
        <v>0</v>
      </c>
      <c r="BG7" s="4">
        <f>COUNTIF(tblActuals354151923[Loser],BD7)</f>
        <v>0</v>
      </c>
      <c r="BH7" s="4">
        <f>BF7+(3*BE7)</f>
        <v>0</v>
      </c>
      <c r="BI7" s="4">
        <f>SUMIFS(tblActuals354151923[Team 1 Goals],tblActuals354151923[Team 1],BD7)+SUMIFS(tblActuals354151923[Team 2 Goals],tblActuals354151923[Team 2],BD7)</f>
        <v>0</v>
      </c>
      <c r="BJ7" s="4">
        <f>SUMIFS(tblActuals354151923[Team 2 Goals],tblActuals354151923[Team 1],BD7)+SUMIFS(tblActuals354151923[Team 1 Goals],tblActuals354151923[Team 2],BD7)</f>
        <v>0</v>
      </c>
      <c r="BK7" s="4">
        <f>BI7-BJ7</f>
        <v>0</v>
      </c>
      <c r="BL7" s="4">
        <f ca="1">RANK(BY7,$BY$4:$BY$7,1)</f>
        <v>4</v>
      </c>
      <c r="BM7" s="4" t="str">
        <f t="shared" si="4"/>
        <v/>
      </c>
      <c r="BN7" s="4" t="str">
        <f ca="1">IF(BM7="",BL7&amp;BC7,BM7&amp;BC7)</f>
        <v>4A</v>
      </c>
      <c r="BO7" s="4">
        <f>RANK(BH7,$BH$4:$BH$7,0)</f>
        <v>1</v>
      </c>
      <c r="BP7" s="4" cm="1">
        <f t="array" aca="1" ref="BP7" ca="1">SUMPRODUCT((OFFSET($CV$3:$EA$3,MATCH($BD7,$CU$4:$CU$35,0),0))*((IF($BO5=$BO7,$CV$3:$EA$3=$BD5,0))+(IF($BO4=$BO7,$CV$3:$EA$3=$BD4,0))+(IF($BO6=$BO7,$CV$3:$EA$3=$BD6,0))))</f>
        <v>0</v>
      </c>
      <c r="BQ7" s="4" cm="1">
        <f t="array" aca="1" ref="BQ7" ca="1">SUMPRODUCT((OFFSET($ED$3:$FI$3,MATCH($BD7,$EC$4:$EC$35,0),0))*((IF($BO5=$BO7,$ED$3:$FI$3=$BD5,0))+(IF($BO4=$BO7,$ED$3:$FI$3=$BD4,0))+(IF($BO6=$BO7,$ED$3:$FI$3=$BD6,0))))</f>
        <v>0</v>
      </c>
      <c r="BR7" s="4" cm="1">
        <f t="array" aca="1" ref="BR7" ca="1">SUMPRODUCT((OFFSET($FL$3:$GQ$3,MATCH($BD7,$FK$4:$FK$35,0),0))*((IF($BO5=$BO7,$FL$3:$GQ$3=$BD5,0))+(IF($BO4=$BO7,$FL$3:$GQ$3=$BD4,0))+(IF($BO6=$BO7,$FL$3:$GQ$3=$BD6,0))))</f>
        <v>0</v>
      </c>
      <c r="BS7" s="4" cm="1">
        <f t="array" aca="1" ref="BS7" ca="1">SUMPRODUCT((OFFSET($CV$3:$EA$3,MATCH($BD7,$CU$4:$CU$35,0),0))*((IF($BO5&lt;&gt;$BO7,$CV$3:$EA$3=$BD5,0))+(IF($BO4&lt;&gt;$BO7,$CV$3:$EA$3=$BD4,0))+(IF($BO6&lt;&gt;$BO7,$CV$3:$EA$3=$BD6,0))))</f>
        <v>0</v>
      </c>
      <c r="BT7" s="4" cm="1">
        <f t="array" aca="1" ref="BT7" ca="1">SUMPRODUCT((OFFSET($ED$3:$FI$3,MATCH($BD7,$EC$4:$EC$35,0),0))*((IF($BO5&lt;&gt;$BO7,$ED$3:$FI$3=$BD5,0))+(IF($BO4&lt;&gt;$BO7,$ED$3:$FI$3=$BD4,0))+(IF($BO6&lt;&gt;$BO7,$ED$3:$FI$3=$BD6,0))))</f>
        <v>0</v>
      </c>
      <c r="BU7" s="4" cm="1">
        <f t="array" aca="1" ref="BU7" ca="1">SUMPRODUCT((OFFSET($FL$3:$GQ$3,MATCH($BD7,$FK$4:$FK$35,0),0))*((IF($BO5&lt;&gt;$BO7,$FL$3:$GQ$3=$BD5,0))+(IF($BO4&lt;&gt;$BO7,$FL$3:$GQ$3=$BD4,0))+(IF($BO6&lt;&gt;$BO7,$FL$3:$GQ$3=$BD6,0))))</f>
        <v>0</v>
      </c>
      <c r="BV7" s="4">
        <f>BK7</f>
        <v>0</v>
      </c>
      <c r="BW7" s="4">
        <f>BI7</f>
        <v>0</v>
      </c>
      <c r="BX7" s="4">
        <f ca="1">(BP7/10)+(BQ7/100)+(BR7/1000)+(BT7/10000)+(BU7/100000)+(BV7/1000000)+(BW7/10000000)+(ROW(BS4)/100000000)</f>
        <v>4.0000000000000001E-8</v>
      </c>
      <c r="BY7" s="4">
        <f ca="1">+BO7-BX7</f>
        <v>0.99999996000000002</v>
      </c>
      <c r="BZ7" s="4"/>
      <c r="CA7" s="4" t="s">
        <v>7</v>
      </c>
      <c r="CB7" s="4" t="str">
        <f ca="1">AV26</f>
        <v>Netherlands</v>
      </c>
      <c r="CC7" s="4">
        <f t="shared" ca="1" si="5"/>
        <v>0</v>
      </c>
      <c r="CD7" s="4">
        <f t="shared" ca="1" si="6"/>
        <v>0</v>
      </c>
      <c r="CE7" s="4">
        <f t="shared" ca="1" si="7"/>
        <v>0</v>
      </c>
      <c r="CF7" s="4">
        <f t="shared" ca="1" si="8"/>
        <v>0</v>
      </c>
      <c r="CG7" s="4">
        <f t="shared" ca="1" si="9"/>
        <v>6.9999999999999997E-7</v>
      </c>
      <c r="CH7" s="4">
        <f t="shared" ca="1" si="10"/>
        <v>3</v>
      </c>
      <c r="CI7" s="4"/>
      <c r="CJ7" s="4"/>
      <c r="CK7" s="4"/>
      <c r="CL7" s="4"/>
      <c r="CM7" s="4"/>
      <c r="CN7" s="4"/>
      <c r="CO7" s="4"/>
      <c r="CP7" s="4"/>
      <c r="CQ7" s="4"/>
      <c r="CR7" s="4"/>
      <c r="CU7" s="4" t="s">
        <v>31</v>
      </c>
      <c r="CV7" s="56">
        <f>SUMIFS(tblActuals354151923[Team 2 Points],tblActuals354151923[Team 2],$CU7,tblActuals354151923[Team 1],CV$3)+SUMIFS(tblActuals354151923[Team 1 Points],tblActuals354151923[Team 1],$CU7,tblActuals354151923[Team 2],CV$3)</f>
        <v>0</v>
      </c>
      <c r="CW7" s="56">
        <f>SUMIFS(tblActuals354151923[Team 2 Points],tblActuals354151923[Team 2],$CU7,tblActuals354151923[Team 1],CW$3)+SUMIFS(tblActuals354151923[Team 1 Points],tblActuals354151923[Team 1],$CU7,tblActuals354151923[Team 2],CW$3)</f>
        <v>0</v>
      </c>
      <c r="CX7" s="56">
        <f>SUMIFS(tblActuals354151923[Team 2 Points],tblActuals354151923[Team 2],$CU7,tblActuals354151923[Team 1],CX$3)+SUMIFS(tblActuals354151923[Team 1 Points],tblActuals354151923[Team 1],$CU7,tblActuals354151923[Team 2],CX$3)</f>
        <v>0</v>
      </c>
      <c r="CY7" s="56">
        <f>SUMIFS(tblActuals354151923[Team 2 Points],tblActuals354151923[Team 2],$CU7,tblActuals354151923[Team 1],CY$3)+SUMIFS(tblActuals354151923[Team 1 Points],tblActuals354151923[Team 1],$CU7,tblActuals354151923[Team 2],CY$3)</f>
        <v>0</v>
      </c>
      <c r="CZ7" s="56">
        <f>SUMIFS(tblActuals354151923[Team 2 Points],tblActuals354151923[Team 2],$CU7,tblActuals354151923[Team 1],CZ$3)+SUMIFS(tblActuals354151923[Team 1 Points],tblActuals354151923[Team 1],$CU7,tblActuals354151923[Team 2],CZ$3)</f>
        <v>0</v>
      </c>
      <c r="DA7" s="56">
        <f>SUMIFS(tblActuals354151923[Team 2 Points],tblActuals354151923[Team 2],$CU7,tblActuals354151923[Team 1],DA$3)+SUMIFS(tblActuals354151923[Team 1 Points],tblActuals354151923[Team 1],$CU7,tblActuals354151923[Team 2],DA$3)</f>
        <v>0</v>
      </c>
      <c r="DB7" s="56">
        <f>SUMIFS(tblActuals354151923[Team 2 Points],tblActuals354151923[Team 2],$CU7,tblActuals354151923[Team 1],DB$3)+SUMIFS(tblActuals354151923[Team 1 Points],tblActuals354151923[Team 1],$CU7,tblActuals354151923[Team 2],DB$3)</f>
        <v>0</v>
      </c>
      <c r="DC7" s="56">
        <f>SUMIFS(tblActuals354151923[Team 2 Points],tblActuals354151923[Team 2],$CU7,tblActuals354151923[Team 1],DC$3)+SUMIFS(tblActuals354151923[Team 1 Points],tblActuals354151923[Team 1],$CU7,tblActuals354151923[Team 2],DC$3)</f>
        <v>0</v>
      </c>
      <c r="DD7" s="56">
        <f>SUMIFS(tblActuals354151923[Team 2 Points],tblActuals354151923[Team 2],$CU7,tblActuals354151923[Team 1],DD$3)+SUMIFS(tblActuals354151923[Team 1 Points],tblActuals354151923[Team 1],$CU7,tblActuals354151923[Team 2],DD$3)</f>
        <v>0</v>
      </c>
      <c r="DE7" s="56">
        <f>SUMIFS(tblActuals354151923[Team 2 Points],tblActuals354151923[Team 2],$CU7,tblActuals354151923[Team 1],DE$3)+SUMIFS(tblActuals354151923[Team 1 Points],tblActuals354151923[Team 1],$CU7,tblActuals354151923[Team 2],DE$3)</f>
        <v>0</v>
      </c>
      <c r="DF7" s="56">
        <f>SUMIFS(tblActuals354151923[Team 2 Points],tblActuals354151923[Team 2],$CU7,tblActuals354151923[Team 1],DF$3)+SUMIFS(tblActuals354151923[Team 1 Points],tblActuals354151923[Team 1],$CU7,tblActuals354151923[Team 2],DF$3)</f>
        <v>0</v>
      </c>
      <c r="DG7" s="56">
        <f>SUMIFS(tblActuals354151923[Team 2 Points],tblActuals354151923[Team 2],$CU7,tblActuals354151923[Team 1],DG$3)+SUMIFS(tblActuals354151923[Team 1 Points],tblActuals354151923[Team 1],$CU7,tblActuals354151923[Team 2],DG$3)</f>
        <v>0</v>
      </c>
      <c r="DH7" s="56">
        <f>SUMIFS(tblActuals354151923[Team 2 Points],tblActuals354151923[Team 2],$CU7,tblActuals354151923[Team 1],DH$3)+SUMIFS(tblActuals354151923[Team 1 Points],tblActuals354151923[Team 1],$CU7,tblActuals354151923[Team 2],DH$3)</f>
        <v>0</v>
      </c>
      <c r="DI7" s="56">
        <f>SUMIFS(tblActuals354151923[Team 2 Points],tblActuals354151923[Team 2],$CU7,tblActuals354151923[Team 1],DI$3)+SUMIFS(tblActuals354151923[Team 1 Points],tblActuals354151923[Team 1],$CU7,tblActuals354151923[Team 2],DI$3)</f>
        <v>0</v>
      </c>
      <c r="DJ7" s="56">
        <f>SUMIFS(tblActuals354151923[Team 2 Points],tblActuals354151923[Team 2],$CU7,tblActuals354151923[Team 1],DJ$3)+SUMIFS(tblActuals354151923[Team 1 Points],tblActuals354151923[Team 1],$CU7,tblActuals354151923[Team 2],DJ$3)</f>
        <v>0</v>
      </c>
      <c r="DK7" s="56">
        <f>SUMIFS(tblActuals354151923[Team 2 Points],tblActuals354151923[Team 2],$CU7,tblActuals354151923[Team 1],DK$3)+SUMIFS(tblActuals354151923[Team 1 Points],tblActuals354151923[Team 1],$CU7,tblActuals354151923[Team 2],DK$3)</f>
        <v>0</v>
      </c>
      <c r="DL7" s="56">
        <f>SUMIFS(tblActuals354151923[Team 2 Points],tblActuals354151923[Team 2],$CU7,tblActuals354151923[Team 1],DL$3)+SUMIFS(tblActuals354151923[Team 1 Points],tblActuals354151923[Team 1],$CU7,tblActuals354151923[Team 2],DL$3)</f>
        <v>0</v>
      </c>
      <c r="DM7" s="56">
        <f>SUMIFS(tblActuals354151923[Team 2 Points],tblActuals354151923[Team 2],$CU7,tblActuals354151923[Team 1],DM$3)+SUMIFS(tblActuals354151923[Team 1 Points],tblActuals354151923[Team 1],$CU7,tblActuals354151923[Team 2],DM$3)</f>
        <v>0</v>
      </c>
      <c r="DN7" s="56">
        <f>SUMIFS(tblActuals354151923[Team 2 Points],tblActuals354151923[Team 2],$CU7,tblActuals354151923[Team 1],DN$3)+SUMIFS(tblActuals354151923[Team 1 Points],tblActuals354151923[Team 1],$CU7,tblActuals354151923[Team 2],DN$3)</f>
        <v>0</v>
      </c>
      <c r="DO7" s="56">
        <f>SUMIFS(tblActuals354151923[Team 2 Points],tblActuals354151923[Team 2],$CU7,tblActuals354151923[Team 1],DO$3)+SUMIFS(tblActuals354151923[Team 1 Points],tblActuals354151923[Team 1],$CU7,tblActuals354151923[Team 2],DO$3)</f>
        <v>0</v>
      </c>
      <c r="DP7" s="56">
        <f>SUMIFS(tblActuals354151923[Team 2 Points],tblActuals354151923[Team 2],$CU7,tblActuals354151923[Team 1],DP$3)+SUMIFS(tblActuals354151923[Team 1 Points],tblActuals354151923[Team 1],$CU7,tblActuals354151923[Team 2],DP$3)</f>
        <v>0</v>
      </c>
      <c r="DQ7" s="56">
        <f>SUMIFS(tblActuals354151923[Team 2 Points],tblActuals354151923[Team 2],$CU7,tblActuals354151923[Team 1],DQ$3)+SUMIFS(tblActuals354151923[Team 1 Points],tblActuals354151923[Team 1],$CU7,tblActuals354151923[Team 2],DQ$3)</f>
        <v>0</v>
      </c>
      <c r="DR7" s="56">
        <f>SUMIFS(tblActuals354151923[Team 2 Points],tblActuals354151923[Team 2],$CU7,tblActuals354151923[Team 1],DR$3)+SUMIFS(tblActuals354151923[Team 1 Points],tblActuals354151923[Team 1],$CU7,tblActuals354151923[Team 2],DR$3)</f>
        <v>0</v>
      </c>
      <c r="DS7" s="56">
        <f>SUMIFS(tblActuals354151923[Team 2 Points],tblActuals354151923[Team 2],$CU7,tblActuals354151923[Team 1],DS$3)+SUMIFS(tblActuals354151923[Team 1 Points],tblActuals354151923[Team 1],$CU7,tblActuals354151923[Team 2],DS$3)</f>
        <v>0</v>
      </c>
      <c r="DT7" s="57"/>
      <c r="DU7" s="57"/>
      <c r="DV7" s="57"/>
      <c r="DW7" s="57"/>
      <c r="DX7" s="57"/>
      <c r="DY7" s="57"/>
      <c r="DZ7" s="57"/>
      <c r="EA7" s="57"/>
      <c r="EB7" s="4"/>
      <c r="EC7" s="4" t="s">
        <v>31</v>
      </c>
      <c r="ED7" s="56">
        <f>SUMIFS(tblActuals354151923[Team 2 GD],tblActuals354151923[Team 2],$CU7,tblActuals354151923[Team 1],ED$3)+SUMIFS(tblActuals354151923[Team 1 GD],tblActuals354151923[Team 1],$CU7,tblActuals354151923[Team 2],ED$3)</f>
        <v>0</v>
      </c>
      <c r="EE7" s="56">
        <f>SUMIFS(tblActuals354151923[Team 2 GD],tblActuals354151923[Team 2],$CU7,tblActuals354151923[Team 1],EE$3)+SUMIFS(tblActuals354151923[Team 1 GD],tblActuals354151923[Team 1],$CU7,tblActuals354151923[Team 2],EE$3)</f>
        <v>0</v>
      </c>
      <c r="EF7" s="56">
        <f>SUMIFS(tblActuals354151923[Team 2 GD],tblActuals354151923[Team 2],$CU7,tblActuals354151923[Team 1],EF$3)+SUMIFS(tblActuals354151923[Team 1 GD],tblActuals354151923[Team 1],$CU7,tblActuals354151923[Team 2],EF$3)</f>
        <v>0</v>
      </c>
      <c r="EG7" s="56">
        <f>SUMIFS(tblActuals354151923[Team 2 GD],tblActuals354151923[Team 2],$CU7,tblActuals354151923[Team 1],EG$3)+SUMIFS(tblActuals354151923[Team 1 GD],tblActuals354151923[Team 1],$CU7,tblActuals354151923[Team 2],EG$3)</f>
        <v>0</v>
      </c>
      <c r="EH7" s="56">
        <f>SUMIFS(tblActuals354151923[Team 2 GD],tblActuals354151923[Team 2],$CU7,tblActuals354151923[Team 1],EH$3)+SUMIFS(tblActuals354151923[Team 1 GD],tblActuals354151923[Team 1],$CU7,tblActuals354151923[Team 2],EH$3)</f>
        <v>0</v>
      </c>
      <c r="EI7" s="56">
        <f>SUMIFS(tblActuals354151923[Team 2 GD],tblActuals354151923[Team 2],$CU7,tblActuals354151923[Team 1],EI$3)+SUMIFS(tblActuals354151923[Team 1 GD],tblActuals354151923[Team 1],$CU7,tblActuals354151923[Team 2],EI$3)</f>
        <v>0</v>
      </c>
      <c r="EJ7" s="56">
        <f>SUMIFS(tblActuals354151923[Team 2 GD],tblActuals354151923[Team 2],$CU7,tblActuals354151923[Team 1],EJ$3)+SUMIFS(tblActuals354151923[Team 1 GD],tblActuals354151923[Team 1],$CU7,tblActuals354151923[Team 2],EJ$3)</f>
        <v>0</v>
      </c>
      <c r="EK7" s="56">
        <f>SUMIFS(tblActuals354151923[Team 2 GD],tblActuals354151923[Team 2],$CU7,tblActuals354151923[Team 1],EK$3)+SUMIFS(tblActuals354151923[Team 1 GD],tblActuals354151923[Team 1],$CU7,tblActuals354151923[Team 2],EK$3)</f>
        <v>0</v>
      </c>
      <c r="EL7" s="56">
        <f>SUMIFS(tblActuals354151923[Team 2 GD],tblActuals354151923[Team 2],$CU7,tblActuals354151923[Team 1],EL$3)+SUMIFS(tblActuals354151923[Team 1 GD],tblActuals354151923[Team 1],$CU7,tblActuals354151923[Team 2],EL$3)</f>
        <v>0</v>
      </c>
      <c r="EM7" s="56">
        <f>SUMIFS(tblActuals354151923[Team 2 GD],tblActuals354151923[Team 2],$CU7,tblActuals354151923[Team 1],EM$3)+SUMIFS(tblActuals354151923[Team 1 GD],tblActuals354151923[Team 1],$CU7,tblActuals354151923[Team 2],EM$3)</f>
        <v>0</v>
      </c>
      <c r="EN7" s="56">
        <f>SUMIFS(tblActuals354151923[Team 2 GD],tblActuals354151923[Team 2],$CU7,tblActuals354151923[Team 1],EN$3)+SUMIFS(tblActuals354151923[Team 1 GD],tblActuals354151923[Team 1],$CU7,tblActuals354151923[Team 2],EN$3)</f>
        <v>0</v>
      </c>
      <c r="EO7" s="56">
        <f>SUMIFS(tblActuals354151923[Team 2 GD],tblActuals354151923[Team 2],$CU7,tblActuals354151923[Team 1],EO$3)+SUMIFS(tblActuals354151923[Team 1 GD],tblActuals354151923[Team 1],$CU7,tblActuals354151923[Team 2],EO$3)</f>
        <v>0</v>
      </c>
      <c r="EP7" s="56">
        <f>SUMIFS(tblActuals354151923[Team 2 GD],tblActuals354151923[Team 2],$CU7,tblActuals354151923[Team 1],EP$3)+SUMIFS(tblActuals354151923[Team 1 GD],tblActuals354151923[Team 1],$CU7,tblActuals354151923[Team 2],EP$3)</f>
        <v>0</v>
      </c>
      <c r="EQ7" s="56">
        <f>SUMIFS(tblActuals354151923[Team 2 GD],tblActuals354151923[Team 2],$CU7,tblActuals354151923[Team 1],EQ$3)+SUMIFS(tblActuals354151923[Team 1 GD],tblActuals354151923[Team 1],$CU7,tblActuals354151923[Team 2],EQ$3)</f>
        <v>0</v>
      </c>
      <c r="ER7" s="56">
        <f>SUMIFS(tblActuals354151923[Team 2 GD],tblActuals354151923[Team 2],$CU7,tblActuals354151923[Team 1],ER$3)+SUMIFS(tblActuals354151923[Team 1 GD],tblActuals354151923[Team 1],$CU7,tblActuals354151923[Team 2],ER$3)</f>
        <v>0</v>
      </c>
      <c r="ES7" s="56">
        <f>SUMIFS(tblActuals354151923[Team 2 GD],tblActuals354151923[Team 2],$CU7,tblActuals354151923[Team 1],ES$3)+SUMIFS(tblActuals354151923[Team 1 GD],tblActuals354151923[Team 1],$CU7,tblActuals354151923[Team 2],ES$3)</f>
        <v>0</v>
      </c>
      <c r="ET7" s="56">
        <f>SUMIFS(tblActuals354151923[Team 2 GD],tblActuals354151923[Team 2],$CU7,tblActuals354151923[Team 1],ET$3)+SUMIFS(tblActuals354151923[Team 1 GD],tblActuals354151923[Team 1],$CU7,tblActuals354151923[Team 2],ET$3)</f>
        <v>0</v>
      </c>
      <c r="EU7" s="56">
        <f>SUMIFS(tblActuals354151923[Team 2 GD],tblActuals354151923[Team 2],$CU7,tblActuals354151923[Team 1],EU$3)+SUMIFS(tblActuals354151923[Team 1 GD],tblActuals354151923[Team 1],$CU7,tblActuals354151923[Team 2],EU$3)</f>
        <v>0</v>
      </c>
      <c r="EV7" s="56">
        <f>SUMIFS(tblActuals354151923[Team 2 GD],tblActuals354151923[Team 2],$CU7,tblActuals354151923[Team 1],EV$3)+SUMIFS(tblActuals354151923[Team 1 GD],tblActuals354151923[Team 1],$CU7,tblActuals354151923[Team 2],EV$3)</f>
        <v>0</v>
      </c>
      <c r="EW7" s="56">
        <f>SUMIFS(tblActuals354151923[Team 2 GD],tblActuals354151923[Team 2],$CU7,tblActuals354151923[Team 1],EW$3)+SUMIFS(tblActuals354151923[Team 1 GD],tblActuals354151923[Team 1],$CU7,tblActuals354151923[Team 2],EW$3)</f>
        <v>0</v>
      </c>
      <c r="EX7" s="56">
        <f>SUMIFS(tblActuals354151923[Team 2 GD],tblActuals354151923[Team 2],$CU7,tblActuals354151923[Team 1],EX$3)+SUMIFS(tblActuals354151923[Team 1 GD],tblActuals354151923[Team 1],$CU7,tblActuals354151923[Team 2],EX$3)</f>
        <v>0</v>
      </c>
      <c r="EY7" s="56">
        <f>SUMIFS(tblActuals354151923[Team 2 GD],tblActuals354151923[Team 2],$CU7,tblActuals354151923[Team 1],EY$3)+SUMIFS(tblActuals354151923[Team 1 GD],tblActuals354151923[Team 1],$CU7,tblActuals354151923[Team 2],EY$3)</f>
        <v>0</v>
      </c>
      <c r="EZ7" s="56">
        <f>SUMIFS(tblActuals354151923[Team 2 GD],tblActuals354151923[Team 2],$CU7,tblActuals354151923[Team 1],EZ$3)+SUMIFS(tblActuals354151923[Team 1 GD],tblActuals354151923[Team 1],$CU7,tblActuals354151923[Team 2],EZ$3)</f>
        <v>0</v>
      </c>
      <c r="FA7" s="56">
        <f>SUMIFS(tblActuals354151923[Team 2 GD],tblActuals354151923[Team 2],$CU7,tblActuals354151923[Team 1],FA$3)+SUMIFS(tblActuals354151923[Team 1 GD],tblActuals354151923[Team 1],$CU7,tblActuals354151923[Team 2],FA$3)</f>
        <v>0</v>
      </c>
      <c r="FB7" s="57"/>
      <c r="FC7" s="57"/>
      <c r="FD7" s="57"/>
      <c r="FE7" s="57"/>
      <c r="FF7" s="57"/>
      <c r="FG7" s="57"/>
      <c r="FH7" s="57"/>
      <c r="FI7" s="57"/>
      <c r="FJ7" s="4"/>
      <c r="FK7" s="4" t="s">
        <v>31</v>
      </c>
      <c r="FL7" s="56">
        <f>SUMIFS(tblActuals354151923[Team 2 Goals],tblActuals354151923[Team 2],$CU7,tblActuals354151923[Team 1],FL$3)+SUMIFS(tblActuals354151923[Team 1 Goals],tblActuals354151923[Team 1],$CU7,tblActuals354151923[Team 2],FL$3)</f>
        <v>0</v>
      </c>
      <c r="FM7" s="56">
        <f>SUMIFS(tblActuals354151923[Team 2 Goals],tblActuals354151923[Team 2],$CU7,tblActuals354151923[Team 1],FM$3)+SUMIFS(tblActuals354151923[Team 1 Goals],tblActuals354151923[Team 1],$CU7,tblActuals354151923[Team 2],FM$3)</f>
        <v>0</v>
      </c>
      <c r="FN7" s="56">
        <f>SUMIFS(tblActuals354151923[Team 2 Goals],tblActuals354151923[Team 2],$CU7,tblActuals354151923[Team 1],FN$3)+SUMIFS(tblActuals354151923[Team 1 Goals],tblActuals354151923[Team 1],$CU7,tblActuals354151923[Team 2],FN$3)</f>
        <v>0</v>
      </c>
      <c r="FO7" s="56">
        <f>SUMIFS(tblActuals354151923[Team 2 Goals],tblActuals354151923[Team 2],$CU7,tblActuals354151923[Team 1],FO$3)+SUMIFS(tblActuals354151923[Team 1 Goals],tblActuals354151923[Team 1],$CU7,tblActuals354151923[Team 2],FO$3)</f>
        <v>0</v>
      </c>
      <c r="FP7" s="56">
        <f>SUMIFS(tblActuals354151923[Team 2 Goals],tblActuals354151923[Team 2],$CU7,tblActuals354151923[Team 1],FP$3)+SUMIFS(tblActuals354151923[Team 1 Goals],tblActuals354151923[Team 1],$CU7,tblActuals354151923[Team 2],FP$3)</f>
        <v>0</v>
      </c>
      <c r="FQ7" s="56">
        <f>SUMIFS(tblActuals354151923[Team 2 Goals],tblActuals354151923[Team 2],$CU7,tblActuals354151923[Team 1],FQ$3)+SUMIFS(tblActuals354151923[Team 1 Goals],tblActuals354151923[Team 1],$CU7,tblActuals354151923[Team 2],FQ$3)</f>
        <v>0</v>
      </c>
      <c r="FR7" s="56">
        <f>SUMIFS(tblActuals354151923[Team 2 Goals],tblActuals354151923[Team 2],$CU7,tblActuals354151923[Team 1],FR$3)+SUMIFS(tblActuals354151923[Team 1 Goals],tblActuals354151923[Team 1],$CU7,tblActuals354151923[Team 2],FR$3)</f>
        <v>0</v>
      </c>
      <c r="FS7" s="56">
        <f>SUMIFS(tblActuals354151923[Team 2 Goals],tblActuals354151923[Team 2],$CU7,tblActuals354151923[Team 1],FS$3)+SUMIFS(tblActuals354151923[Team 1 Goals],tblActuals354151923[Team 1],$CU7,tblActuals354151923[Team 2],FS$3)</f>
        <v>0</v>
      </c>
      <c r="FT7" s="56">
        <f>SUMIFS(tblActuals354151923[Team 2 Goals],tblActuals354151923[Team 2],$CU7,tblActuals354151923[Team 1],FT$3)+SUMIFS(tblActuals354151923[Team 1 Goals],tblActuals354151923[Team 1],$CU7,tblActuals354151923[Team 2],FT$3)</f>
        <v>0</v>
      </c>
      <c r="FU7" s="56">
        <f>SUMIFS(tblActuals354151923[Team 2 Goals],tblActuals354151923[Team 2],$CU7,tblActuals354151923[Team 1],FU$3)+SUMIFS(tblActuals354151923[Team 1 Goals],tblActuals354151923[Team 1],$CU7,tblActuals354151923[Team 2],FU$3)</f>
        <v>0</v>
      </c>
      <c r="FV7" s="56">
        <f>SUMIFS(tblActuals354151923[Team 2 Goals],tblActuals354151923[Team 2],$CU7,tblActuals354151923[Team 1],FV$3)+SUMIFS(tblActuals354151923[Team 1 Goals],tblActuals354151923[Team 1],$CU7,tblActuals354151923[Team 2],FV$3)</f>
        <v>0</v>
      </c>
      <c r="FW7" s="56">
        <f>SUMIFS(tblActuals354151923[Team 2 Goals],tblActuals354151923[Team 2],$CU7,tblActuals354151923[Team 1],FW$3)+SUMIFS(tblActuals354151923[Team 1 Goals],tblActuals354151923[Team 1],$CU7,tblActuals354151923[Team 2],FW$3)</f>
        <v>0</v>
      </c>
      <c r="FX7" s="56">
        <f>SUMIFS(tblActuals354151923[Team 2 Goals],tblActuals354151923[Team 2],$CU7,tblActuals354151923[Team 1],FX$3)+SUMIFS(tblActuals354151923[Team 1 Goals],tblActuals354151923[Team 1],$CU7,tblActuals354151923[Team 2],FX$3)</f>
        <v>0</v>
      </c>
      <c r="FY7" s="56">
        <f>SUMIFS(tblActuals354151923[Team 2 Goals],tblActuals354151923[Team 2],$CU7,tblActuals354151923[Team 1],FY$3)+SUMIFS(tblActuals354151923[Team 1 Goals],tblActuals354151923[Team 1],$CU7,tblActuals354151923[Team 2],FY$3)</f>
        <v>0</v>
      </c>
      <c r="FZ7" s="56">
        <f>SUMIFS(tblActuals354151923[Team 2 Goals],tblActuals354151923[Team 2],$CU7,tblActuals354151923[Team 1],FZ$3)+SUMIFS(tblActuals354151923[Team 1 Goals],tblActuals354151923[Team 1],$CU7,tblActuals354151923[Team 2],FZ$3)</f>
        <v>0</v>
      </c>
      <c r="GA7" s="56">
        <f>SUMIFS(tblActuals354151923[Team 2 Goals],tblActuals354151923[Team 2],$CU7,tblActuals354151923[Team 1],GA$3)+SUMIFS(tblActuals354151923[Team 1 Goals],tblActuals354151923[Team 1],$CU7,tblActuals354151923[Team 2],GA$3)</f>
        <v>0</v>
      </c>
      <c r="GB7" s="56">
        <f>SUMIFS(tblActuals354151923[Team 2 Goals],tblActuals354151923[Team 2],$CU7,tblActuals354151923[Team 1],GB$3)+SUMIFS(tblActuals354151923[Team 1 Goals],tblActuals354151923[Team 1],$CU7,tblActuals354151923[Team 2],GB$3)</f>
        <v>0</v>
      </c>
      <c r="GC7" s="56">
        <f>SUMIFS(tblActuals354151923[Team 2 Goals],tblActuals354151923[Team 2],$CU7,tblActuals354151923[Team 1],GC$3)+SUMIFS(tblActuals354151923[Team 1 Goals],tblActuals354151923[Team 1],$CU7,tblActuals354151923[Team 2],GC$3)</f>
        <v>0</v>
      </c>
      <c r="GD7" s="56">
        <f>SUMIFS(tblActuals354151923[Team 2 Goals],tblActuals354151923[Team 2],$CU7,tblActuals354151923[Team 1],GD$3)+SUMIFS(tblActuals354151923[Team 1 Goals],tblActuals354151923[Team 1],$CU7,tblActuals354151923[Team 2],GD$3)</f>
        <v>0</v>
      </c>
      <c r="GE7" s="56">
        <f>SUMIFS(tblActuals354151923[Team 2 Goals],tblActuals354151923[Team 2],$CU7,tblActuals354151923[Team 1],GE$3)+SUMIFS(tblActuals354151923[Team 1 Goals],tblActuals354151923[Team 1],$CU7,tblActuals354151923[Team 2],GE$3)</f>
        <v>0</v>
      </c>
      <c r="GF7" s="56">
        <f>SUMIFS(tblActuals354151923[Team 2 Goals],tblActuals354151923[Team 2],$CU7,tblActuals354151923[Team 1],GF$3)+SUMIFS(tblActuals354151923[Team 1 Goals],tblActuals354151923[Team 1],$CU7,tblActuals354151923[Team 2],GF$3)</f>
        <v>0</v>
      </c>
      <c r="GG7" s="56">
        <f>SUMIFS(tblActuals354151923[Team 2 Goals],tblActuals354151923[Team 2],$CU7,tblActuals354151923[Team 1],GG$3)+SUMIFS(tblActuals354151923[Team 1 Goals],tblActuals354151923[Team 1],$CU7,tblActuals354151923[Team 2],GG$3)</f>
        <v>0</v>
      </c>
      <c r="GH7" s="56">
        <f>SUMIFS(tblActuals354151923[Team 2 Goals],tblActuals354151923[Team 2],$CU7,tblActuals354151923[Team 1],GH$3)+SUMIFS(tblActuals354151923[Team 1 Goals],tblActuals354151923[Team 1],$CU7,tblActuals354151923[Team 2],GH$3)</f>
        <v>0</v>
      </c>
      <c r="GI7" s="56">
        <f>SUMIFS(tblActuals354151923[Team 2 Goals],tblActuals354151923[Team 2],$CU7,tblActuals354151923[Team 1],GI$3)+SUMIFS(tblActuals354151923[Team 1 Goals],tblActuals354151923[Team 1],$CU7,tblActuals354151923[Team 2],GI$3)</f>
        <v>0</v>
      </c>
      <c r="GJ7" s="57"/>
      <c r="GK7" s="57"/>
      <c r="GL7" s="37"/>
      <c r="GM7" s="37"/>
      <c r="GN7" s="37"/>
      <c r="GO7" s="37"/>
      <c r="GP7" s="37"/>
      <c r="GQ7" s="37"/>
      <c r="GR7" s="75"/>
      <c r="GS7" s="156"/>
      <c r="GT7" s="156"/>
      <c r="GU7" s="75"/>
      <c r="GV7" s="22"/>
      <c r="GW7" s="75"/>
      <c r="GX7" s="75"/>
      <c r="GY7" s="75"/>
      <c r="GZ7" s="75"/>
      <c r="HB7" s="4" t="str">
        <f t="shared" si="12"/>
        <v>ABCF</v>
      </c>
      <c r="HC7" s="44" t="s">
        <v>1</v>
      </c>
      <c r="HD7" s="44" t="s">
        <v>5</v>
      </c>
      <c r="HE7" s="44" t="s">
        <v>6</v>
      </c>
      <c r="HF7" s="45"/>
      <c r="HG7" s="45"/>
      <c r="HH7" s="44" t="s">
        <v>45</v>
      </c>
      <c r="HI7" s="178"/>
      <c r="HJ7" s="45" t="s">
        <v>149</v>
      </c>
      <c r="HK7" s="45" t="s">
        <v>154</v>
      </c>
      <c r="HL7" s="45" t="s">
        <v>151</v>
      </c>
      <c r="HM7" s="45" t="s">
        <v>152</v>
      </c>
    </row>
    <row r="8" spans="1:221" s="11" customFormat="1" ht="30" customHeight="1" x14ac:dyDescent="0.2">
      <c r="A8" s="30" t="s">
        <v>49</v>
      </c>
      <c r="B8" s="122">
        <v>5</v>
      </c>
      <c r="C8" s="122" t="s">
        <v>6</v>
      </c>
      <c r="D8" s="123">
        <v>45459</v>
      </c>
      <c r="E8" s="122" t="s">
        <v>82</v>
      </c>
      <c r="F8" s="124">
        <v>0.875</v>
      </c>
      <c r="G8" s="125">
        <f t="shared" si="11"/>
        <v>45459.625</v>
      </c>
      <c r="H8" s="122" t="s">
        <v>93</v>
      </c>
      <c r="I8" s="126"/>
      <c r="J8" s="118"/>
      <c r="K8" s="118"/>
      <c r="L8" s="174">
        <f>IF(I8="",0,IFERROR(IF(SCORING.RULES!$C$8="No",1,((VLOOKUP($B8,ACTUALS!$B$4:$L$100,7,FALSE)=$H8)+(VLOOKUP($B8,ACTUALS!$B$4:$L$100,7,FALSE)=S8)))*(M8+N8+O8+P8+Q8),0))+$R8</f>
        <v>0</v>
      </c>
      <c r="M8" s="168">
        <f>IFERROR(IF($B8="","",IF(U8=INDEX(ACTUALS!$AA$4:$AA$100,MATCH($B8,ACTUALS!$B$4:$B$100,0),1),CorrectScore,0)),0)</f>
        <v>0</v>
      </c>
      <c r="N8" s="157" t="str">
        <f>IFERROR(IF(I8="","",IF(INDEX(ACTUALS!$AB$4:$AB$100,MATCH($B8,ACTUALS!$B$4:$B$100,0),1)=(AB8+AC8+AH8+AI8),CorrectNumberofGoals,0)),0)</f>
        <v/>
      </c>
      <c r="O8" s="157"/>
      <c r="P8" s="157">
        <f>IFERROR(IF(B8="","",IF(INDEX(ACTUALS!$L$4:$L$100,MATCH($B8,ACTUALS!$B$4:$B$100,0),1)=W8,CorrectResult,0)),0)</f>
        <v>3</v>
      </c>
      <c r="Q8" s="157"/>
      <c r="R8" s="157"/>
      <c r="S8" s="157" t="str">
        <f t="shared" si="0"/>
        <v/>
      </c>
      <c r="T8" s="157"/>
      <c r="U8" s="157" t="str">
        <f t="shared" si="1"/>
        <v/>
      </c>
      <c r="V8" s="157" t="str">
        <f t="shared" si="2"/>
        <v/>
      </c>
      <c r="W8" s="119" t="str">
        <f>IF(tblActuals354151923[[#This Row],[SCORE]]="","",IF(AB8=AC8,"Draw",IF(AB8&gt;AC8,X8,Y8)))</f>
        <v/>
      </c>
      <c r="X8" s="120" t="str">
        <f>IF(tblActuals354151923[[#This Row],[TEAMS]]="","",LEFT(H8,FIND(" -",H8,1)-1))</f>
        <v>Serbia</v>
      </c>
      <c r="Y8" s="120" t="str">
        <f>IF(tblActuals354151923[[#This Row],[TEAMS]]="","",MID(H8,FIND("-",H8,1)+2,LEN(H8)-FIND("-",H8,1)+2))</f>
        <v>England</v>
      </c>
      <c r="Z8" s="120" t="str">
        <f>IF(tblActuals354151923[[#This Row],[Team 1 Goals]]&gt;tblActuals354151923[[#This Row],[Team 2 Goals]],tblActuals354151923[[#This Row],[Team 1]],IF(tblActuals354151923[[#This Row],[Team 2 Goals]]&gt;tblActuals354151923[[#This Row],[Team 1 Goals]],tblActuals354151923[[#This Row],[Team 2]],""))</f>
        <v/>
      </c>
      <c r="AA8" s="120" t="str">
        <f>IF(tblActuals354151923[[#This Row],[Winner]]=tblActuals354151923[[#This Row],[Team 1]],tblActuals354151923[[#This Row],[Team 2]],IF(tblActuals354151923[[#This Row],[Winner]]=tblActuals354151923[[#This Row],[Team 2]],tblActuals354151923[[#This Row],[Team 1]],""))</f>
        <v/>
      </c>
      <c r="AB8" s="120" t="str">
        <f>IF(tblActuals354151923[[#This Row],[SCORE]]="","",LEFT(I8,FIND(":",I8,1)-1)*1)</f>
        <v/>
      </c>
      <c r="AC8" s="120" t="str">
        <f>IF(tblActuals354151923[[#This Row],[SCORE]]="","",MID(I8,FIND(":",I8,1)+1,LEN(I8)-FIND(":",I8,1)+1)*1)</f>
        <v/>
      </c>
      <c r="AD8" s="120" t="str">
        <f>IF(OR(tblActuals354151923[[#This Row],[Team 1 Goals]]="",tblActuals354151923[[#This Row],[Team 2 Goals]]=""),"",tblActuals354151923[[#This Row],[Team 1 Goals]]-tblActuals354151923[[#This Row],[Team 2 Goals]])</f>
        <v/>
      </c>
      <c r="AE8" s="120" t="str">
        <f>IF(OR(tblActuals354151923[[#This Row],[Team 1 Goals]]="",tblActuals354151923[[#This Row],[Team 2 Goals]]=""),"",tblActuals354151923[[#This Row],[Team 2 Goals]]-tblActuals354151923[[#This Row],[Team 1 Goals]])</f>
        <v/>
      </c>
      <c r="AF8" s="120" t="str">
        <f>IF(tblActuals354151923[[#This Row],[SCORE]]="","",IF(tblActuals354151923[[#This Row],[WINNER / RESULT]]="Draw",1,IF(tblActuals354151923[[#This Row],[WINNER / RESULT]]=tblActuals354151923[[#This Row],[Team 1]],3,0)))</f>
        <v/>
      </c>
      <c r="AG8" s="120" t="str">
        <f>IF(tblActuals354151923[[#This Row],[SCORE]]="","",IF(tblActuals354151923[[#This Row],[WINNER / RESULT]]="Draw",1,IF(tblActuals354151923[[#This Row],[WINNER / RESULT]]=tblActuals354151923[[#This Row],[Team 2]],3,0)))</f>
        <v/>
      </c>
      <c r="AH8" s="121"/>
      <c r="AI8" s="121"/>
      <c r="AJ8" s="121"/>
      <c r="AK8" s="121"/>
      <c r="AL8" s="120" t="e">
        <f>tblActuals354151923[[#This Row],[Team 1 Goals]]+tblActuals354151923[[#This Row],[Team 1 ET Goals]]&amp;":"&amp;tblActuals354151923[[#This Row],[Team 2 Goals]]+tblActuals354151923[[#This Row],[Team 2 ET Goals]]</f>
        <v>#VALUE!</v>
      </c>
      <c r="AM8" s="120" t="e">
        <f>+tblActuals354151923[[#This Row],[Team 1 Goals]]+tblActuals354151923[[#This Row],[Team 2 Goals]]</f>
        <v>#VALUE!</v>
      </c>
      <c r="AN8" s="161">
        <f t="shared" si="3"/>
        <v>45459</v>
      </c>
      <c r="AP8" s="38" t="s">
        <v>85</v>
      </c>
      <c r="AT8" s="77" t="s">
        <v>1</v>
      </c>
      <c r="AU8" s="142">
        <v>3</v>
      </c>
      <c r="AV8" s="143" t="str">
        <f ca="1">IFERROR(INDEX(BD:BD,MATCH("3"&amp;AT8,BN:BN,0),1),"")</f>
        <v>Scotland</v>
      </c>
      <c r="AW8" s="143" t="str">
        <f ca="1">IF(AV8="","",VLOOKUP(AV8,BD:BI,2,FALSE)&amp;"-"&amp;VLOOKUP(AV8,BD:BI,3,FALSE)&amp;"-"&amp;VLOOKUP(AV8,BD:BI,4,FALSE))</f>
        <v>0-0-0</v>
      </c>
      <c r="AX8" s="143">
        <f ca="1">IF(AV8="","",VLOOKUP(AV8,BD:BK,8,FALSE))</f>
        <v>0</v>
      </c>
      <c r="AY8" s="144">
        <f ca="1">IF(AV8="","",VLOOKUP(AV8,BD:BN,5,FALSE))</f>
        <v>0</v>
      </c>
      <c r="AZ8" s="75" t="str">
        <f ca="1">IF(INDEX($AU$43:$AU$48,MATCH(AV8,$AV$43:$AV$48,0),1)&lt;=4,"X","")</f>
        <v/>
      </c>
      <c r="BA8" s="42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 t="str">
        <f t="shared" si="4"/>
        <v/>
      </c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 t="s">
        <v>12</v>
      </c>
      <c r="CB8" s="4" t="str">
        <f ca="1">AV32</f>
        <v>Slovakia</v>
      </c>
      <c r="CC8" s="4">
        <f t="shared" ca="1" si="5"/>
        <v>0</v>
      </c>
      <c r="CD8" s="4">
        <f t="shared" ca="1" si="6"/>
        <v>0</v>
      </c>
      <c r="CE8" s="4">
        <f t="shared" ca="1" si="7"/>
        <v>0</v>
      </c>
      <c r="CF8" s="4">
        <f t="shared" ca="1" si="8"/>
        <v>0</v>
      </c>
      <c r="CG8" s="4">
        <f t="shared" ca="1" si="9"/>
        <v>7.9999999999999996E-7</v>
      </c>
      <c r="CH8" s="4">
        <f t="shared" ca="1" si="10"/>
        <v>2</v>
      </c>
      <c r="CI8" s="4"/>
      <c r="CJ8" s="4"/>
      <c r="CK8" s="4"/>
      <c r="CL8" s="4"/>
      <c r="CM8" s="4"/>
      <c r="CN8" s="4"/>
      <c r="CO8" s="4"/>
      <c r="CP8" s="4"/>
      <c r="CQ8" s="4"/>
      <c r="CR8" s="4"/>
      <c r="CU8" s="4" t="s">
        <v>28</v>
      </c>
      <c r="CV8" s="56">
        <f>SUMIFS(tblActuals354151923[Team 2 Points],tblActuals354151923[Team 2],$CU8,tblActuals354151923[Team 1],CV$3)+SUMIFS(tblActuals354151923[Team 1 Points],tblActuals354151923[Team 1],$CU8,tblActuals354151923[Team 2],CV$3)</f>
        <v>0</v>
      </c>
      <c r="CW8" s="56">
        <f>SUMIFS(tblActuals354151923[Team 2 Points],tblActuals354151923[Team 2],$CU8,tblActuals354151923[Team 1],CW$3)+SUMIFS(tblActuals354151923[Team 1 Points],tblActuals354151923[Team 1],$CU8,tblActuals354151923[Team 2],CW$3)</f>
        <v>0</v>
      </c>
      <c r="CX8" s="56">
        <f>SUMIFS(tblActuals354151923[Team 2 Points],tblActuals354151923[Team 2],$CU8,tblActuals354151923[Team 1],CX$3)+SUMIFS(tblActuals354151923[Team 1 Points],tblActuals354151923[Team 1],$CU8,tblActuals354151923[Team 2],CX$3)</f>
        <v>0</v>
      </c>
      <c r="CY8" s="56">
        <f>SUMIFS(tblActuals354151923[Team 2 Points],tblActuals354151923[Team 2],$CU8,tblActuals354151923[Team 1],CY$3)+SUMIFS(tblActuals354151923[Team 1 Points],tblActuals354151923[Team 1],$CU8,tblActuals354151923[Team 2],CY$3)</f>
        <v>0</v>
      </c>
      <c r="CZ8" s="56">
        <f>SUMIFS(tblActuals354151923[Team 2 Points],tblActuals354151923[Team 2],$CU8,tblActuals354151923[Team 1],CZ$3)+SUMIFS(tblActuals354151923[Team 1 Points],tblActuals354151923[Team 1],$CU8,tblActuals354151923[Team 2],CZ$3)</f>
        <v>0</v>
      </c>
      <c r="DA8" s="56">
        <f>SUMIFS(tblActuals354151923[Team 2 Points],tblActuals354151923[Team 2],$CU8,tblActuals354151923[Team 1],DA$3)+SUMIFS(tblActuals354151923[Team 1 Points],tblActuals354151923[Team 1],$CU8,tblActuals354151923[Team 2],DA$3)</f>
        <v>0</v>
      </c>
      <c r="DB8" s="56">
        <f>SUMIFS(tblActuals354151923[Team 2 Points],tblActuals354151923[Team 2],$CU8,tblActuals354151923[Team 1],DB$3)+SUMIFS(tblActuals354151923[Team 1 Points],tblActuals354151923[Team 1],$CU8,tblActuals354151923[Team 2],DB$3)</f>
        <v>0</v>
      </c>
      <c r="DC8" s="56">
        <f>SUMIFS(tblActuals354151923[Team 2 Points],tblActuals354151923[Team 2],$CU8,tblActuals354151923[Team 1],DC$3)+SUMIFS(tblActuals354151923[Team 1 Points],tblActuals354151923[Team 1],$CU8,tblActuals354151923[Team 2],DC$3)</f>
        <v>0</v>
      </c>
      <c r="DD8" s="56">
        <f>SUMIFS(tblActuals354151923[Team 2 Points],tblActuals354151923[Team 2],$CU8,tblActuals354151923[Team 1],DD$3)+SUMIFS(tblActuals354151923[Team 1 Points],tblActuals354151923[Team 1],$CU8,tblActuals354151923[Team 2],DD$3)</f>
        <v>0</v>
      </c>
      <c r="DE8" s="56">
        <f>SUMIFS(tblActuals354151923[Team 2 Points],tblActuals354151923[Team 2],$CU8,tblActuals354151923[Team 1],DE$3)+SUMIFS(tblActuals354151923[Team 1 Points],tblActuals354151923[Team 1],$CU8,tblActuals354151923[Team 2],DE$3)</f>
        <v>0</v>
      </c>
      <c r="DF8" s="56">
        <f>SUMIFS(tblActuals354151923[Team 2 Points],tblActuals354151923[Team 2],$CU8,tblActuals354151923[Team 1],DF$3)+SUMIFS(tblActuals354151923[Team 1 Points],tblActuals354151923[Team 1],$CU8,tblActuals354151923[Team 2],DF$3)</f>
        <v>0</v>
      </c>
      <c r="DG8" s="56">
        <f>SUMIFS(tblActuals354151923[Team 2 Points],tblActuals354151923[Team 2],$CU8,tblActuals354151923[Team 1],DG$3)+SUMIFS(tblActuals354151923[Team 1 Points],tblActuals354151923[Team 1],$CU8,tblActuals354151923[Team 2],DG$3)</f>
        <v>0</v>
      </c>
      <c r="DH8" s="56">
        <f>SUMIFS(tblActuals354151923[Team 2 Points],tblActuals354151923[Team 2],$CU8,tblActuals354151923[Team 1],DH$3)+SUMIFS(tblActuals354151923[Team 1 Points],tblActuals354151923[Team 1],$CU8,tblActuals354151923[Team 2],DH$3)</f>
        <v>0</v>
      </c>
      <c r="DI8" s="56">
        <f>SUMIFS(tblActuals354151923[Team 2 Points],tblActuals354151923[Team 2],$CU8,tblActuals354151923[Team 1],DI$3)+SUMIFS(tblActuals354151923[Team 1 Points],tblActuals354151923[Team 1],$CU8,tblActuals354151923[Team 2],DI$3)</f>
        <v>0</v>
      </c>
      <c r="DJ8" s="56">
        <f>SUMIFS(tblActuals354151923[Team 2 Points],tblActuals354151923[Team 2],$CU8,tblActuals354151923[Team 1],DJ$3)+SUMIFS(tblActuals354151923[Team 1 Points],tblActuals354151923[Team 1],$CU8,tblActuals354151923[Team 2],DJ$3)</f>
        <v>0</v>
      </c>
      <c r="DK8" s="56">
        <f>SUMIFS(tblActuals354151923[Team 2 Points],tblActuals354151923[Team 2],$CU8,tblActuals354151923[Team 1],DK$3)+SUMIFS(tblActuals354151923[Team 1 Points],tblActuals354151923[Team 1],$CU8,tblActuals354151923[Team 2],DK$3)</f>
        <v>0</v>
      </c>
      <c r="DL8" s="56">
        <f>SUMIFS(tblActuals354151923[Team 2 Points],tblActuals354151923[Team 2],$CU8,tblActuals354151923[Team 1],DL$3)+SUMIFS(tblActuals354151923[Team 1 Points],tblActuals354151923[Team 1],$CU8,tblActuals354151923[Team 2],DL$3)</f>
        <v>0</v>
      </c>
      <c r="DM8" s="56">
        <f>SUMIFS(tblActuals354151923[Team 2 Points],tblActuals354151923[Team 2],$CU8,tblActuals354151923[Team 1],DM$3)+SUMIFS(tblActuals354151923[Team 1 Points],tblActuals354151923[Team 1],$CU8,tblActuals354151923[Team 2],DM$3)</f>
        <v>0</v>
      </c>
      <c r="DN8" s="56">
        <f>SUMIFS(tblActuals354151923[Team 2 Points],tblActuals354151923[Team 2],$CU8,tblActuals354151923[Team 1],DN$3)+SUMIFS(tblActuals354151923[Team 1 Points],tblActuals354151923[Team 1],$CU8,tblActuals354151923[Team 2],DN$3)</f>
        <v>0</v>
      </c>
      <c r="DO8" s="56">
        <f>SUMIFS(tblActuals354151923[Team 2 Points],tblActuals354151923[Team 2],$CU8,tblActuals354151923[Team 1],DO$3)+SUMIFS(tblActuals354151923[Team 1 Points],tblActuals354151923[Team 1],$CU8,tblActuals354151923[Team 2],DO$3)</f>
        <v>0</v>
      </c>
      <c r="DP8" s="56">
        <f>SUMIFS(tblActuals354151923[Team 2 Points],tblActuals354151923[Team 2],$CU8,tblActuals354151923[Team 1],DP$3)+SUMIFS(tblActuals354151923[Team 1 Points],tblActuals354151923[Team 1],$CU8,tblActuals354151923[Team 2],DP$3)</f>
        <v>0</v>
      </c>
      <c r="DQ8" s="56">
        <f>SUMIFS(tblActuals354151923[Team 2 Points],tblActuals354151923[Team 2],$CU8,tblActuals354151923[Team 1],DQ$3)+SUMIFS(tblActuals354151923[Team 1 Points],tblActuals354151923[Team 1],$CU8,tblActuals354151923[Team 2],DQ$3)</f>
        <v>0</v>
      </c>
      <c r="DR8" s="56">
        <f>SUMIFS(tblActuals354151923[Team 2 Points],tblActuals354151923[Team 2],$CU8,tblActuals354151923[Team 1],DR$3)+SUMIFS(tblActuals354151923[Team 1 Points],tblActuals354151923[Team 1],$CU8,tblActuals354151923[Team 2],DR$3)</f>
        <v>0</v>
      </c>
      <c r="DS8" s="56">
        <f>SUMIFS(tblActuals354151923[Team 2 Points],tblActuals354151923[Team 2],$CU8,tblActuals354151923[Team 1],DS$3)+SUMIFS(tblActuals354151923[Team 1 Points],tblActuals354151923[Team 1],$CU8,tblActuals354151923[Team 2],DS$3)</f>
        <v>0</v>
      </c>
      <c r="DT8" s="57"/>
      <c r="DU8" s="57"/>
      <c r="DV8" s="57"/>
      <c r="DW8" s="57"/>
      <c r="DX8" s="57"/>
      <c r="DY8" s="57"/>
      <c r="DZ8" s="57"/>
      <c r="EA8" s="57"/>
      <c r="EB8" s="4"/>
      <c r="EC8" s="4" t="s">
        <v>28</v>
      </c>
      <c r="ED8" s="56">
        <f>SUMIFS(tblActuals354151923[Team 2 GD],tblActuals354151923[Team 2],$CU8,tblActuals354151923[Team 1],ED$3)+SUMIFS(tblActuals354151923[Team 1 GD],tblActuals354151923[Team 1],$CU8,tblActuals354151923[Team 2],ED$3)</f>
        <v>0</v>
      </c>
      <c r="EE8" s="56">
        <f>SUMIFS(tblActuals354151923[Team 2 GD],tblActuals354151923[Team 2],$CU8,tblActuals354151923[Team 1],EE$3)+SUMIFS(tblActuals354151923[Team 1 GD],tblActuals354151923[Team 1],$CU8,tblActuals354151923[Team 2],EE$3)</f>
        <v>0</v>
      </c>
      <c r="EF8" s="56">
        <f>SUMIFS(tblActuals354151923[Team 2 GD],tblActuals354151923[Team 2],$CU8,tblActuals354151923[Team 1],EF$3)+SUMIFS(tblActuals354151923[Team 1 GD],tblActuals354151923[Team 1],$CU8,tblActuals354151923[Team 2],EF$3)</f>
        <v>0</v>
      </c>
      <c r="EG8" s="56">
        <f>SUMIFS(tblActuals354151923[Team 2 GD],tblActuals354151923[Team 2],$CU8,tblActuals354151923[Team 1],EG$3)+SUMIFS(tblActuals354151923[Team 1 GD],tblActuals354151923[Team 1],$CU8,tblActuals354151923[Team 2],EG$3)</f>
        <v>0</v>
      </c>
      <c r="EH8" s="56">
        <f>SUMIFS(tblActuals354151923[Team 2 GD],tblActuals354151923[Team 2],$CU8,tblActuals354151923[Team 1],EH$3)+SUMIFS(tblActuals354151923[Team 1 GD],tblActuals354151923[Team 1],$CU8,tblActuals354151923[Team 2],EH$3)</f>
        <v>0</v>
      </c>
      <c r="EI8" s="56">
        <f>SUMIFS(tblActuals354151923[Team 2 GD],tblActuals354151923[Team 2],$CU8,tblActuals354151923[Team 1],EI$3)+SUMIFS(tblActuals354151923[Team 1 GD],tblActuals354151923[Team 1],$CU8,tblActuals354151923[Team 2],EI$3)</f>
        <v>0</v>
      </c>
      <c r="EJ8" s="56">
        <f>SUMIFS(tblActuals354151923[Team 2 GD],tblActuals354151923[Team 2],$CU8,tblActuals354151923[Team 1],EJ$3)+SUMIFS(tblActuals354151923[Team 1 GD],tblActuals354151923[Team 1],$CU8,tblActuals354151923[Team 2],EJ$3)</f>
        <v>0</v>
      </c>
      <c r="EK8" s="56">
        <f>SUMIFS(tblActuals354151923[Team 2 GD],tblActuals354151923[Team 2],$CU8,tblActuals354151923[Team 1],EK$3)+SUMIFS(tblActuals354151923[Team 1 GD],tblActuals354151923[Team 1],$CU8,tblActuals354151923[Team 2],EK$3)</f>
        <v>0</v>
      </c>
      <c r="EL8" s="56">
        <f>SUMIFS(tblActuals354151923[Team 2 GD],tblActuals354151923[Team 2],$CU8,tblActuals354151923[Team 1],EL$3)+SUMIFS(tblActuals354151923[Team 1 GD],tblActuals354151923[Team 1],$CU8,tblActuals354151923[Team 2],EL$3)</f>
        <v>0</v>
      </c>
      <c r="EM8" s="56">
        <f>SUMIFS(tblActuals354151923[Team 2 GD],tblActuals354151923[Team 2],$CU8,tblActuals354151923[Team 1],EM$3)+SUMIFS(tblActuals354151923[Team 1 GD],tblActuals354151923[Team 1],$CU8,tblActuals354151923[Team 2],EM$3)</f>
        <v>0</v>
      </c>
      <c r="EN8" s="56">
        <f>SUMIFS(tblActuals354151923[Team 2 GD],tblActuals354151923[Team 2],$CU8,tblActuals354151923[Team 1],EN$3)+SUMIFS(tblActuals354151923[Team 1 GD],tblActuals354151923[Team 1],$CU8,tblActuals354151923[Team 2],EN$3)</f>
        <v>0</v>
      </c>
      <c r="EO8" s="56">
        <f>SUMIFS(tblActuals354151923[Team 2 GD],tblActuals354151923[Team 2],$CU8,tblActuals354151923[Team 1],EO$3)+SUMIFS(tblActuals354151923[Team 1 GD],tblActuals354151923[Team 1],$CU8,tblActuals354151923[Team 2],EO$3)</f>
        <v>0</v>
      </c>
      <c r="EP8" s="56">
        <f>SUMIFS(tblActuals354151923[Team 2 GD],tblActuals354151923[Team 2],$CU8,tblActuals354151923[Team 1],EP$3)+SUMIFS(tblActuals354151923[Team 1 GD],tblActuals354151923[Team 1],$CU8,tblActuals354151923[Team 2],EP$3)</f>
        <v>0</v>
      </c>
      <c r="EQ8" s="56">
        <f>SUMIFS(tblActuals354151923[Team 2 GD],tblActuals354151923[Team 2],$CU8,tblActuals354151923[Team 1],EQ$3)+SUMIFS(tblActuals354151923[Team 1 GD],tblActuals354151923[Team 1],$CU8,tblActuals354151923[Team 2],EQ$3)</f>
        <v>0</v>
      </c>
      <c r="ER8" s="56">
        <f>SUMIFS(tblActuals354151923[Team 2 GD],tblActuals354151923[Team 2],$CU8,tblActuals354151923[Team 1],ER$3)+SUMIFS(tblActuals354151923[Team 1 GD],tblActuals354151923[Team 1],$CU8,tblActuals354151923[Team 2],ER$3)</f>
        <v>0</v>
      </c>
      <c r="ES8" s="56">
        <f>SUMIFS(tblActuals354151923[Team 2 GD],tblActuals354151923[Team 2],$CU8,tblActuals354151923[Team 1],ES$3)+SUMIFS(tblActuals354151923[Team 1 GD],tblActuals354151923[Team 1],$CU8,tblActuals354151923[Team 2],ES$3)</f>
        <v>0</v>
      </c>
      <c r="ET8" s="56">
        <f>SUMIFS(tblActuals354151923[Team 2 GD],tblActuals354151923[Team 2],$CU8,tblActuals354151923[Team 1],ET$3)+SUMIFS(tblActuals354151923[Team 1 GD],tblActuals354151923[Team 1],$CU8,tblActuals354151923[Team 2],ET$3)</f>
        <v>0</v>
      </c>
      <c r="EU8" s="56">
        <f>SUMIFS(tblActuals354151923[Team 2 GD],tblActuals354151923[Team 2],$CU8,tblActuals354151923[Team 1],EU$3)+SUMIFS(tblActuals354151923[Team 1 GD],tblActuals354151923[Team 1],$CU8,tblActuals354151923[Team 2],EU$3)</f>
        <v>0</v>
      </c>
      <c r="EV8" s="56">
        <f>SUMIFS(tblActuals354151923[Team 2 GD],tblActuals354151923[Team 2],$CU8,tblActuals354151923[Team 1],EV$3)+SUMIFS(tblActuals354151923[Team 1 GD],tblActuals354151923[Team 1],$CU8,tblActuals354151923[Team 2],EV$3)</f>
        <v>0</v>
      </c>
      <c r="EW8" s="56">
        <f>SUMIFS(tblActuals354151923[Team 2 GD],tblActuals354151923[Team 2],$CU8,tblActuals354151923[Team 1],EW$3)+SUMIFS(tblActuals354151923[Team 1 GD],tblActuals354151923[Team 1],$CU8,tblActuals354151923[Team 2],EW$3)</f>
        <v>0</v>
      </c>
      <c r="EX8" s="56">
        <f>SUMIFS(tblActuals354151923[Team 2 GD],tblActuals354151923[Team 2],$CU8,tblActuals354151923[Team 1],EX$3)+SUMIFS(tblActuals354151923[Team 1 GD],tblActuals354151923[Team 1],$CU8,tblActuals354151923[Team 2],EX$3)</f>
        <v>0</v>
      </c>
      <c r="EY8" s="56">
        <f>SUMIFS(tblActuals354151923[Team 2 GD],tblActuals354151923[Team 2],$CU8,tblActuals354151923[Team 1],EY$3)+SUMIFS(tblActuals354151923[Team 1 GD],tblActuals354151923[Team 1],$CU8,tblActuals354151923[Team 2],EY$3)</f>
        <v>0</v>
      </c>
      <c r="EZ8" s="56">
        <f>SUMIFS(tblActuals354151923[Team 2 GD],tblActuals354151923[Team 2],$CU8,tblActuals354151923[Team 1],EZ$3)+SUMIFS(tblActuals354151923[Team 1 GD],tblActuals354151923[Team 1],$CU8,tblActuals354151923[Team 2],EZ$3)</f>
        <v>0</v>
      </c>
      <c r="FA8" s="56">
        <f>SUMIFS(tblActuals354151923[Team 2 GD],tblActuals354151923[Team 2],$CU8,tblActuals354151923[Team 1],FA$3)+SUMIFS(tblActuals354151923[Team 1 GD],tblActuals354151923[Team 1],$CU8,tblActuals354151923[Team 2],FA$3)</f>
        <v>0</v>
      </c>
      <c r="FB8" s="57"/>
      <c r="FC8" s="57"/>
      <c r="FD8" s="57"/>
      <c r="FE8" s="57"/>
      <c r="FF8" s="57"/>
      <c r="FG8" s="57"/>
      <c r="FH8" s="57"/>
      <c r="FI8" s="57"/>
      <c r="FJ8" s="4"/>
      <c r="FK8" s="4" t="s">
        <v>28</v>
      </c>
      <c r="FL8" s="56">
        <f>SUMIFS(tblActuals354151923[Team 2 Goals],tblActuals354151923[Team 2],$CU8,tblActuals354151923[Team 1],FL$3)+SUMIFS(tblActuals354151923[Team 1 Goals],tblActuals354151923[Team 1],$CU8,tblActuals354151923[Team 2],FL$3)</f>
        <v>0</v>
      </c>
      <c r="FM8" s="56">
        <f>SUMIFS(tblActuals354151923[Team 2 Goals],tblActuals354151923[Team 2],$CU8,tblActuals354151923[Team 1],FM$3)+SUMIFS(tblActuals354151923[Team 1 Goals],tblActuals354151923[Team 1],$CU8,tblActuals354151923[Team 2],FM$3)</f>
        <v>0</v>
      </c>
      <c r="FN8" s="56">
        <f>SUMIFS(tblActuals354151923[Team 2 Goals],tblActuals354151923[Team 2],$CU8,tblActuals354151923[Team 1],FN$3)+SUMIFS(tblActuals354151923[Team 1 Goals],tblActuals354151923[Team 1],$CU8,tblActuals354151923[Team 2],FN$3)</f>
        <v>0</v>
      </c>
      <c r="FO8" s="56">
        <f>SUMIFS(tblActuals354151923[Team 2 Goals],tblActuals354151923[Team 2],$CU8,tblActuals354151923[Team 1],FO$3)+SUMIFS(tblActuals354151923[Team 1 Goals],tblActuals354151923[Team 1],$CU8,tblActuals354151923[Team 2],FO$3)</f>
        <v>0</v>
      </c>
      <c r="FP8" s="56">
        <f>SUMIFS(tblActuals354151923[Team 2 Goals],tblActuals354151923[Team 2],$CU8,tblActuals354151923[Team 1],FP$3)+SUMIFS(tblActuals354151923[Team 1 Goals],tblActuals354151923[Team 1],$CU8,tblActuals354151923[Team 2],FP$3)</f>
        <v>0</v>
      </c>
      <c r="FQ8" s="56">
        <f>SUMIFS(tblActuals354151923[Team 2 Goals],tblActuals354151923[Team 2],$CU8,tblActuals354151923[Team 1],FQ$3)+SUMIFS(tblActuals354151923[Team 1 Goals],tblActuals354151923[Team 1],$CU8,tblActuals354151923[Team 2],FQ$3)</f>
        <v>0</v>
      </c>
      <c r="FR8" s="56">
        <f>SUMIFS(tblActuals354151923[Team 2 Goals],tblActuals354151923[Team 2],$CU8,tblActuals354151923[Team 1],FR$3)+SUMIFS(tblActuals354151923[Team 1 Goals],tblActuals354151923[Team 1],$CU8,tblActuals354151923[Team 2],FR$3)</f>
        <v>0</v>
      </c>
      <c r="FS8" s="56">
        <f>SUMIFS(tblActuals354151923[Team 2 Goals],tblActuals354151923[Team 2],$CU8,tblActuals354151923[Team 1],FS$3)+SUMIFS(tblActuals354151923[Team 1 Goals],tblActuals354151923[Team 1],$CU8,tblActuals354151923[Team 2],FS$3)</f>
        <v>0</v>
      </c>
      <c r="FT8" s="56">
        <f>SUMIFS(tblActuals354151923[Team 2 Goals],tblActuals354151923[Team 2],$CU8,tblActuals354151923[Team 1],FT$3)+SUMIFS(tblActuals354151923[Team 1 Goals],tblActuals354151923[Team 1],$CU8,tblActuals354151923[Team 2],FT$3)</f>
        <v>0</v>
      </c>
      <c r="FU8" s="56">
        <f>SUMIFS(tblActuals354151923[Team 2 Goals],tblActuals354151923[Team 2],$CU8,tblActuals354151923[Team 1],FU$3)+SUMIFS(tblActuals354151923[Team 1 Goals],tblActuals354151923[Team 1],$CU8,tblActuals354151923[Team 2],FU$3)</f>
        <v>0</v>
      </c>
      <c r="FV8" s="56">
        <f>SUMIFS(tblActuals354151923[Team 2 Goals],tblActuals354151923[Team 2],$CU8,tblActuals354151923[Team 1],FV$3)+SUMIFS(tblActuals354151923[Team 1 Goals],tblActuals354151923[Team 1],$CU8,tblActuals354151923[Team 2],FV$3)</f>
        <v>0</v>
      </c>
      <c r="FW8" s="56">
        <f>SUMIFS(tblActuals354151923[Team 2 Goals],tblActuals354151923[Team 2],$CU8,tblActuals354151923[Team 1],FW$3)+SUMIFS(tblActuals354151923[Team 1 Goals],tblActuals354151923[Team 1],$CU8,tblActuals354151923[Team 2],FW$3)</f>
        <v>0</v>
      </c>
      <c r="FX8" s="56">
        <f>SUMIFS(tblActuals354151923[Team 2 Goals],tblActuals354151923[Team 2],$CU8,tblActuals354151923[Team 1],FX$3)+SUMIFS(tblActuals354151923[Team 1 Goals],tblActuals354151923[Team 1],$CU8,tblActuals354151923[Team 2],FX$3)</f>
        <v>0</v>
      </c>
      <c r="FY8" s="56">
        <f>SUMIFS(tblActuals354151923[Team 2 Goals],tblActuals354151923[Team 2],$CU8,tblActuals354151923[Team 1],FY$3)+SUMIFS(tblActuals354151923[Team 1 Goals],tblActuals354151923[Team 1],$CU8,tblActuals354151923[Team 2],FY$3)</f>
        <v>0</v>
      </c>
      <c r="FZ8" s="56">
        <f>SUMIFS(tblActuals354151923[Team 2 Goals],tblActuals354151923[Team 2],$CU8,tblActuals354151923[Team 1],FZ$3)+SUMIFS(tblActuals354151923[Team 1 Goals],tblActuals354151923[Team 1],$CU8,tblActuals354151923[Team 2],FZ$3)</f>
        <v>0</v>
      </c>
      <c r="GA8" s="56">
        <f>SUMIFS(tblActuals354151923[Team 2 Goals],tblActuals354151923[Team 2],$CU8,tblActuals354151923[Team 1],GA$3)+SUMIFS(tblActuals354151923[Team 1 Goals],tblActuals354151923[Team 1],$CU8,tblActuals354151923[Team 2],GA$3)</f>
        <v>0</v>
      </c>
      <c r="GB8" s="56">
        <f>SUMIFS(tblActuals354151923[Team 2 Goals],tblActuals354151923[Team 2],$CU8,tblActuals354151923[Team 1],GB$3)+SUMIFS(tblActuals354151923[Team 1 Goals],tblActuals354151923[Team 1],$CU8,tblActuals354151923[Team 2],GB$3)</f>
        <v>0</v>
      </c>
      <c r="GC8" s="56">
        <f>SUMIFS(tblActuals354151923[Team 2 Goals],tblActuals354151923[Team 2],$CU8,tblActuals354151923[Team 1],GC$3)+SUMIFS(tblActuals354151923[Team 1 Goals],tblActuals354151923[Team 1],$CU8,tblActuals354151923[Team 2],GC$3)</f>
        <v>0</v>
      </c>
      <c r="GD8" s="56">
        <f>SUMIFS(tblActuals354151923[Team 2 Goals],tblActuals354151923[Team 2],$CU8,tblActuals354151923[Team 1],GD$3)+SUMIFS(tblActuals354151923[Team 1 Goals],tblActuals354151923[Team 1],$CU8,tblActuals354151923[Team 2],GD$3)</f>
        <v>0</v>
      </c>
      <c r="GE8" s="56">
        <f>SUMIFS(tblActuals354151923[Team 2 Goals],tblActuals354151923[Team 2],$CU8,tblActuals354151923[Team 1],GE$3)+SUMIFS(tblActuals354151923[Team 1 Goals],tblActuals354151923[Team 1],$CU8,tblActuals354151923[Team 2],GE$3)</f>
        <v>0</v>
      </c>
      <c r="GF8" s="56">
        <f>SUMIFS(tblActuals354151923[Team 2 Goals],tblActuals354151923[Team 2],$CU8,tblActuals354151923[Team 1],GF$3)+SUMIFS(tblActuals354151923[Team 1 Goals],tblActuals354151923[Team 1],$CU8,tblActuals354151923[Team 2],GF$3)</f>
        <v>0</v>
      </c>
      <c r="GG8" s="56">
        <f>SUMIFS(tblActuals354151923[Team 2 Goals],tblActuals354151923[Team 2],$CU8,tblActuals354151923[Team 1],GG$3)+SUMIFS(tblActuals354151923[Team 1 Goals],tblActuals354151923[Team 1],$CU8,tblActuals354151923[Team 2],GG$3)</f>
        <v>0</v>
      </c>
      <c r="GH8" s="56">
        <f>SUMIFS(tblActuals354151923[Team 2 Goals],tblActuals354151923[Team 2],$CU8,tblActuals354151923[Team 1],GH$3)+SUMIFS(tblActuals354151923[Team 1 Goals],tblActuals354151923[Team 1],$CU8,tblActuals354151923[Team 2],GH$3)</f>
        <v>0</v>
      </c>
      <c r="GI8" s="56">
        <f>SUMIFS(tblActuals354151923[Team 2 Goals],tblActuals354151923[Team 2],$CU8,tblActuals354151923[Team 1],GI$3)+SUMIFS(tblActuals354151923[Team 1 Goals],tblActuals354151923[Team 1],$CU8,tblActuals354151923[Team 2],GI$3)</f>
        <v>0</v>
      </c>
      <c r="GJ8" s="57"/>
      <c r="GK8" s="57"/>
      <c r="GL8" s="37"/>
      <c r="GM8" s="37"/>
      <c r="GN8" s="37"/>
      <c r="GO8" s="37"/>
      <c r="GP8" s="37"/>
      <c r="GQ8" s="37"/>
      <c r="GR8" s="75"/>
      <c r="GS8" s="156"/>
      <c r="GT8" s="156"/>
      <c r="GU8" s="75"/>
      <c r="GV8" s="22"/>
      <c r="GW8" s="75"/>
      <c r="GX8" s="75"/>
      <c r="GY8" s="75"/>
      <c r="GZ8" s="75"/>
      <c r="HB8" s="4" t="str">
        <f t="shared" si="12"/>
        <v>ABDE</v>
      </c>
      <c r="HC8" s="44" t="s">
        <v>1</v>
      </c>
      <c r="HD8" s="44" t="s">
        <v>5</v>
      </c>
      <c r="HE8" s="45"/>
      <c r="HF8" s="44" t="s">
        <v>7</v>
      </c>
      <c r="HG8" s="44" t="s">
        <v>12</v>
      </c>
      <c r="HH8" s="45"/>
      <c r="HI8" s="178"/>
      <c r="HJ8" s="45" t="s">
        <v>150</v>
      </c>
      <c r="HK8" s="45" t="s">
        <v>153</v>
      </c>
      <c r="HL8" s="45" t="s">
        <v>149</v>
      </c>
      <c r="HM8" s="45" t="s">
        <v>151</v>
      </c>
    </row>
    <row r="9" spans="1:221" s="11" customFormat="1" ht="30" customHeight="1" thickBot="1" x14ac:dyDescent="0.25">
      <c r="A9" s="20"/>
      <c r="B9" s="122">
        <v>6</v>
      </c>
      <c r="C9" s="122" t="s">
        <v>6</v>
      </c>
      <c r="D9" s="123">
        <v>45459</v>
      </c>
      <c r="E9" s="122" t="s">
        <v>83</v>
      </c>
      <c r="F9" s="124">
        <v>0.75</v>
      </c>
      <c r="G9" s="125">
        <f t="shared" si="11"/>
        <v>45459.5</v>
      </c>
      <c r="H9" s="122" t="s">
        <v>94</v>
      </c>
      <c r="I9" s="126"/>
      <c r="J9" s="118"/>
      <c r="K9" s="118"/>
      <c r="L9" s="174">
        <f>IF(I9="",0,IFERROR(IF(SCORING.RULES!$C$8="No",1,((VLOOKUP($B9,ACTUALS!$B$4:$L$100,7,FALSE)=$H9)+(VLOOKUP($B9,ACTUALS!$B$4:$L$100,7,FALSE)=S9)))*(M9+N9+O9+P9+Q9),0))+$R9</f>
        <v>0</v>
      </c>
      <c r="M9" s="168">
        <f>IFERROR(IF($B9="","",IF(U9=INDEX(ACTUALS!$AA$4:$AA$100,MATCH($B9,ACTUALS!$B$4:$B$100,0),1),CorrectScore,0)),0)</f>
        <v>0</v>
      </c>
      <c r="N9" s="157" t="str">
        <f>IFERROR(IF(I9="","",IF(INDEX(ACTUALS!$AB$4:$AB$100,MATCH($B9,ACTUALS!$B$4:$B$100,0),1)=(AB9+AC9+AH9+AI9),CorrectNumberofGoals,0)),0)</f>
        <v/>
      </c>
      <c r="O9" s="157"/>
      <c r="P9" s="157">
        <f>IFERROR(IF(B9="","",IF(INDEX(ACTUALS!$L$4:$L$100,MATCH($B9,ACTUALS!$B$4:$B$100,0),1)=W9,CorrectResult,0)),0)</f>
        <v>3</v>
      </c>
      <c r="Q9" s="157"/>
      <c r="R9" s="157"/>
      <c r="S9" s="157" t="str">
        <f t="shared" si="0"/>
        <v/>
      </c>
      <c r="T9" s="157"/>
      <c r="U9" s="157" t="str">
        <f t="shared" si="1"/>
        <v/>
      </c>
      <c r="V9" s="157" t="str">
        <f t="shared" si="2"/>
        <v/>
      </c>
      <c r="W9" s="119" t="str">
        <f>IF(tblActuals354151923[[#This Row],[SCORE]]="","",IF(AB9=AC9,"Draw",IF(AB9&gt;AC9,X9,Y9)))</f>
        <v/>
      </c>
      <c r="X9" s="120" t="str">
        <f>IF(tblActuals354151923[[#This Row],[TEAMS]]="","",LEFT(H9,FIND(" -",H9,1)-1))</f>
        <v>Slovenia</v>
      </c>
      <c r="Y9" s="120" t="str">
        <f>IF(tblActuals354151923[[#This Row],[TEAMS]]="","",MID(H9,FIND("-",H9,1)+2,LEN(H9)-FIND("-",H9,1)+2))</f>
        <v>Denmark</v>
      </c>
      <c r="Z9" s="120" t="str">
        <f>IF(tblActuals354151923[[#This Row],[Team 1 Goals]]&gt;tblActuals354151923[[#This Row],[Team 2 Goals]],tblActuals354151923[[#This Row],[Team 1]],IF(tblActuals354151923[[#This Row],[Team 2 Goals]]&gt;tblActuals354151923[[#This Row],[Team 1 Goals]],tblActuals354151923[[#This Row],[Team 2]],""))</f>
        <v/>
      </c>
      <c r="AA9" s="120" t="str">
        <f>IF(tblActuals354151923[[#This Row],[Winner]]=tblActuals354151923[[#This Row],[Team 1]],tblActuals354151923[[#This Row],[Team 2]],IF(tblActuals354151923[[#This Row],[Winner]]=tblActuals354151923[[#This Row],[Team 2]],tblActuals354151923[[#This Row],[Team 1]],""))</f>
        <v/>
      </c>
      <c r="AB9" s="120" t="str">
        <f>IF(tblActuals354151923[[#This Row],[SCORE]]="","",LEFT(I9,FIND(":",I9,1)-1)*1)</f>
        <v/>
      </c>
      <c r="AC9" s="120" t="str">
        <f>IF(tblActuals354151923[[#This Row],[SCORE]]="","",MID(I9,FIND(":",I9,1)+1,LEN(I9)-FIND(":",I9,1)+1)*1)</f>
        <v/>
      </c>
      <c r="AD9" s="120" t="str">
        <f>IF(OR(tblActuals354151923[[#This Row],[Team 1 Goals]]="",tblActuals354151923[[#This Row],[Team 2 Goals]]=""),"",tblActuals354151923[[#This Row],[Team 1 Goals]]-tblActuals354151923[[#This Row],[Team 2 Goals]])</f>
        <v/>
      </c>
      <c r="AE9" s="120" t="str">
        <f>IF(OR(tblActuals354151923[[#This Row],[Team 1 Goals]]="",tblActuals354151923[[#This Row],[Team 2 Goals]]=""),"",tblActuals354151923[[#This Row],[Team 2 Goals]]-tblActuals354151923[[#This Row],[Team 1 Goals]])</f>
        <v/>
      </c>
      <c r="AF9" s="120" t="str">
        <f>IF(tblActuals354151923[[#This Row],[SCORE]]="","",IF(tblActuals354151923[[#This Row],[WINNER / RESULT]]="Draw",1,IF(tblActuals354151923[[#This Row],[WINNER / RESULT]]=tblActuals354151923[[#This Row],[Team 1]],3,0)))</f>
        <v/>
      </c>
      <c r="AG9" s="120" t="str">
        <f>IF(tblActuals354151923[[#This Row],[SCORE]]="","",IF(tblActuals354151923[[#This Row],[WINNER / RESULT]]="Draw",1,IF(tblActuals354151923[[#This Row],[WINNER / RESULT]]=tblActuals354151923[[#This Row],[Team 2]],3,0)))</f>
        <v/>
      </c>
      <c r="AH9" s="121"/>
      <c r="AI9" s="121"/>
      <c r="AJ9" s="121"/>
      <c r="AK9" s="121"/>
      <c r="AL9" s="120" t="e">
        <f>tblActuals354151923[[#This Row],[Team 1 Goals]]+tblActuals354151923[[#This Row],[Team 1 ET Goals]]&amp;":"&amp;tblActuals354151923[[#This Row],[Team 2 Goals]]+tblActuals354151923[[#This Row],[Team 2 ET Goals]]</f>
        <v>#VALUE!</v>
      </c>
      <c r="AM9" s="120" t="e">
        <f>+tblActuals354151923[[#This Row],[Team 1 Goals]]+tblActuals354151923[[#This Row],[Team 2 Goals]]</f>
        <v>#VALUE!</v>
      </c>
      <c r="AN9" s="161">
        <f t="shared" si="3"/>
        <v>45459</v>
      </c>
      <c r="AP9" s="38" t="s">
        <v>86</v>
      </c>
      <c r="AT9" s="77" t="s">
        <v>1</v>
      </c>
      <c r="AU9" s="145">
        <v>4</v>
      </c>
      <c r="AV9" s="146" t="str">
        <f ca="1">IFERROR(INDEX(BD:BD,MATCH("4"&amp;AT9,BN:BN,0),1),"")</f>
        <v>Switzerland</v>
      </c>
      <c r="AW9" s="146" t="str">
        <f ca="1">IF(AV9="","",VLOOKUP(AV9,BD:BI,2,FALSE)&amp;"-"&amp;VLOOKUP(AV9,BD:BI,3,FALSE)&amp;"-"&amp;VLOOKUP(AV9,BD:BI,4,FALSE))</f>
        <v>0-0-0</v>
      </c>
      <c r="AX9" s="146">
        <f ca="1">IF(AV9="","",VLOOKUP(AV9,BD:BK,8,FALSE))</f>
        <v>0</v>
      </c>
      <c r="AY9" s="147">
        <f ca="1">IF(AV9="","",VLOOKUP(AV9,BD:BN,5,FALSE))</f>
        <v>0</v>
      </c>
      <c r="AZ9" s="75"/>
      <c r="BA9" s="42"/>
      <c r="BB9" s="4"/>
      <c r="BC9" s="4" t="s">
        <v>5</v>
      </c>
      <c r="BD9" s="4" t="s">
        <v>127</v>
      </c>
      <c r="BE9" s="4">
        <f>COUNTIF(tblActuals354151923[Winner],BD9)</f>
        <v>0</v>
      </c>
      <c r="BF9" s="4">
        <f>COUNTIFS(tblActuals354151923[Team 2],BD9,tblActuals354151923[WINNER / RESULT],"Draw")+COUNTIFS(tblActuals354151923[Team 1],BD9,tblActuals354151923[WINNER / RESULT],"Draw")</f>
        <v>0</v>
      </c>
      <c r="BG9" s="4">
        <f>COUNTIF(tblActuals354151923[Loser],BD9)</f>
        <v>0</v>
      </c>
      <c r="BH9" s="4">
        <f>BF9+(3*BE9)</f>
        <v>0</v>
      </c>
      <c r="BI9" s="4">
        <f>SUMIFS(tblActuals354151923[Team 1 Goals],tblActuals354151923[Team 1],BD9)+SUMIFS(tblActuals354151923[Team 2 Goals],tblActuals354151923[Team 2],BD9)</f>
        <v>0</v>
      </c>
      <c r="BJ9" s="4">
        <f>SUMIFS(tblActuals354151923[Team 2 Goals],tblActuals354151923[Team 1],BD9)+SUMIFS(tblActuals354151923[Team 1 Goals],tblActuals354151923[Team 2],BD9)</f>
        <v>0</v>
      </c>
      <c r="BK9" s="4">
        <f>BI9-BJ9</f>
        <v>0</v>
      </c>
      <c r="BL9" s="4">
        <f ca="1">RANK(BY9,$BY$9:$BY$12,1)</f>
        <v>1</v>
      </c>
      <c r="BM9" s="4" t="str">
        <f t="shared" si="4"/>
        <v/>
      </c>
      <c r="BN9" s="4" t="str">
        <f ca="1">IF(BM9="",BL9&amp;BC9,BM9&amp;BC9)</f>
        <v>1B</v>
      </c>
      <c r="BO9" s="4">
        <f>RANK(BH9,$BH$9:$BH$12,0)</f>
        <v>1</v>
      </c>
      <c r="BP9" s="4" cm="1">
        <f t="array" aca="1" ref="BP9" ca="1">SUMPRODUCT((OFFSET($CV$3:$EA$3,MATCH($BD9,$CU$4:$CU$35,0),0))*((IF($BO11=$BO9,$CV$3:$EA$3=$BD11,0))+(IF($BO12=$BO9,$CV$3:$EA$3=$BD12,0))+(IF($BO10=$BO9,$CV$3:$EA$3=$BD10,0))))</f>
        <v>0</v>
      </c>
      <c r="BQ9" s="4" cm="1">
        <f t="array" aca="1" ref="BQ9" ca="1">SUMPRODUCT((OFFSET($ED$3:$FI$3,MATCH($BD9,$EC$4:$EC$35,0),0))*((IF($BO11=$BO9,$ED$3:$FI$3=$BD11,0))+(IF($BO12=$BO9,$ED$3:$FI$3=$BD12,0))+(IF($BO10=$BO9,$ED$3:$FI$3=$BD10,0))))</f>
        <v>0</v>
      </c>
      <c r="BR9" s="4" cm="1">
        <f t="array" aca="1" ref="BR9" ca="1">SUMPRODUCT((OFFSET($FL$3:$GQ$3,MATCH($BD9,$FK$4:$FK$35,0),0))*((IF($BO11=$BO9,$FL$3:$GQ$3=$BD11,0))+(IF($BO12=$BO9,$FL$3:$GQ$3=$BD12,0))+(IF($BO10=$BO9,$FL$3:$GQ$3=$BD10,0))))</f>
        <v>0</v>
      </c>
      <c r="BS9" s="4" cm="1">
        <f t="array" aca="1" ref="BS9" ca="1">SUMPRODUCT((OFFSET($CV$3:$EA$3,MATCH($BD9,$CU$4:$CU$35,0),0))*((IF($BO11&lt;&gt;$BO9,$CV$3:$EA$3=$BD11,0))+(IF($BO12&lt;&gt;$BO9,$CV$3:$EA$3=$BD12,0))+(IF($BO10&lt;&gt;$BO9,$CV$3:$EA$3=$BD10,0))))</f>
        <v>0</v>
      </c>
      <c r="BT9" s="4" cm="1">
        <f t="array" aca="1" ref="BT9" ca="1">SUMPRODUCT((OFFSET($ED$3:$FI$3,MATCH($BD9,$EC$4:$EC$35,0),0))*((IF($BO11&lt;&gt;$BO9,$ED$3:$FI$3=$BD11,0))+(IF($BO12&lt;&gt;$BO9,$ED$3:$FI$3=$BD12,0))+(IF($BO10&lt;&gt;$BO9,$ED$3:$FI$3=$BD10,0))))</f>
        <v>0</v>
      </c>
      <c r="BU9" s="4" cm="1">
        <f t="array" aca="1" ref="BU9" ca="1">SUMPRODUCT((OFFSET($FL$3:$GQ$3,MATCH($BD9,$FK$4:$FK$35,0),0))*((IF($BO11&lt;&gt;$BO9,$FL$3:$GQ$3=$BD11,0))+(IF($BO12&lt;&gt;$BO9,$FL$3:$GQ$3=$BD12,0))+(IF($BO10&lt;&gt;$BO9,$FL$3:$GQ$3=$BD10,0))))</f>
        <v>0</v>
      </c>
      <c r="BV9" s="4">
        <f>BK9</f>
        <v>0</v>
      </c>
      <c r="BW9" s="4">
        <f>BI9</f>
        <v>0</v>
      </c>
      <c r="BX9" s="4">
        <f ca="1">(BP9/10)+(BQ9/100)+(BR9/1000)+(BT9/10000)+(BU9/100000)+(BV9/1000000)+(BW9/10000000)+(ROW(BS12)/100000000)</f>
        <v>1.1999999999999999E-7</v>
      </c>
      <c r="BY9" s="4">
        <f ca="1">+BO9-BX9</f>
        <v>0.99999987999999995</v>
      </c>
      <c r="BZ9" s="4"/>
      <c r="CA9" s="4" t="s">
        <v>45</v>
      </c>
      <c r="CB9" s="4" t="str">
        <f ca="1">AV38</f>
        <v>Portugal</v>
      </c>
      <c r="CC9" s="4">
        <f t="shared" ca="1" si="5"/>
        <v>0</v>
      </c>
      <c r="CD9" s="4">
        <f t="shared" ca="1" si="6"/>
        <v>0</v>
      </c>
      <c r="CE9" s="4">
        <f t="shared" ca="1" si="7"/>
        <v>0</v>
      </c>
      <c r="CF9" s="4">
        <f t="shared" ca="1" si="8"/>
        <v>0</v>
      </c>
      <c r="CG9" s="4">
        <f t="shared" ca="1" si="9"/>
        <v>8.9999999999999996E-7</v>
      </c>
      <c r="CH9" s="4">
        <f t="shared" ca="1" si="10"/>
        <v>1</v>
      </c>
      <c r="CI9" s="4"/>
      <c r="CJ9" s="4"/>
      <c r="CK9" s="4"/>
      <c r="CL9" s="4"/>
      <c r="CM9" s="4"/>
      <c r="CN9" s="4"/>
      <c r="CO9" s="4"/>
      <c r="CP9" s="4"/>
      <c r="CQ9" s="4"/>
      <c r="CR9" s="4"/>
      <c r="CU9" s="4" t="s">
        <v>33</v>
      </c>
      <c r="CV9" s="56">
        <f>SUMIFS(tblActuals354151923[Team 2 Points],tblActuals354151923[Team 2],$CU9,tblActuals354151923[Team 1],CV$3)+SUMIFS(tblActuals354151923[Team 1 Points],tblActuals354151923[Team 1],$CU9,tblActuals354151923[Team 2],CV$3)</f>
        <v>0</v>
      </c>
      <c r="CW9" s="56">
        <f>SUMIFS(tblActuals354151923[Team 2 Points],tblActuals354151923[Team 2],$CU9,tblActuals354151923[Team 1],CW$3)+SUMIFS(tblActuals354151923[Team 1 Points],tblActuals354151923[Team 1],$CU9,tblActuals354151923[Team 2],CW$3)</f>
        <v>0</v>
      </c>
      <c r="CX9" s="56">
        <f>SUMIFS(tblActuals354151923[Team 2 Points],tblActuals354151923[Team 2],$CU9,tblActuals354151923[Team 1],CX$3)+SUMIFS(tblActuals354151923[Team 1 Points],tblActuals354151923[Team 1],$CU9,tblActuals354151923[Team 2],CX$3)</f>
        <v>0</v>
      </c>
      <c r="CY9" s="56">
        <f>SUMIFS(tblActuals354151923[Team 2 Points],tblActuals354151923[Team 2],$CU9,tblActuals354151923[Team 1],CY$3)+SUMIFS(tblActuals354151923[Team 1 Points],tblActuals354151923[Team 1],$CU9,tblActuals354151923[Team 2],CY$3)</f>
        <v>0</v>
      </c>
      <c r="CZ9" s="56">
        <f>SUMIFS(tblActuals354151923[Team 2 Points],tblActuals354151923[Team 2],$CU9,tblActuals354151923[Team 1],CZ$3)+SUMIFS(tblActuals354151923[Team 1 Points],tblActuals354151923[Team 1],$CU9,tblActuals354151923[Team 2],CZ$3)</f>
        <v>0</v>
      </c>
      <c r="DA9" s="56">
        <f>SUMIFS(tblActuals354151923[Team 2 Points],tblActuals354151923[Team 2],$CU9,tblActuals354151923[Team 1],DA$3)+SUMIFS(tblActuals354151923[Team 1 Points],tblActuals354151923[Team 1],$CU9,tblActuals354151923[Team 2],DA$3)</f>
        <v>0</v>
      </c>
      <c r="DB9" s="56">
        <f>SUMIFS(tblActuals354151923[Team 2 Points],tblActuals354151923[Team 2],$CU9,tblActuals354151923[Team 1],DB$3)+SUMIFS(tblActuals354151923[Team 1 Points],tblActuals354151923[Team 1],$CU9,tblActuals354151923[Team 2],DB$3)</f>
        <v>0</v>
      </c>
      <c r="DC9" s="56">
        <f>SUMIFS(tblActuals354151923[Team 2 Points],tblActuals354151923[Team 2],$CU9,tblActuals354151923[Team 1],DC$3)+SUMIFS(tblActuals354151923[Team 1 Points],tblActuals354151923[Team 1],$CU9,tblActuals354151923[Team 2],DC$3)</f>
        <v>0</v>
      </c>
      <c r="DD9" s="56">
        <f>SUMIFS(tblActuals354151923[Team 2 Points],tblActuals354151923[Team 2],$CU9,tblActuals354151923[Team 1],DD$3)+SUMIFS(tblActuals354151923[Team 1 Points],tblActuals354151923[Team 1],$CU9,tblActuals354151923[Team 2],DD$3)</f>
        <v>0</v>
      </c>
      <c r="DE9" s="56">
        <f>SUMIFS(tblActuals354151923[Team 2 Points],tblActuals354151923[Team 2],$CU9,tblActuals354151923[Team 1],DE$3)+SUMIFS(tblActuals354151923[Team 1 Points],tblActuals354151923[Team 1],$CU9,tblActuals354151923[Team 2],DE$3)</f>
        <v>0</v>
      </c>
      <c r="DF9" s="56">
        <f>SUMIFS(tblActuals354151923[Team 2 Points],tblActuals354151923[Team 2],$CU9,tblActuals354151923[Team 1],DF$3)+SUMIFS(tblActuals354151923[Team 1 Points],tblActuals354151923[Team 1],$CU9,tblActuals354151923[Team 2],DF$3)</f>
        <v>0</v>
      </c>
      <c r="DG9" s="56">
        <f>SUMIFS(tblActuals354151923[Team 2 Points],tblActuals354151923[Team 2],$CU9,tblActuals354151923[Team 1],DG$3)+SUMIFS(tblActuals354151923[Team 1 Points],tblActuals354151923[Team 1],$CU9,tblActuals354151923[Team 2],DG$3)</f>
        <v>0</v>
      </c>
      <c r="DH9" s="56">
        <f>SUMIFS(tblActuals354151923[Team 2 Points],tblActuals354151923[Team 2],$CU9,tblActuals354151923[Team 1],DH$3)+SUMIFS(tblActuals354151923[Team 1 Points],tblActuals354151923[Team 1],$CU9,tblActuals354151923[Team 2],DH$3)</f>
        <v>0</v>
      </c>
      <c r="DI9" s="56">
        <f>SUMIFS(tblActuals354151923[Team 2 Points],tblActuals354151923[Team 2],$CU9,tblActuals354151923[Team 1],DI$3)+SUMIFS(tblActuals354151923[Team 1 Points],tblActuals354151923[Team 1],$CU9,tblActuals354151923[Team 2],DI$3)</f>
        <v>0</v>
      </c>
      <c r="DJ9" s="56">
        <f>SUMIFS(tblActuals354151923[Team 2 Points],tblActuals354151923[Team 2],$CU9,tblActuals354151923[Team 1],DJ$3)+SUMIFS(tblActuals354151923[Team 1 Points],tblActuals354151923[Team 1],$CU9,tblActuals354151923[Team 2],DJ$3)</f>
        <v>0</v>
      </c>
      <c r="DK9" s="56">
        <f>SUMIFS(tblActuals354151923[Team 2 Points],tblActuals354151923[Team 2],$CU9,tblActuals354151923[Team 1],DK$3)+SUMIFS(tblActuals354151923[Team 1 Points],tblActuals354151923[Team 1],$CU9,tblActuals354151923[Team 2],DK$3)</f>
        <v>0</v>
      </c>
      <c r="DL9" s="56">
        <f>SUMIFS(tblActuals354151923[Team 2 Points],tblActuals354151923[Team 2],$CU9,tblActuals354151923[Team 1],DL$3)+SUMIFS(tblActuals354151923[Team 1 Points],tblActuals354151923[Team 1],$CU9,tblActuals354151923[Team 2],DL$3)</f>
        <v>0</v>
      </c>
      <c r="DM9" s="56">
        <f>SUMIFS(tblActuals354151923[Team 2 Points],tblActuals354151923[Team 2],$CU9,tblActuals354151923[Team 1],DM$3)+SUMIFS(tblActuals354151923[Team 1 Points],tblActuals354151923[Team 1],$CU9,tblActuals354151923[Team 2],DM$3)</f>
        <v>0</v>
      </c>
      <c r="DN9" s="56">
        <f>SUMIFS(tblActuals354151923[Team 2 Points],tblActuals354151923[Team 2],$CU9,tblActuals354151923[Team 1],DN$3)+SUMIFS(tblActuals354151923[Team 1 Points],tblActuals354151923[Team 1],$CU9,tblActuals354151923[Team 2],DN$3)</f>
        <v>0</v>
      </c>
      <c r="DO9" s="56">
        <f>SUMIFS(tblActuals354151923[Team 2 Points],tblActuals354151923[Team 2],$CU9,tblActuals354151923[Team 1],DO$3)+SUMIFS(tblActuals354151923[Team 1 Points],tblActuals354151923[Team 1],$CU9,tblActuals354151923[Team 2],DO$3)</f>
        <v>0</v>
      </c>
      <c r="DP9" s="56">
        <f>SUMIFS(tblActuals354151923[Team 2 Points],tblActuals354151923[Team 2],$CU9,tblActuals354151923[Team 1],DP$3)+SUMIFS(tblActuals354151923[Team 1 Points],tblActuals354151923[Team 1],$CU9,tblActuals354151923[Team 2],DP$3)</f>
        <v>0</v>
      </c>
      <c r="DQ9" s="56">
        <f>SUMIFS(tblActuals354151923[Team 2 Points],tblActuals354151923[Team 2],$CU9,tblActuals354151923[Team 1],DQ$3)+SUMIFS(tblActuals354151923[Team 1 Points],tblActuals354151923[Team 1],$CU9,tblActuals354151923[Team 2],DQ$3)</f>
        <v>0</v>
      </c>
      <c r="DR9" s="56">
        <f>SUMIFS(tblActuals354151923[Team 2 Points],tblActuals354151923[Team 2],$CU9,tblActuals354151923[Team 1],DR$3)+SUMIFS(tblActuals354151923[Team 1 Points],tblActuals354151923[Team 1],$CU9,tblActuals354151923[Team 2],DR$3)</f>
        <v>0</v>
      </c>
      <c r="DS9" s="56">
        <f>SUMIFS(tblActuals354151923[Team 2 Points],tblActuals354151923[Team 2],$CU9,tblActuals354151923[Team 1],DS$3)+SUMIFS(tblActuals354151923[Team 1 Points],tblActuals354151923[Team 1],$CU9,tblActuals354151923[Team 2],DS$3)</f>
        <v>0</v>
      </c>
      <c r="DT9" s="57"/>
      <c r="DU9" s="57"/>
      <c r="DV9" s="57"/>
      <c r="DW9" s="57"/>
      <c r="DX9" s="57"/>
      <c r="DY9" s="57"/>
      <c r="DZ9" s="57"/>
      <c r="EA9" s="57"/>
      <c r="EB9" s="4"/>
      <c r="EC9" s="4" t="s">
        <v>33</v>
      </c>
      <c r="ED9" s="56">
        <f>SUMIFS(tblActuals354151923[Team 2 GD],tblActuals354151923[Team 2],$CU9,tblActuals354151923[Team 1],ED$3)+SUMIFS(tblActuals354151923[Team 1 GD],tblActuals354151923[Team 1],$CU9,tblActuals354151923[Team 2],ED$3)</f>
        <v>0</v>
      </c>
      <c r="EE9" s="56">
        <f>SUMIFS(tblActuals354151923[Team 2 GD],tblActuals354151923[Team 2],$CU9,tblActuals354151923[Team 1],EE$3)+SUMIFS(tblActuals354151923[Team 1 GD],tblActuals354151923[Team 1],$CU9,tblActuals354151923[Team 2],EE$3)</f>
        <v>0</v>
      </c>
      <c r="EF9" s="56">
        <f>SUMIFS(tblActuals354151923[Team 2 GD],tblActuals354151923[Team 2],$CU9,tblActuals354151923[Team 1],EF$3)+SUMIFS(tblActuals354151923[Team 1 GD],tblActuals354151923[Team 1],$CU9,tblActuals354151923[Team 2],EF$3)</f>
        <v>0</v>
      </c>
      <c r="EG9" s="56">
        <f>SUMIFS(tblActuals354151923[Team 2 GD],tblActuals354151923[Team 2],$CU9,tblActuals354151923[Team 1],EG$3)+SUMIFS(tblActuals354151923[Team 1 GD],tblActuals354151923[Team 1],$CU9,tblActuals354151923[Team 2],EG$3)</f>
        <v>0</v>
      </c>
      <c r="EH9" s="56">
        <f>SUMIFS(tblActuals354151923[Team 2 GD],tblActuals354151923[Team 2],$CU9,tblActuals354151923[Team 1],EH$3)+SUMIFS(tblActuals354151923[Team 1 GD],tblActuals354151923[Team 1],$CU9,tblActuals354151923[Team 2],EH$3)</f>
        <v>0</v>
      </c>
      <c r="EI9" s="56">
        <f>SUMIFS(tblActuals354151923[Team 2 GD],tblActuals354151923[Team 2],$CU9,tblActuals354151923[Team 1],EI$3)+SUMIFS(tblActuals354151923[Team 1 GD],tblActuals354151923[Team 1],$CU9,tblActuals354151923[Team 2],EI$3)</f>
        <v>0</v>
      </c>
      <c r="EJ9" s="56">
        <f>SUMIFS(tblActuals354151923[Team 2 GD],tblActuals354151923[Team 2],$CU9,tblActuals354151923[Team 1],EJ$3)+SUMIFS(tblActuals354151923[Team 1 GD],tblActuals354151923[Team 1],$CU9,tblActuals354151923[Team 2],EJ$3)</f>
        <v>0</v>
      </c>
      <c r="EK9" s="56">
        <f>SUMIFS(tblActuals354151923[Team 2 GD],tblActuals354151923[Team 2],$CU9,tblActuals354151923[Team 1],EK$3)+SUMIFS(tblActuals354151923[Team 1 GD],tblActuals354151923[Team 1],$CU9,tblActuals354151923[Team 2],EK$3)</f>
        <v>0</v>
      </c>
      <c r="EL9" s="56">
        <f>SUMIFS(tblActuals354151923[Team 2 GD],tblActuals354151923[Team 2],$CU9,tblActuals354151923[Team 1],EL$3)+SUMIFS(tblActuals354151923[Team 1 GD],tblActuals354151923[Team 1],$CU9,tblActuals354151923[Team 2],EL$3)</f>
        <v>0</v>
      </c>
      <c r="EM9" s="56">
        <f>SUMIFS(tblActuals354151923[Team 2 GD],tblActuals354151923[Team 2],$CU9,tblActuals354151923[Team 1],EM$3)+SUMIFS(tblActuals354151923[Team 1 GD],tblActuals354151923[Team 1],$CU9,tblActuals354151923[Team 2],EM$3)</f>
        <v>0</v>
      </c>
      <c r="EN9" s="56">
        <f>SUMIFS(tblActuals354151923[Team 2 GD],tblActuals354151923[Team 2],$CU9,tblActuals354151923[Team 1],EN$3)+SUMIFS(tblActuals354151923[Team 1 GD],tblActuals354151923[Team 1],$CU9,tblActuals354151923[Team 2],EN$3)</f>
        <v>0</v>
      </c>
      <c r="EO9" s="56">
        <f>SUMIFS(tblActuals354151923[Team 2 GD],tblActuals354151923[Team 2],$CU9,tblActuals354151923[Team 1],EO$3)+SUMIFS(tblActuals354151923[Team 1 GD],tblActuals354151923[Team 1],$CU9,tblActuals354151923[Team 2],EO$3)</f>
        <v>0</v>
      </c>
      <c r="EP9" s="56">
        <f>SUMIFS(tblActuals354151923[Team 2 GD],tblActuals354151923[Team 2],$CU9,tblActuals354151923[Team 1],EP$3)+SUMIFS(tblActuals354151923[Team 1 GD],tblActuals354151923[Team 1],$CU9,tblActuals354151923[Team 2],EP$3)</f>
        <v>0</v>
      </c>
      <c r="EQ9" s="56">
        <f>SUMIFS(tblActuals354151923[Team 2 GD],tblActuals354151923[Team 2],$CU9,tblActuals354151923[Team 1],EQ$3)+SUMIFS(tblActuals354151923[Team 1 GD],tblActuals354151923[Team 1],$CU9,tblActuals354151923[Team 2],EQ$3)</f>
        <v>0</v>
      </c>
      <c r="ER9" s="56">
        <f>SUMIFS(tblActuals354151923[Team 2 GD],tblActuals354151923[Team 2],$CU9,tblActuals354151923[Team 1],ER$3)+SUMIFS(tblActuals354151923[Team 1 GD],tblActuals354151923[Team 1],$CU9,tblActuals354151923[Team 2],ER$3)</f>
        <v>0</v>
      </c>
      <c r="ES9" s="56">
        <f>SUMIFS(tblActuals354151923[Team 2 GD],tblActuals354151923[Team 2],$CU9,tblActuals354151923[Team 1],ES$3)+SUMIFS(tblActuals354151923[Team 1 GD],tblActuals354151923[Team 1],$CU9,tblActuals354151923[Team 2],ES$3)</f>
        <v>0</v>
      </c>
      <c r="ET9" s="56">
        <f>SUMIFS(tblActuals354151923[Team 2 GD],tblActuals354151923[Team 2],$CU9,tblActuals354151923[Team 1],ET$3)+SUMIFS(tblActuals354151923[Team 1 GD],tblActuals354151923[Team 1],$CU9,tblActuals354151923[Team 2],ET$3)</f>
        <v>0</v>
      </c>
      <c r="EU9" s="56">
        <f>SUMIFS(tblActuals354151923[Team 2 GD],tblActuals354151923[Team 2],$CU9,tblActuals354151923[Team 1],EU$3)+SUMIFS(tblActuals354151923[Team 1 GD],tblActuals354151923[Team 1],$CU9,tblActuals354151923[Team 2],EU$3)</f>
        <v>0</v>
      </c>
      <c r="EV9" s="56">
        <f>SUMIFS(tblActuals354151923[Team 2 GD],tblActuals354151923[Team 2],$CU9,tblActuals354151923[Team 1],EV$3)+SUMIFS(tblActuals354151923[Team 1 GD],tblActuals354151923[Team 1],$CU9,tblActuals354151923[Team 2],EV$3)</f>
        <v>0</v>
      </c>
      <c r="EW9" s="56">
        <f>SUMIFS(tblActuals354151923[Team 2 GD],tblActuals354151923[Team 2],$CU9,tblActuals354151923[Team 1],EW$3)+SUMIFS(tblActuals354151923[Team 1 GD],tblActuals354151923[Team 1],$CU9,tblActuals354151923[Team 2],EW$3)</f>
        <v>0</v>
      </c>
      <c r="EX9" s="56">
        <f>SUMIFS(tblActuals354151923[Team 2 GD],tblActuals354151923[Team 2],$CU9,tblActuals354151923[Team 1],EX$3)+SUMIFS(tblActuals354151923[Team 1 GD],tblActuals354151923[Team 1],$CU9,tblActuals354151923[Team 2],EX$3)</f>
        <v>0</v>
      </c>
      <c r="EY9" s="56">
        <f>SUMIFS(tblActuals354151923[Team 2 GD],tblActuals354151923[Team 2],$CU9,tblActuals354151923[Team 1],EY$3)+SUMIFS(tblActuals354151923[Team 1 GD],tblActuals354151923[Team 1],$CU9,tblActuals354151923[Team 2],EY$3)</f>
        <v>0</v>
      </c>
      <c r="EZ9" s="56">
        <f>SUMIFS(tblActuals354151923[Team 2 GD],tblActuals354151923[Team 2],$CU9,tblActuals354151923[Team 1],EZ$3)+SUMIFS(tblActuals354151923[Team 1 GD],tblActuals354151923[Team 1],$CU9,tblActuals354151923[Team 2],EZ$3)</f>
        <v>0</v>
      </c>
      <c r="FA9" s="56">
        <f>SUMIFS(tblActuals354151923[Team 2 GD],tblActuals354151923[Team 2],$CU9,tblActuals354151923[Team 1],FA$3)+SUMIFS(tblActuals354151923[Team 1 GD],tblActuals354151923[Team 1],$CU9,tblActuals354151923[Team 2],FA$3)</f>
        <v>0</v>
      </c>
      <c r="FB9" s="57"/>
      <c r="FC9" s="57"/>
      <c r="FD9" s="57"/>
      <c r="FE9" s="57"/>
      <c r="FF9" s="57"/>
      <c r="FG9" s="57"/>
      <c r="FH9" s="57"/>
      <c r="FI9" s="57"/>
      <c r="FJ9" s="4"/>
      <c r="FK9" s="4" t="s">
        <v>33</v>
      </c>
      <c r="FL9" s="56">
        <f>SUMIFS(tblActuals354151923[Team 2 Goals],tblActuals354151923[Team 2],$CU9,tblActuals354151923[Team 1],FL$3)+SUMIFS(tblActuals354151923[Team 1 Goals],tblActuals354151923[Team 1],$CU9,tblActuals354151923[Team 2],FL$3)</f>
        <v>0</v>
      </c>
      <c r="FM9" s="56">
        <f>SUMIFS(tblActuals354151923[Team 2 Goals],tblActuals354151923[Team 2],$CU9,tblActuals354151923[Team 1],FM$3)+SUMIFS(tblActuals354151923[Team 1 Goals],tblActuals354151923[Team 1],$CU9,tblActuals354151923[Team 2],FM$3)</f>
        <v>0</v>
      </c>
      <c r="FN9" s="56">
        <f>SUMIFS(tblActuals354151923[Team 2 Goals],tblActuals354151923[Team 2],$CU9,tblActuals354151923[Team 1],FN$3)+SUMIFS(tblActuals354151923[Team 1 Goals],tblActuals354151923[Team 1],$CU9,tblActuals354151923[Team 2],FN$3)</f>
        <v>0</v>
      </c>
      <c r="FO9" s="56">
        <f>SUMIFS(tblActuals354151923[Team 2 Goals],tblActuals354151923[Team 2],$CU9,tblActuals354151923[Team 1],FO$3)+SUMIFS(tblActuals354151923[Team 1 Goals],tblActuals354151923[Team 1],$CU9,tblActuals354151923[Team 2],FO$3)</f>
        <v>0</v>
      </c>
      <c r="FP9" s="56">
        <f>SUMIFS(tblActuals354151923[Team 2 Goals],tblActuals354151923[Team 2],$CU9,tblActuals354151923[Team 1],FP$3)+SUMIFS(tblActuals354151923[Team 1 Goals],tblActuals354151923[Team 1],$CU9,tblActuals354151923[Team 2],FP$3)</f>
        <v>0</v>
      </c>
      <c r="FQ9" s="56">
        <f>SUMIFS(tblActuals354151923[Team 2 Goals],tblActuals354151923[Team 2],$CU9,tblActuals354151923[Team 1],FQ$3)+SUMIFS(tblActuals354151923[Team 1 Goals],tblActuals354151923[Team 1],$CU9,tblActuals354151923[Team 2],FQ$3)</f>
        <v>0</v>
      </c>
      <c r="FR9" s="56">
        <f>SUMIFS(tblActuals354151923[Team 2 Goals],tblActuals354151923[Team 2],$CU9,tblActuals354151923[Team 1],FR$3)+SUMIFS(tblActuals354151923[Team 1 Goals],tblActuals354151923[Team 1],$CU9,tblActuals354151923[Team 2],FR$3)</f>
        <v>0</v>
      </c>
      <c r="FS9" s="56">
        <f>SUMIFS(tblActuals354151923[Team 2 Goals],tblActuals354151923[Team 2],$CU9,tblActuals354151923[Team 1],FS$3)+SUMIFS(tblActuals354151923[Team 1 Goals],tblActuals354151923[Team 1],$CU9,tblActuals354151923[Team 2],FS$3)</f>
        <v>0</v>
      </c>
      <c r="FT9" s="56">
        <f>SUMIFS(tblActuals354151923[Team 2 Goals],tblActuals354151923[Team 2],$CU9,tblActuals354151923[Team 1],FT$3)+SUMIFS(tblActuals354151923[Team 1 Goals],tblActuals354151923[Team 1],$CU9,tblActuals354151923[Team 2],FT$3)</f>
        <v>0</v>
      </c>
      <c r="FU9" s="56">
        <f>SUMIFS(tblActuals354151923[Team 2 Goals],tblActuals354151923[Team 2],$CU9,tblActuals354151923[Team 1],FU$3)+SUMIFS(tblActuals354151923[Team 1 Goals],tblActuals354151923[Team 1],$CU9,tblActuals354151923[Team 2],FU$3)</f>
        <v>0</v>
      </c>
      <c r="FV9" s="56">
        <f>SUMIFS(tblActuals354151923[Team 2 Goals],tblActuals354151923[Team 2],$CU9,tblActuals354151923[Team 1],FV$3)+SUMIFS(tblActuals354151923[Team 1 Goals],tblActuals354151923[Team 1],$CU9,tblActuals354151923[Team 2],FV$3)</f>
        <v>0</v>
      </c>
      <c r="FW9" s="56">
        <f>SUMIFS(tblActuals354151923[Team 2 Goals],tblActuals354151923[Team 2],$CU9,tblActuals354151923[Team 1],FW$3)+SUMIFS(tblActuals354151923[Team 1 Goals],tblActuals354151923[Team 1],$CU9,tblActuals354151923[Team 2],FW$3)</f>
        <v>0</v>
      </c>
      <c r="FX9" s="56">
        <f>SUMIFS(tblActuals354151923[Team 2 Goals],tblActuals354151923[Team 2],$CU9,tblActuals354151923[Team 1],FX$3)+SUMIFS(tblActuals354151923[Team 1 Goals],tblActuals354151923[Team 1],$CU9,tblActuals354151923[Team 2],FX$3)</f>
        <v>0</v>
      </c>
      <c r="FY9" s="56">
        <f>SUMIFS(tblActuals354151923[Team 2 Goals],tblActuals354151923[Team 2],$CU9,tblActuals354151923[Team 1],FY$3)+SUMIFS(tblActuals354151923[Team 1 Goals],tblActuals354151923[Team 1],$CU9,tblActuals354151923[Team 2],FY$3)</f>
        <v>0</v>
      </c>
      <c r="FZ9" s="56">
        <f>SUMIFS(tblActuals354151923[Team 2 Goals],tblActuals354151923[Team 2],$CU9,tblActuals354151923[Team 1],FZ$3)+SUMIFS(tblActuals354151923[Team 1 Goals],tblActuals354151923[Team 1],$CU9,tblActuals354151923[Team 2],FZ$3)</f>
        <v>0</v>
      </c>
      <c r="GA9" s="56">
        <f>SUMIFS(tblActuals354151923[Team 2 Goals],tblActuals354151923[Team 2],$CU9,tblActuals354151923[Team 1],GA$3)+SUMIFS(tblActuals354151923[Team 1 Goals],tblActuals354151923[Team 1],$CU9,tblActuals354151923[Team 2],GA$3)</f>
        <v>0</v>
      </c>
      <c r="GB9" s="56">
        <f>SUMIFS(tblActuals354151923[Team 2 Goals],tblActuals354151923[Team 2],$CU9,tblActuals354151923[Team 1],GB$3)+SUMIFS(tblActuals354151923[Team 1 Goals],tblActuals354151923[Team 1],$CU9,tblActuals354151923[Team 2],GB$3)</f>
        <v>0</v>
      </c>
      <c r="GC9" s="56">
        <f>SUMIFS(tblActuals354151923[Team 2 Goals],tblActuals354151923[Team 2],$CU9,tblActuals354151923[Team 1],GC$3)+SUMIFS(tblActuals354151923[Team 1 Goals],tblActuals354151923[Team 1],$CU9,tblActuals354151923[Team 2],GC$3)</f>
        <v>0</v>
      </c>
      <c r="GD9" s="56">
        <f>SUMIFS(tblActuals354151923[Team 2 Goals],tblActuals354151923[Team 2],$CU9,tblActuals354151923[Team 1],GD$3)+SUMIFS(tblActuals354151923[Team 1 Goals],tblActuals354151923[Team 1],$CU9,tblActuals354151923[Team 2],GD$3)</f>
        <v>0</v>
      </c>
      <c r="GE9" s="56">
        <f>SUMIFS(tblActuals354151923[Team 2 Goals],tblActuals354151923[Team 2],$CU9,tblActuals354151923[Team 1],GE$3)+SUMIFS(tblActuals354151923[Team 1 Goals],tblActuals354151923[Team 1],$CU9,tblActuals354151923[Team 2],GE$3)</f>
        <v>0</v>
      </c>
      <c r="GF9" s="56">
        <f>SUMIFS(tblActuals354151923[Team 2 Goals],tblActuals354151923[Team 2],$CU9,tblActuals354151923[Team 1],GF$3)+SUMIFS(tblActuals354151923[Team 1 Goals],tblActuals354151923[Team 1],$CU9,tblActuals354151923[Team 2],GF$3)</f>
        <v>0</v>
      </c>
      <c r="GG9" s="56">
        <f>SUMIFS(tblActuals354151923[Team 2 Goals],tblActuals354151923[Team 2],$CU9,tblActuals354151923[Team 1],GG$3)+SUMIFS(tblActuals354151923[Team 1 Goals],tblActuals354151923[Team 1],$CU9,tblActuals354151923[Team 2],GG$3)</f>
        <v>0</v>
      </c>
      <c r="GH9" s="56">
        <f>SUMIFS(tblActuals354151923[Team 2 Goals],tblActuals354151923[Team 2],$CU9,tblActuals354151923[Team 1],GH$3)+SUMIFS(tblActuals354151923[Team 1 Goals],tblActuals354151923[Team 1],$CU9,tblActuals354151923[Team 2],GH$3)</f>
        <v>0</v>
      </c>
      <c r="GI9" s="56">
        <f>SUMIFS(tblActuals354151923[Team 2 Goals],tblActuals354151923[Team 2],$CU9,tblActuals354151923[Team 1],GI$3)+SUMIFS(tblActuals354151923[Team 1 Goals],tblActuals354151923[Team 1],$CU9,tblActuals354151923[Team 2],GI$3)</f>
        <v>0</v>
      </c>
      <c r="GJ9" s="57"/>
      <c r="GK9" s="57"/>
      <c r="GL9" s="37"/>
      <c r="GM9" s="37"/>
      <c r="GN9" s="37"/>
      <c r="GO9" s="37"/>
      <c r="GP9" s="37"/>
      <c r="GQ9" s="37"/>
      <c r="GR9" s="75"/>
      <c r="GS9" s="156"/>
      <c r="GT9" s="156"/>
      <c r="GU9" s="75"/>
      <c r="GV9" s="22"/>
      <c r="GW9" s="75"/>
      <c r="GX9" s="75"/>
      <c r="GY9" s="75"/>
      <c r="GZ9" s="75"/>
      <c r="HB9" s="4" t="str">
        <f t="shared" si="12"/>
        <v>ABDF</v>
      </c>
      <c r="HC9" s="44" t="s">
        <v>1</v>
      </c>
      <c r="HD9" s="44" t="s">
        <v>5</v>
      </c>
      <c r="HE9" s="45"/>
      <c r="HF9" s="44" t="s">
        <v>7</v>
      </c>
      <c r="HG9" s="45"/>
      <c r="HH9" s="44" t="s">
        <v>45</v>
      </c>
      <c r="HI9" s="178"/>
      <c r="HJ9" s="45" t="s">
        <v>150</v>
      </c>
      <c r="HK9" s="45" t="s">
        <v>154</v>
      </c>
      <c r="HL9" s="45" t="s">
        <v>149</v>
      </c>
      <c r="HM9" s="45" t="s">
        <v>151</v>
      </c>
    </row>
    <row r="10" spans="1:221" s="11" customFormat="1" ht="30" customHeight="1" thickBot="1" x14ac:dyDescent="0.25">
      <c r="A10" s="20"/>
      <c r="B10" s="122">
        <v>7</v>
      </c>
      <c r="C10" s="122" t="s">
        <v>7</v>
      </c>
      <c r="D10" s="123">
        <v>45459</v>
      </c>
      <c r="E10" s="122" t="s">
        <v>84</v>
      </c>
      <c r="F10" s="124">
        <v>0.625</v>
      </c>
      <c r="G10" s="125">
        <f t="shared" si="11"/>
        <v>45459.375</v>
      </c>
      <c r="H10" s="122" t="s">
        <v>95</v>
      </c>
      <c r="I10" s="126"/>
      <c r="J10" s="118"/>
      <c r="K10" s="118"/>
      <c r="L10" s="174">
        <f>IF(I10="",0,IFERROR(IF(SCORING.RULES!$C$8="No",1,((VLOOKUP($B10,ACTUALS!$B$4:$L$100,7,FALSE)=$H10)+(VLOOKUP($B10,ACTUALS!$B$4:$L$100,7,FALSE)=S10)))*(M10+N10+O10+P10+Q10),0))+$R10</f>
        <v>0</v>
      </c>
      <c r="M10" s="168">
        <f>IFERROR(IF($B10="","",IF(U10=INDEX(ACTUALS!$AA$4:$AA$100,MATCH($B10,ACTUALS!$B$4:$B$100,0),1),CorrectScore,0)),0)</f>
        <v>0</v>
      </c>
      <c r="N10" s="157" t="str">
        <f>IFERROR(IF(I10="","",IF(INDEX(ACTUALS!$AB$4:$AB$100,MATCH($B10,ACTUALS!$B$4:$B$100,0),1)=(AB10+AC10+AH10+AI10),CorrectNumberofGoals,0)),0)</f>
        <v/>
      </c>
      <c r="O10" s="157"/>
      <c r="P10" s="157">
        <f>IFERROR(IF(B10="","",IF(INDEX(ACTUALS!$L$4:$L$100,MATCH($B10,ACTUALS!$B$4:$B$100,0),1)=W10,CorrectResult,0)),0)</f>
        <v>3</v>
      </c>
      <c r="Q10" s="157"/>
      <c r="R10" s="157"/>
      <c r="S10" s="157" t="str">
        <f t="shared" si="0"/>
        <v/>
      </c>
      <c r="T10" s="157"/>
      <c r="U10" s="157" t="str">
        <f t="shared" si="1"/>
        <v/>
      </c>
      <c r="V10" s="157" t="str">
        <f t="shared" si="2"/>
        <v/>
      </c>
      <c r="W10" s="119" t="str">
        <f>IF(tblActuals354151923[[#This Row],[SCORE]]="","",IF(AB10=AC10,"Draw",IF(AB10&gt;AC10,X10,Y10)))</f>
        <v/>
      </c>
      <c r="X10" s="120" t="str">
        <f>IF(tblActuals354151923[[#This Row],[TEAMS]]="","",LEFT(H10,FIND(" -",H10,1)-1))</f>
        <v>Poland</v>
      </c>
      <c r="Y10" s="120" t="str">
        <f>IF(tblActuals354151923[[#This Row],[TEAMS]]="","",MID(H10,FIND("-",H10,1)+2,LEN(H10)-FIND("-",H10,1)+2))</f>
        <v>Netherlands</v>
      </c>
      <c r="Z10" s="120" t="str">
        <f>IF(tblActuals354151923[[#This Row],[Team 1 Goals]]&gt;tblActuals354151923[[#This Row],[Team 2 Goals]],tblActuals354151923[[#This Row],[Team 1]],IF(tblActuals354151923[[#This Row],[Team 2 Goals]]&gt;tblActuals354151923[[#This Row],[Team 1 Goals]],tblActuals354151923[[#This Row],[Team 2]],""))</f>
        <v/>
      </c>
      <c r="AA10" s="120" t="str">
        <f>IF(tblActuals354151923[[#This Row],[Winner]]=tblActuals354151923[[#This Row],[Team 1]],tblActuals354151923[[#This Row],[Team 2]],IF(tblActuals354151923[[#This Row],[Winner]]=tblActuals354151923[[#This Row],[Team 2]],tblActuals354151923[[#This Row],[Team 1]],""))</f>
        <v/>
      </c>
      <c r="AB10" s="120" t="str">
        <f>IF(tblActuals354151923[[#This Row],[SCORE]]="","",LEFT(I10,FIND(":",I10,1)-1)*1)</f>
        <v/>
      </c>
      <c r="AC10" s="120" t="str">
        <f>IF(tblActuals354151923[[#This Row],[SCORE]]="","",MID(I10,FIND(":",I10,1)+1,LEN(I10)-FIND(":",I10,1)+1)*1)</f>
        <v/>
      </c>
      <c r="AD10" s="120" t="str">
        <f>IF(OR(tblActuals354151923[[#This Row],[Team 1 Goals]]="",tblActuals354151923[[#This Row],[Team 2 Goals]]=""),"",tblActuals354151923[[#This Row],[Team 1 Goals]]-tblActuals354151923[[#This Row],[Team 2 Goals]])</f>
        <v/>
      </c>
      <c r="AE10" s="120" t="str">
        <f>IF(OR(tblActuals354151923[[#This Row],[Team 1 Goals]]="",tblActuals354151923[[#This Row],[Team 2 Goals]]=""),"",tblActuals354151923[[#This Row],[Team 2 Goals]]-tblActuals354151923[[#This Row],[Team 1 Goals]])</f>
        <v/>
      </c>
      <c r="AF10" s="120" t="str">
        <f>IF(tblActuals354151923[[#This Row],[SCORE]]="","",IF(tblActuals354151923[[#This Row],[WINNER / RESULT]]="Draw",1,IF(tblActuals354151923[[#This Row],[WINNER / RESULT]]=tblActuals354151923[[#This Row],[Team 1]],3,0)))</f>
        <v/>
      </c>
      <c r="AG10" s="120" t="str">
        <f>IF(tblActuals354151923[[#This Row],[SCORE]]="","",IF(tblActuals354151923[[#This Row],[WINNER / RESULT]]="Draw",1,IF(tblActuals354151923[[#This Row],[WINNER / RESULT]]=tblActuals354151923[[#This Row],[Team 2]],3,0)))</f>
        <v/>
      </c>
      <c r="AH10" s="121"/>
      <c r="AI10" s="121"/>
      <c r="AJ10" s="121"/>
      <c r="AK10" s="121"/>
      <c r="AL10" s="120" t="e">
        <f>tblActuals354151923[[#This Row],[Team 1 Goals]]+tblActuals354151923[[#This Row],[Team 1 ET Goals]]&amp;":"&amp;tblActuals354151923[[#This Row],[Team 2 Goals]]+tblActuals354151923[[#This Row],[Team 2 ET Goals]]</f>
        <v>#VALUE!</v>
      </c>
      <c r="AM10" s="120" t="e">
        <f>+tblActuals354151923[[#This Row],[Team 1 Goals]]+tblActuals354151923[[#This Row],[Team 2 Goals]]</f>
        <v>#VALUE!</v>
      </c>
      <c r="AN10" s="161">
        <f t="shared" si="3"/>
        <v>45459</v>
      </c>
      <c r="AP10" s="38" t="s">
        <v>82</v>
      </c>
      <c r="AT10" s="77"/>
      <c r="AU10" s="148"/>
      <c r="AV10" s="148"/>
      <c r="AW10" s="148"/>
      <c r="AX10" s="148"/>
      <c r="AY10" s="148"/>
      <c r="AZ10" s="75"/>
      <c r="BA10" s="42"/>
      <c r="BB10" s="4"/>
      <c r="BC10" s="4" t="s">
        <v>5</v>
      </c>
      <c r="BD10" s="4" t="s">
        <v>33</v>
      </c>
      <c r="BE10" s="4">
        <f>COUNTIF(tblActuals354151923[Winner],BD10)</f>
        <v>0</v>
      </c>
      <c r="BF10" s="4">
        <f>COUNTIFS(tblActuals354151923[Team 2],BD10,tblActuals354151923[WINNER / RESULT],"Draw")+COUNTIFS(tblActuals354151923[Team 1],BD10,tblActuals354151923[WINNER / RESULT],"Draw")</f>
        <v>0</v>
      </c>
      <c r="BG10" s="4">
        <f>COUNTIF(tblActuals354151923[Loser],BD10)</f>
        <v>0</v>
      </c>
      <c r="BH10" s="4">
        <f>BF10+(3*BE10)</f>
        <v>0</v>
      </c>
      <c r="BI10" s="4">
        <f>SUMIFS(tblActuals354151923[Team 1 Goals],tblActuals354151923[Team 1],BD10)+SUMIFS(tblActuals354151923[Team 2 Goals],tblActuals354151923[Team 2],BD10)</f>
        <v>0</v>
      </c>
      <c r="BJ10" s="4">
        <f>SUMIFS(tblActuals354151923[Team 2 Goals],tblActuals354151923[Team 1],BD10)+SUMIFS(tblActuals354151923[Team 1 Goals],tblActuals354151923[Team 2],BD10)</f>
        <v>0</v>
      </c>
      <c r="BK10" s="4">
        <f>BI10-BJ10</f>
        <v>0</v>
      </c>
      <c r="BL10" s="4">
        <f ca="1">RANK(BY10,$BY$9:$BY$12,1)</f>
        <v>2</v>
      </c>
      <c r="BM10" s="4" t="str">
        <f t="shared" si="4"/>
        <v/>
      </c>
      <c r="BN10" s="4" t="str">
        <f ca="1">IF(BM10="",BL10&amp;BC10,BM10&amp;BC10)</f>
        <v>2B</v>
      </c>
      <c r="BO10" s="4">
        <f>RANK(BH10,$BH$9:$BH$12,0)</f>
        <v>1</v>
      </c>
      <c r="BP10" s="4" cm="1">
        <f t="array" aca="1" ref="BP10" ca="1">SUMPRODUCT((OFFSET($CV$3:$EA$3,MATCH($BD10,$CU$4:$CU$35,0),0))*((IF($BO11=$BO10,$CV$3:$EA$3=$BD11,0))+(IF($BO12=$BO10,$CV$3:$EA$3=$BD12,0))+(IF($BO9=$BO10,$CV$3:$EA$3=$BD9,0))))</f>
        <v>0</v>
      </c>
      <c r="BQ10" s="4" cm="1">
        <f t="array" aca="1" ref="BQ10" ca="1">SUMPRODUCT((OFFSET($ED$3:$FI$3,MATCH($BD10,$EC$4:$EC$35,0),0))*((IF($BO11=$BO10,$ED$3:$FI$3=$BD11,0))+(IF($BO12=$BO10,$ED$3:$FI$3=$BD12,0))+(IF($BO9=$BO10,$ED$3:$FI$3=$BD9,0))))</f>
        <v>0</v>
      </c>
      <c r="BR10" s="4" cm="1">
        <f t="array" aca="1" ref="BR10" ca="1">SUMPRODUCT((OFFSET($FL$3:$GQ$3,MATCH($BD10,$FK$4:$FK$35,0),0))*((IF($BO11=$BO10,$FL$3:$GQ$3=$BD11,0))+(IF($BO12=$BO10,$FL$3:$GQ$3=$BD12,0))+(IF($BO9=$BO10,$FL$3:$GQ$3=$BD9,0))))</f>
        <v>0</v>
      </c>
      <c r="BS10" s="4" cm="1">
        <f t="array" aca="1" ref="BS10" ca="1">SUMPRODUCT((OFFSET($CV$3:$EA$3,MATCH($BD10,$CU$4:$CU$35,0),0))*((IF($BO11&lt;&gt;$BO10,$CV$3:$EA$3=$BD11,0))+(IF($BO12&lt;&gt;$BO10,$CV$3:$EA$3=$BD12,0))+(IF($BO9&lt;&gt;$BO10,$CV$3:$EA$3=$BD9,0))))</f>
        <v>0</v>
      </c>
      <c r="BT10" s="4" cm="1">
        <f t="array" aca="1" ref="BT10" ca="1">SUMPRODUCT((OFFSET($ED$3:$FI$3,MATCH($BD10,$EC$4:$EC$35,0),0))*((IF($BO11&lt;&gt;$BO10,$ED$3:$FI$3=$BD11,0))+(IF($BO12&lt;&gt;$BO10,$ED$3:$FI$3=$BD12,0))+(IF($BO9&lt;&gt;$BO10,$ED$3:$FI$3=$BD9,0))))</f>
        <v>0</v>
      </c>
      <c r="BU10" s="4" cm="1">
        <f t="array" aca="1" ref="BU10" ca="1">SUMPRODUCT((OFFSET($FL$3:$GQ$3,MATCH($BD10,$FK$4:$FK$35,0),0))*((IF($BO11&lt;&gt;$BO10,$FL$3:$GQ$3=$BD11,0))+(IF($BO12&lt;&gt;$BO10,$FL$3:$GQ$3=$BD12,0))+(IF($BO9&lt;&gt;$BO10,$FL$3:$GQ$3=$BD9,0))))</f>
        <v>0</v>
      </c>
      <c r="BV10" s="4">
        <f>BK10</f>
        <v>0</v>
      </c>
      <c r="BW10" s="4">
        <f>BI10</f>
        <v>0</v>
      </c>
      <c r="BX10" s="4">
        <f ca="1">(BP10/10)+(BQ10/100)+(BR10/1000)+(BT10/10000)+(BU10/100000)+(BV10/1000000)+(BW10/10000000)+(ROW(BS11)/100000000)</f>
        <v>1.1000000000000001E-7</v>
      </c>
      <c r="BY10" s="4">
        <f ca="1">+BO10-BX10</f>
        <v>0.99999989</v>
      </c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U10" s="4" t="s">
        <v>126</v>
      </c>
      <c r="CV10" s="56">
        <f>SUMIFS(tblActuals354151923[Team 2 Points],tblActuals354151923[Team 2],$CU10,tblActuals354151923[Team 1],CV$3)+SUMIFS(tblActuals354151923[Team 1 Points],tblActuals354151923[Team 1],$CU10,tblActuals354151923[Team 2],CV$3)</f>
        <v>0</v>
      </c>
      <c r="CW10" s="56">
        <f>SUMIFS(tblActuals354151923[Team 2 Points],tblActuals354151923[Team 2],$CU10,tblActuals354151923[Team 1],CW$3)+SUMIFS(tblActuals354151923[Team 1 Points],tblActuals354151923[Team 1],$CU10,tblActuals354151923[Team 2],CW$3)</f>
        <v>0</v>
      </c>
      <c r="CX10" s="56">
        <f>SUMIFS(tblActuals354151923[Team 2 Points],tblActuals354151923[Team 2],$CU10,tblActuals354151923[Team 1],CX$3)+SUMIFS(tblActuals354151923[Team 1 Points],tblActuals354151923[Team 1],$CU10,tblActuals354151923[Team 2],CX$3)</f>
        <v>0</v>
      </c>
      <c r="CY10" s="56">
        <f>SUMIFS(tblActuals354151923[Team 2 Points],tblActuals354151923[Team 2],$CU10,tblActuals354151923[Team 1],CY$3)+SUMIFS(tblActuals354151923[Team 1 Points],tblActuals354151923[Team 1],$CU10,tblActuals354151923[Team 2],CY$3)</f>
        <v>0</v>
      </c>
      <c r="CZ10" s="56">
        <f>SUMIFS(tblActuals354151923[Team 2 Points],tblActuals354151923[Team 2],$CU10,tblActuals354151923[Team 1],CZ$3)+SUMIFS(tblActuals354151923[Team 1 Points],tblActuals354151923[Team 1],$CU10,tblActuals354151923[Team 2],CZ$3)</f>
        <v>0</v>
      </c>
      <c r="DA10" s="56">
        <f>SUMIFS(tblActuals354151923[Team 2 Points],tblActuals354151923[Team 2],$CU10,tblActuals354151923[Team 1],DA$3)+SUMIFS(tblActuals354151923[Team 1 Points],tblActuals354151923[Team 1],$CU10,tblActuals354151923[Team 2],DA$3)</f>
        <v>0</v>
      </c>
      <c r="DB10" s="56">
        <f>SUMIFS(tblActuals354151923[Team 2 Points],tblActuals354151923[Team 2],$CU10,tblActuals354151923[Team 1],DB$3)+SUMIFS(tblActuals354151923[Team 1 Points],tblActuals354151923[Team 1],$CU10,tblActuals354151923[Team 2],DB$3)</f>
        <v>0</v>
      </c>
      <c r="DC10" s="56">
        <f>SUMIFS(tblActuals354151923[Team 2 Points],tblActuals354151923[Team 2],$CU10,tblActuals354151923[Team 1],DC$3)+SUMIFS(tblActuals354151923[Team 1 Points],tblActuals354151923[Team 1],$CU10,tblActuals354151923[Team 2],DC$3)</f>
        <v>0</v>
      </c>
      <c r="DD10" s="56">
        <f>SUMIFS(tblActuals354151923[Team 2 Points],tblActuals354151923[Team 2],$CU10,tblActuals354151923[Team 1],DD$3)+SUMIFS(tblActuals354151923[Team 1 Points],tblActuals354151923[Team 1],$CU10,tblActuals354151923[Team 2],DD$3)</f>
        <v>0</v>
      </c>
      <c r="DE10" s="56">
        <f>SUMIFS(tblActuals354151923[Team 2 Points],tblActuals354151923[Team 2],$CU10,tblActuals354151923[Team 1],DE$3)+SUMIFS(tblActuals354151923[Team 1 Points],tblActuals354151923[Team 1],$CU10,tblActuals354151923[Team 2],DE$3)</f>
        <v>0</v>
      </c>
      <c r="DF10" s="56">
        <f>SUMIFS(tblActuals354151923[Team 2 Points],tblActuals354151923[Team 2],$CU10,tblActuals354151923[Team 1],DF$3)+SUMIFS(tblActuals354151923[Team 1 Points],tblActuals354151923[Team 1],$CU10,tblActuals354151923[Team 2],DF$3)</f>
        <v>0</v>
      </c>
      <c r="DG10" s="56">
        <f>SUMIFS(tblActuals354151923[Team 2 Points],tblActuals354151923[Team 2],$CU10,tblActuals354151923[Team 1],DG$3)+SUMIFS(tblActuals354151923[Team 1 Points],tblActuals354151923[Team 1],$CU10,tblActuals354151923[Team 2],DG$3)</f>
        <v>0</v>
      </c>
      <c r="DH10" s="56">
        <f>SUMIFS(tblActuals354151923[Team 2 Points],tblActuals354151923[Team 2],$CU10,tblActuals354151923[Team 1],DH$3)+SUMIFS(tblActuals354151923[Team 1 Points],tblActuals354151923[Team 1],$CU10,tblActuals354151923[Team 2],DH$3)</f>
        <v>0</v>
      </c>
      <c r="DI10" s="56">
        <f>SUMIFS(tblActuals354151923[Team 2 Points],tblActuals354151923[Team 2],$CU10,tblActuals354151923[Team 1],DI$3)+SUMIFS(tblActuals354151923[Team 1 Points],tblActuals354151923[Team 1],$CU10,tblActuals354151923[Team 2],DI$3)</f>
        <v>0</v>
      </c>
      <c r="DJ10" s="56">
        <f>SUMIFS(tblActuals354151923[Team 2 Points],tblActuals354151923[Team 2],$CU10,tblActuals354151923[Team 1],DJ$3)+SUMIFS(tblActuals354151923[Team 1 Points],tblActuals354151923[Team 1],$CU10,tblActuals354151923[Team 2],DJ$3)</f>
        <v>0</v>
      </c>
      <c r="DK10" s="56">
        <f>SUMIFS(tblActuals354151923[Team 2 Points],tblActuals354151923[Team 2],$CU10,tblActuals354151923[Team 1],DK$3)+SUMIFS(tblActuals354151923[Team 1 Points],tblActuals354151923[Team 1],$CU10,tblActuals354151923[Team 2],DK$3)</f>
        <v>0</v>
      </c>
      <c r="DL10" s="56">
        <f>SUMIFS(tblActuals354151923[Team 2 Points],tblActuals354151923[Team 2],$CU10,tblActuals354151923[Team 1],DL$3)+SUMIFS(tblActuals354151923[Team 1 Points],tblActuals354151923[Team 1],$CU10,tblActuals354151923[Team 2],DL$3)</f>
        <v>0</v>
      </c>
      <c r="DM10" s="56">
        <f>SUMIFS(tblActuals354151923[Team 2 Points],tblActuals354151923[Team 2],$CU10,tblActuals354151923[Team 1],DM$3)+SUMIFS(tblActuals354151923[Team 1 Points],tblActuals354151923[Team 1],$CU10,tblActuals354151923[Team 2],DM$3)</f>
        <v>0</v>
      </c>
      <c r="DN10" s="56">
        <f>SUMIFS(tblActuals354151923[Team 2 Points],tblActuals354151923[Team 2],$CU10,tblActuals354151923[Team 1],DN$3)+SUMIFS(tblActuals354151923[Team 1 Points],tblActuals354151923[Team 1],$CU10,tblActuals354151923[Team 2],DN$3)</f>
        <v>0</v>
      </c>
      <c r="DO10" s="56">
        <f>SUMIFS(tblActuals354151923[Team 2 Points],tblActuals354151923[Team 2],$CU10,tblActuals354151923[Team 1],DO$3)+SUMIFS(tblActuals354151923[Team 1 Points],tblActuals354151923[Team 1],$CU10,tblActuals354151923[Team 2],DO$3)</f>
        <v>0</v>
      </c>
      <c r="DP10" s="56">
        <f>SUMIFS(tblActuals354151923[Team 2 Points],tblActuals354151923[Team 2],$CU10,tblActuals354151923[Team 1],DP$3)+SUMIFS(tblActuals354151923[Team 1 Points],tblActuals354151923[Team 1],$CU10,tblActuals354151923[Team 2],DP$3)</f>
        <v>0</v>
      </c>
      <c r="DQ10" s="56">
        <f>SUMIFS(tblActuals354151923[Team 2 Points],tblActuals354151923[Team 2],$CU10,tblActuals354151923[Team 1],DQ$3)+SUMIFS(tblActuals354151923[Team 1 Points],tblActuals354151923[Team 1],$CU10,tblActuals354151923[Team 2],DQ$3)</f>
        <v>0</v>
      </c>
      <c r="DR10" s="56">
        <f>SUMIFS(tblActuals354151923[Team 2 Points],tblActuals354151923[Team 2],$CU10,tblActuals354151923[Team 1],DR$3)+SUMIFS(tblActuals354151923[Team 1 Points],tblActuals354151923[Team 1],$CU10,tblActuals354151923[Team 2],DR$3)</f>
        <v>0</v>
      </c>
      <c r="DS10" s="56">
        <f>SUMIFS(tblActuals354151923[Team 2 Points],tblActuals354151923[Team 2],$CU10,tblActuals354151923[Team 1],DS$3)+SUMIFS(tblActuals354151923[Team 1 Points],tblActuals354151923[Team 1],$CU10,tblActuals354151923[Team 2],DS$3)</f>
        <v>0</v>
      </c>
      <c r="DT10" s="57"/>
      <c r="DU10" s="57"/>
      <c r="DV10" s="57"/>
      <c r="DW10" s="57"/>
      <c r="DX10" s="57"/>
      <c r="DY10" s="57"/>
      <c r="DZ10" s="57"/>
      <c r="EA10" s="57"/>
      <c r="EB10" s="4"/>
      <c r="EC10" s="4" t="s">
        <v>126</v>
      </c>
      <c r="ED10" s="56">
        <f>SUMIFS(tblActuals354151923[Team 2 GD],tblActuals354151923[Team 2],$CU10,tblActuals354151923[Team 1],ED$3)+SUMIFS(tblActuals354151923[Team 1 GD],tblActuals354151923[Team 1],$CU10,tblActuals354151923[Team 2],ED$3)</f>
        <v>0</v>
      </c>
      <c r="EE10" s="56">
        <f>SUMIFS(tblActuals354151923[Team 2 GD],tblActuals354151923[Team 2],$CU10,tblActuals354151923[Team 1],EE$3)+SUMIFS(tblActuals354151923[Team 1 GD],tblActuals354151923[Team 1],$CU10,tblActuals354151923[Team 2],EE$3)</f>
        <v>0</v>
      </c>
      <c r="EF10" s="56">
        <f>SUMIFS(tblActuals354151923[Team 2 GD],tblActuals354151923[Team 2],$CU10,tblActuals354151923[Team 1],EF$3)+SUMIFS(tblActuals354151923[Team 1 GD],tblActuals354151923[Team 1],$CU10,tblActuals354151923[Team 2],EF$3)</f>
        <v>0</v>
      </c>
      <c r="EG10" s="56">
        <f>SUMIFS(tblActuals354151923[Team 2 GD],tblActuals354151923[Team 2],$CU10,tblActuals354151923[Team 1],EG$3)+SUMIFS(tblActuals354151923[Team 1 GD],tblActuals354151923[Team 1],$CU10,tblActuals354151923[Team 2],EG$3)</f>
        <v>0</v>
      </c>
      <c r="EH10" s="56">
        <f>SUMIFS(tblActuals354151923[Team 2 GD],tblActuals354151923[Team 2],$CU10,tblActuals354151923[Team 1],EH$3)+SUMIFS(tblActuals354151923[Team 1 GD],tblActuals354151923[Team 1],$CU10,tblActuals354151923[Team 2],EH$3)</f>
        <v>0</v>
      </c>
      <c r="EI10" s="56">
        <f>SUMIFS(tblActuals354151923[Team 2 GD],tblActuals354151923[Team 2],$CU10,tblActuals354151923[Team 1],EI$3)+SUMIFS(tblActuals354151923[Team 1 GD],tblActuals354151923[Team 1],$CU10,tblActuals354151923[Team 2],EI$3)</f>
        <v>0</v>
      </c>
      <c r="EJ10" s="56">
        <f>SUMIFS(tblActuals354151923[Team 2 GD],tblActuals354151923[Team 2],$CU10,tblActuals354151923[Team 1],EJ$3)+SUMIFS(tblActuals354151923[Team 1 GD],tblActuals354151923[Team 1],$CU10,tblActuals354151923[Team 2],EJ$3)</f>
        <v>0</v>
      </c>
      <c r="EK10" s="56">
        <f>SUMIFS(tblActuals354151923[Team 2 GD],tblActuals354151923[Team 2],$CU10,tblActuals354151923[Team 1],EK$3)+SUMIFS(tblActuals354151923[Team 1 GD],tblActuals354151923[Team 1],$CU10,tblActuals354151923[Team 2],EK$3)</f>
        <v>0</v>
      </c>
      <c r="EL10" s="56">
        <f>SUMIFS(tblActuals354151923[Team 2 GD],tblActuals354151923[Team 2],$CU10,tblActuals354151923[Team 1],EL$3)+SUMIFS(tblActuals354151923[Team 1 GD],tblActuals354151923[Team 1],$CU10,tblActuals354151923[Team 2],EL$3)</f>
        <v>0</v>
      </c>
      <c r="EM10" s="56">
        <f>SUMIFS(tblActuals354151923[Team 2 GD],tblActuals354151923[Team 2],$CU10,tblActuals354151923[Team 1],EM$3)+SUMIFS(tblActuals354151923[Team 1 GD],tblActuals354151923[Team 1],$CU10,tblActuals354151923[Team 2],EM$3)</f>
        <v>0</v>
      </c>
      <c r="EN10" s="56">
        <f>SUMIFS(tblActuals354151923[Team 2 GD],tblActuals354151923[Team 2],$CU10,tblActuals354151923[Team 1],EN$3)+SUMIFS(tblActuals354151923[Team 1 GD],tblActuals354151923[Team 1],$CU10,tblActuals354151923[Team 2],EN$3)</f>
        <v>0</v>
      </c>
      <c r="EO10" s="56">
        <f>SUMIFS(tblActuals354151923[Team 2 GD],tblActuals354151923[Team 2],$CU10,tblActuals354151923[Team 1],EO$3)+SUMIFS(tblActuals354151923[Team 1 GD],tblActuals354151923[Team 1],$CU10,tblActuals354151923[Team 2],EO$3)</f>
        <v>0</v>
      </c>
      <c r="EP10" s="56">
        <f>SUMIFS(tblActuals354151923[Team 2 GD],tblActuals354151923[Team 2],$CU10,tblActuals354151923[Team 1],EP$3)+SUMIFS(tblActuals354151923[Team 1 GD],tblActuals354151923[Team 1],$CU10,tblActuals354151923[Team 2],EP$3)</f>
        <v>0</v>
      </c>
      <c r="EQ10" s="56">
        <f>SUMIFS(tblActuals354151923[Team 2 GD],tblActuals354151923[Team 2],$CU10,tblActuals354151923[Team 1],EQ$3)+SUMIFS(tblActuals354151923[Team 1 GD],tblActuals354151923[Team 1],$CU10,tblActuals354151923[Team 2],EQ$3)</f>
        <v>0</v>
      </c>
      <c r="ER10" s="56">
        <f>SUMIFS(tblActuals354151923[Team 2 GD],tblActuals354151923[Team 2],$CU10,tblActuals354151923[Team 1],ER$3)+SUMIFS(tblActuals354151923[Team 1 GD],tblActuals354151923[Team 1],$CU10,tblActuals354151923[Team 2],ER$3)</f>
        <v>0</v>
      </c>
      <c r="ES10" s="56">
        <f>SUMIFS(tblActuals354151923[Team 2 GD],tblActuals354151923[Team 2],$CU10,tblActuals354151923[Team 1],ES$3)+SUMIFS(tblActuals354151923[Team 1 GD],tblActuals354151923[Team 1],$CU10,tblActuals354151923[Team 2],ES$3)</f>
        <v>0</v>
      </c>
      <c r="ET10" s="56">
        <f>SUMIFS(tblActuals354151923[Team 2 GD],tblActuals354151923[Team 2],$CU10,tblActuals354151923[Team 1],ET$3)+SUMIFS(tblActuals354151923[Team 1 GD],tblActuals354151923[Team 1],$CU10,tblActuals354151923[Team 2],ET$3)</f>
        <v>0</v>
      </c>
      <c r="EU10" s="56">
        <f>SUMIFS(tblActuals354151923[Team 2 GD],tblActuals354151923[Team 2],$CU10,tblActuals354151923[Team 1],EU$3)+SUMIFS(tblActuals354151923[Team 1 GD],tblActuals354151923[Team 1],$CU10,tblActuals354151923[Team 2],EU$3)</f>
        <v>0</v>
      </c>
      <c r="EV10" s="56">
        <f>SUMIFS(tblActuals354151923[Team 2 GD],tblActuals354151923[Team 2],$CU10,tblActuals354151923[Team 1],EV$3)+SUMIFS(tblActuals354151923[Team 1 GD],tblActuals354151923[Team 1],$CU10,tblActuals354151923[Team 2],EV$3)</f>
        <v>0</v>
      </c>
      <c r="EW10" s="56">
        <f>SUMIFS(tblActuals354151923[Team 2 GD],tblActuals354151923[Team 2],$CU10,tblActuals354151923[Team 1],EW$3)+SUMIFS(tblActuals354151923[Team 1 GD],tblActuals354151923[Team 1],$CU10,tblActuals354151923[Team 2],EW$3)</f>
        <v>0</v>
      </c>
      <c r="EX10" s="56">
        <f>SUMIFS(tblActuals354151923[Team 2 GD],tblActuals354151923[Team 2],$CU10,tblActuals354151923[Team 1],EX$3)+SUMIFS(tblActuals354151923[Team 1 GD],tblActuals354151923[Team 1],$CU10,tblActuals354151923[Team 2],EX$3)</f>
        <v>0</v>
      </c>
      <c r="EY10" s="56">
        <f>SUMIFS(tblActuals354151923[Team 2 GD],tblActuals354151923[Team 2],$CU10,tblActuals354151923[Team 1],EY$3)+SUMIFS(tblActuals354151923[Team 1 GD],tblActuals354151923[Team 1],$CU10,tblActuals354151923[Team 2],EY$3)</f>
        <v>0</v>
      </c>
      <c r="EZ10" s="56">
        <f>SUMIFS(tblActuals354151923[Team 2 GD],tblActuals354151923[Team 2],$CU10,tblActuals354151923[Team 1],EZ$3)+SUMIFS(tblActuals354151923[Team 1 GD],tblActuals354151923[Team 1],$CU10,tblActuals354151923[Team 2],EZ$3)</f>
        <v>0</v>
      </c>
      <c r="FA10" s="56">
        <f>SUMIFS(tblActuals354151923[Team 2 GD],tblActuals354151923[Team 2],$CU10,tblActuals354151923[Team 1],FA$3)+SUMIFS(tblActuals354151923[Team 1 GD],tblActuals354151923[Team 1],$CU10,tblActuals354151923[Team 2],FA$3)</f>
        <v>0</v>
      </c>
      <c r="FB10" s="57"/>
      <c r="FC10" s="57"/>
      <c r="FD10" s="57"/>
      <c r="FE10" s="57"/>
      <c r="FF10" s="57"/>
      <c r="FG10" s="57"/>
      <c r="FH10" s="57"/>
      <c r="FI10" s="57"/>
      <c r="FJ10" s="4"/>
      <c r="FK10" s="4" t="s">
        <v>126</v>
      </c>
      <c r="FL10" s="56">
        <f>SUMIFS(tblActuals354151923[Team 2 Goals],tblActuals354151923[Team 2],$CU10,tblActuals354151923[Team 1],FL$3)+SUMIFS(tblActuals354151923[Team 1 Goals],tblActuals354151923[Team 1],$CU10,tblActuals354151923[Team 2],FL$3)</f>
        <v>0</v>
      </c>
      <c r="FM10" s="56">
        <f>SUMIFS(tblActuals354151923[Team 2 Goals],tblActuals354151923[Team 2],$CU10,tblActuals354151923[Team 1],FM$3)+SUMIFS(tblActuals354151923[Team 1 Goals],tblActuals354151923[Team 1],$CU10,tblActuals354151923[Team 2],FM$3)</f>
        <v>0</v>
      </c>
      <c r="FN10" s="56">
        <f>SUMIFS(tblActuals354151923[Team 2 Goals],tblActuals354151923[Team 2],$CU10,tblActuals354151923[Team 1],FN$3)+SUMIFS(tblActuals354151923[Team 1 Goals],tblActuals354151923[Team 1],$CU10,tblActuals354151923[Team 2],FN$3)</f>
        <v>0</v>
      </c>
      <c r="FO10" s="56">
        <f>SUMIFS(tblActuals354151923[Team 2 Goals],tblActuals354151923[Team 2],$CU10,tblActuals354151923[Team 1],FO$3)+SUMIFS(tblActuals354151923[Team 1 Goals],tblActuals354151923[Team 1],$CU10,tblActuals354151923[Team 2],FO$3)</f>
        <v>0</v>
      </c>
      <c r="FP10" s="56">
        <f>SUMIFS(tblActuals354151923[Team 2 Goals],tblActuals354151923[Team 2],$CU10,tblActuals354151923[Team 1],FP$3)+SUMIFS(tblActuals354151923[Team 1 Goals],tblActuals354151923[Team 1],$CU10,tblActuals354151923[Team 2],FP$3)</f>
        <v>0</v>
      </c>
      <c r="FQ10" s="56">
        <f>SUMIFS(tblActuals354151923[Team 2 Goals],tblActuals354151923[Team 2],$CU10,tblActuals354151923[Team 1],FQ$3)+SUMIFS(tblActuals354151923[Team 1 Goals],tblActuals354151923[Team 1],$CU10,tblActuals354151923[Team 2],FQ$3)</f>
        <v>0</v>
      </c>
      <c r="FR10" s="56">
        <f>SUMIFS(tblActuals354151923[Team 2 Goals],tblActuals354151923[Team 2],$CU10,tblActuals354151923[Team 1],FR$3)+SUMIFS(tblActuals354151923[Team 1 Goals],tblActuals354151923[Team 1],$CU10,tblActuals354151923[Team 2],FR$3)</f>
        <v>0</v>
      </c>
      <c r="FS10" s="56">
        <f>SUMIFS(tblActuals354151923[Team 2 Goals],tblActuals354151923[Team 2],$CU10,tblActuals354151923[Team 1],FS$3)+SUMIFS(tblActuals354151923[Team 1 Goals],tblActuals354151923[Team 1],$CU10,tblActuals354151923[Team 2],FS$3)</f>
        <v>0</v>
      </c>
      <c r="FT10" s="56">
        <f>SUMIFS(tblActuals354151923[Team 2 Goals],tblActuals354151923[Team 2],$CU10,tblActuals354151923[Team 1],FT$3)+SUMIFS(tblActuals354151923[Team 1 Goals],tblActuals354151923[Team 1],$CU10,tblActuals354151923[Team 2],FT$3)</f>
        <v>0</v>
      </c>
      <c r="FU10" s="56">
        <f>SUMIFS(tblActuals354151923[Team 2 Goals],tblActuals354151923[Team 2],$CU10,tblActuals354151923[Team 1],FU$3)+SUMIFS(tblActuals354151923[Team 1 Goals],tblActuals354151923[Team 1],$CU10,tblActuals354151923[Team 2],FU$3)</f>
        <v>0</v>
      </c>
      <c r="FV10" s="56">
        <f>SUMIFS(tblActuals354151923[Team 2 Goals],tblActuals354151923[Team 2],$CU10,tblActuals354151923[Team 1],FV$3)+SUMIFS(tblActuals354151923[Team 1 Goals],tblActuals354151923[Team 1],$CU10,tblActuals354151923[Team 2],FV$3)</f>
        <v>0</v>
      </c>
      <c r="FW10" s="56">
        <f>SUMIFS(tblActuals354151923[Team 2 Goals],tblActuals354151923[Team 2],$CU10,tblActuals354151923[Team 1],FW$3)+SUMIFS(tblActuals354151923[Team 1 Goals],tblActuals354151923[Team 1],$CU10,tblActuals354151923[Team 2],FW$3)</f>
        <v>0</v>
      </c>
      <c r="FX10" s="56">
        <f>SUMIFS(tblActuals354151923[Team 2 Goals],tblActuals354151923[Team 2],$CU10,tblActuals354151923[Team 1],FX$3)+SUMIFS(tblActuals354151923[Team 1 Goals],tblActuals354151923[Team 1],$CU10,tblActuals354151923[Team 2],FX$3)</f>
        <v>0</v>
      </c>
      <c r="FY10" s="56">
        <f>SUMIFS(tblActuals354151923[Team 2 Goals],tblActuals354151923[Team 2],$CU10,tblActuals354151923[Team 1],FY$3)+SUMIFS(tblActuals354151923[Team 1 Goals],tblActuals354151923[Team 1],$CU10,tblActuals354151923[Team 2],FY$3)</f>
        <v>0</v>
      </c>
      <c r="FZ10" s="56">
        <f>SUMIFS(tblActuals354151923[Team 2 Goals],tblActuals354151923[Team 2],$CU10,tblActuals354151923[Team 1],FZ$3)+SUMIFS(tblActuals354151923[Team 1 Goals],tblActuals354151923[Team 1],$CU10,tblActuals354151923[Team 2],FZ$3)</f>
        <v>0</v>
      </c>
      <c r="GA10" s="56">
        <f>SUMIFS(tblActuals354151923[Team 2 Goals],tblActuals354151923[Team 2],$CU10,tblActuals354151923[Team 1],GA$3)+SUMIFS(tblActuals354151923[Team 1 Goals],tblActuals354151923[Team 1],$CU10,tblActuals354151923[Team 2],GA$3)</f>
        <v>0</v>
      </c>
      <c r="GB10" s="56">
        <f>SUMIFS(tblActuals354151923[Team 2 Goals],tblActuals354151923[Team 2],$CU10,tblActuals354151923[Team 1],GB$3)+SUMIFS(tblActuals354151923[Team 1 Goals],tblActuals354151923[Team 1],$CU10,tblActuals354151923[Team 2],GB$3)</f>
        <v>0</v>
      </c>
      <c r="GC10" s="56">
        <f>SUMIFS(tblActuals354151923[Team 2 Goals],tblActuals354151923[Team 2],$CU10,tblActuals354151923[Team 1],GC$3)+SUMIFS(tblActuals354151923[Team 1 Goals],tblActuals354151923[Team 1],$CU10,tblActuals354151923[Team 2],GC$3)</f>
        <v>0</v>
      </c>
      <c r="GD10" s="56">
        <f>SUMIFS(tblActuals354151923[Team 2 Goals],tblActuals354151923[Team 2],$CU10,tblActuals354151923[Team 1],GD$3)+SUMIFS(tblActuals354151923[Team 1 Goals],tblActuals354151923[Team 1],$CU10,tblActuals354151923[Team 2],GD$3)</f>
        <v>0</v>
      </c>
      <c r="GE10" s="56">
        <f>SUMIFS(tblActuals354151923[Team 2 Goals],tblActuals354151923[Team 2],$CU10,tblActuals354151923[Team 1],GE$3)+SUMIFS(tblActuals354151923[Team 1 Goals],tblActuals354151923[Team 1],$CU10,tblActuals354151923[Team 2],GE$3)</f>
        <v>0</v>
      </c>
      <c r="GF10" s="56">
        <f>SUMIFS(tblActuals354151923[Team 2 Goals],tblActuals354151923[Team 2],$CU10,tblActuals354151923[Team 1],GF$3)+SUMIFS(tblActuals354151923[Team 1 Goals],tblActuals354151923[Team 1],$CU10,tblActuals354151923[Team 2],GF$3)</f>
        <v>0</v>
      </c>
      <c r="GG10" s="56">
        <f>SUMIFS(tblActuals354151923[Team 2 Goals],tblActuals354151923[Team 2],$CU10,tblActuals354151923[Team 1],GG$3)+SUMIFS(tblActuals354151923[Team 1 Goals],tblActuals354151923[Team 1],$CU10,tblActuals354151923[Team 2],GG$3)</f>
        <v>0</v>
      </c>
      <c r="GH10" s="56">
        <f>SUMIFS(tblActuals354151923[Team 2 Goals],tblActuals354151923[Team 2],$CU10,tblActuals354151923[Team 1],GH$3)+SUMIFS(tblActuals354151923[Team 1 Goals],tblActuals354151923[Team 1],$CU10,tblActuals354151923[Team 2],GH$3)</f>
        <v>0</v>
      </c>
      <c r="GI10" s="56">
        <f>SUMIFS(tblActuals354151923[Team 2 Goals],tblActuals354151923[Team 2],$CU10,tblActuals354151923[Team 1],GI$3)+SUMIFS(tblActuals354151923[Team 1 Goals],tblActuals354151923[Team 1],$CU10,tblActuals354151923[Team 2],GI$3)</f>
        <v>0</v>
      </c>
      <c r="GJ10" s="57"/>
      <c r="GK10" s="57"/>
      <c r="GL10" s="37"/>
      <c r="GM10" s="37"/>
      <c r="GN10" s="37"/>
      <c r="GO10" s="37"/>
      <c r="GP10" s="37"/>
      <c r="GQ10" s="37"/>
      <c r="GR10" s="75"/>
      <c r="GS10" s="156"/>
      <c r="GT10" s="156"/>
      <c r="GU10" s="75"/>
      <c r="GW10" s="75"/>
      <c r="GX10" s="75"/>
      <c r="GY10" s="75"/>
      <c r="GZ10" s="75"/>
      <c r="HB10" s="4" t="str">
        <f t="shared" si="12"/>
        <v>ABEF</v>
      </c>
      <c r="HC10" s="44" t="s">
        <v>1</v>
      </c>
      <c r="HD10" s="44" t="s">
        <v>5</v>
      </c>
      <c r="HE10" s="45"/>
      <c r="HF10" s="45"/>
      <c r="HG10" s="44" t="s">
        <v>12</v>
      </c>
      <c r="HH10" s="44" t="s">
        <v>45</v>
      </c>
      <c r="HI10" s="178"/>
      <c r="HJ10" s="45" t="s">
        <v>153</v>
      </c>
      <c r="HK10" s="45" t="s">
        <v>154</v>
      </c>
      <c r="HL10" s="45" t="s">
        <v>151</v>
      </c>
      <c r="HM10" s="45" t="s">
        <v>149</v>
      </c>
    </row>
    <row r="11" spans="1:221" s="11" customFormat="1" ht="30" customHeight="1" thickBot="1" x14ac:dyDescent="0.25">
      <c r="A11" s="20"/>
      <c r="B11" s="122">
        <v>8</v>
      </c>
      <c r="C11" s="122" t="s">
        <v>7</v>
      </c>
      <c r="D11" s="123">
        <v>45460</v>
      </c>
      <c r="E11" s="122" t="s">
        <v>85</v>
      </c>
      <c r="F11" s="124">
        <v>0.875</v>
      </c>
      <c r="G11" s="125">
        <f t="shared" si="11"/>
        <v>45460.625</v>
      </c>
      <c r="H11" s="122" t="s">
        <v>96</v>
      </c>
      <c r="I11" s="126"/>
      <c r="J11" s="118"/>
      <c r="K11" s="118"/>
      <c r="L11" s="174">
        <f>IF(I11="",0,IFERROR(IF(SCORING.RULES!$C$8="No",1,((VLOOKUP($B11,ACTUALS!$B$4:$L$100,7,FALSE)=$H11)+(VLOOKUP($B11,ACTUALS!$B$4:$L$100,7,FALSE)=S11)))*(M11+N11+O11+P11+Q11),0))+$R11</f>
        <v>0</v>
      </c>
      <c r="M11" s="168">
        <f>IFERROR(IF($B11="","",IF(U11=INDEX(ACTUALS!$AA$4:$AA$100,MATCH($B11,ACTUALS!$B$4:$B$100,0),1),CorrectScore,0)),0)</f>
        <v>0</v>
      </c>
      <c r="N11" s="157" t="str">
        <f>IFERROR(IF(I11="","",IF(INDEX(ACTUALS!$AB$4:$AB$100,MATCH($B11,ACTUALS!$B$4:$B$100,0),1)=(AB11+AC11+AH11+AI11),CorrectNumberofGoals,0)),0)</f>
        <v/>
      </c>
      <c r="O11" s="157"/>
      <c r="P11" s="157">
        <f>IFERROR(IF(B11="","",IF(INDEX(ACTUALS!$L$4:$L$100,MATCH($B11,ACTUALS!$B$4:$B$100,0),1)=W11,CorrectResult,0)),0)</f>
        <v>3</v>
      </c>
      <c r="Q11" s="157"/>
      <c r="R11" s="157"/>
      <c r="S11" s="157" t="str">
        <f t="shared" si="0"/>
        <v/>
      </c>
      <c r="T11" s="157"/>
      <c r="U11" s="157" t="str">
        <f t="shared" si="1"/>
        <v/>
      </c>
      <c r="V11" s="157" t="str">
        <f t="shared" si="2"/>
        <v/>
      </c>
      <c r="W11" s="119" t="str">
        <f>IF(tblActuals354151923[[#This Row],[SCORE]]="","",IF(AB11=AC11,"Draw",IF(AB11&gt;AC11,X11,Y11)))</f>
        <v/>
      </c>
      <c r="X11" s="120" t="str">
        <f>IF(tblActuals354151923[[#This Row],[TEAMS]]="","",LEFT(H11,FIND(" -",H11,1)-1))</f>
        <v>Austria</v>
      </c>
      <c r="Y11" s="120" t="str">
        <f>IF(tblActuals354151923[[#This Row],[TEAMS]]="","",MID(H11,FIND("-",H11,1)+2,LEN(H11)-FIND("-",H11,1)+2))</f>
        <v>France</v>
      </c>
      <c r="Z11" s="120" t="str">
        <f>IF(tblActuals354151923[[#This Row],[Team 1 Goals]]&gt;tblActuals354151923[[#This Row],[Team 2 Goals]],tblActuals354151923[[#This Row],[Team 1]],IF(tblActuals354151923[[#This Row],[Team 2 Goals]]&gt;tblActuals354151923[[#This Row],[Team 1 Goals]],tblActuals354151923[[#This Row],[Team 2]],""))</f>
        <v/>
      </c>
      <c r="AA11" s="120" t="str">
        <f>IF(tblActuals354151923[[#This Row],[Winner]]=tblActuals354151923[[#This Row],[Team 1]],tblActuals354151923[[#This Row],[Team 2]],IF(tblActuals354151923[[#This Row],[Winner]]=tblActuals354151923[[#This Row],[Team 2]],tblActuals354151923[[#This Row],[Team 1]],""))</f>
        <v/>
      </c>
      <c r="AB11" s="120" t="str">
        <f>IF(tblActuals354151923[[#This Row],[SCORE]]="","",LEFT(I11,FIND(":",I11,1)-1)*1)</f>
        <v/>
      </c>
      <c r="AC11" s="120" t="str">
        <f>IF(tblActuals354151923[[#This Row],[SCORE]]="","",MID(I11,FIND(":",I11,1)+1,LEN(I11)-FIND(":",I11,1)+1)*1)</f>
        <v/>
      </c>
      <c r="AD11" s="120" t="str">
        <f>IF(OR(tblActuals354151923[[#This Row],[Team 1 Goals]]="",tblActuals354151923[[#This Row],[Team 2 Goals]]=""),"",tblActuals354151923[[#This Row],[Team 1 Goals]]-tblActuals354151923[[#This Row],[Team 2 Goals]])</f>
        <v/>
      </c>
      <c r="AE11" s="120" t="str">
        <f>IF(OR(tblActuals354151923[[#This Row],[Team 1 Goals]]="",tblActuals354151923[[#This Row],[Team 2 Goals]]=""),"",tblActuals354151923[[#This Row],[Team 2 Goals]]-tblActuals354151923[[#This Row],[Team 1 Goals]])</f>
        <v/>
      </c>
      <c r="AF11" s="120" t="str">
        <f>IF(tblActuals354151923[[#This Row],[SCORE]]="","",IF(tblActuals354151923[[#This Row],[WINNER / RESULT]]="Draw",1,IF(tblActuals354151923[[#This Row],[WINNER / RESULT]]=tblActuals354151923[[#This Row],[Team 1]],3,0)))</f>
        <v/>
      </c>
      <c r="AG11" s="120" t="str">
        <f>IF(tblActuals354151923[[#This Row],[SCORE]]="","",IF(tblActuals354151923[[#This Row],[WINNER / RESULT]]="Draw",1,IF(tblActuals354151923[[#This Row],[WINNER / RESULT]]=tblActuals354151923[[#This Row],[Team 2]],3,0)))</f>
        <v/>
      </c>
      <c r="AH11" s="121"/>
      <c r="AI11" s="121"/>
      <c r="AJ11" s="121"/>
      <c r="AK11" s="121"/>
      <c r="AL11" s="120" t="e">
        <f>tblActuals354151923[[#This Row],[Team 1 Goals]]+tblActuals354151923[[#This Row],[Team 1 ET Goals]]&amp;":"&amp;tblActuals354151923[[#This Row],[Team 2 Goals]]+tblActuals354151923[[#This Row],[Team 2 ET Goals]]</f>
        <v>#VALUE!</v>
      </c>
      <c r="AM11" s="120" t="e">
        <f>+tblActuals354151923[[#This Row],[Team 1 Goals]]+tblActuals354151923[[#This Row],[Team 2 Goals]]</f>
        <v>#VALUE!</v>
      </c>
      <c r="AN11" s="161">
        <f t="shared" si="3"/>
        <v>45460</v>
      </c>
      <c r="AP11" s="38" t="s">
        <v>84</v>
      </c>
      <c r="AT11" s="78"/>
      <c r="AU11" s="179" t="s">
        <v>52</v>
      </c>
      <c r="AV11" s="180"/>
      <c r="AW11" s="133" t="s">
        <v>46</v>
      </c>
      <c r="AX11" s="134" t="s">
        <v>57</v>
      </c>
      <c r="AY11" s="135" t="s">
        <v>11</v>
      </c>
      <c r="AZ11" s="75"/>
      <c r="BA11" s="42"/>
      <c r="BB11" s="4"/>
      <c r="BC11" s="4" t="s">
        <v>5</v>
      </c>
      <c r="BD11" s="4" t="s">
        <v>126</v>
      </c>
      <c r="BE11" s="4">
        <f>COUNTIF(tblActuals354151923[Winner],BD11)</f>
        <v>0</v>
      </c>
      <c r="BF11" s="4">
        <f>COUNTIFS(tblActuals354151923[Team 2],BD11,tblActuals354151923[WINNER / RESULT],"Draw")+COUNTIFS(tblActuals354151923[Team 1],BD11,tblActuals354151923[WINNER / RESULT],"Draw")</f>
        <v>0</v>
      </c>
      <c r="BG11" s="4">
        <f>COUNTIF(tblActuals354151923[Loser],BD11)</f>
        <v>0</v>
      </c>
      <c r="BH11" s="4">
        <f>BF11+(3*BE11)</f>
        <v>0</v>
      </c>
      <c r="BI11" s="4">
        <f>SUMIFS(tblActuals354151923[Team 1 Goals],tblActuals354151923[Team 1],BD11)+SUMIFS(tblActuals354151923[Team 2 Goals],tblActuals354151923[Team 2],BD11)</f>
        <v>0</v>
      </c>
      <c r="BJ11" s="4">
        <f>SUMIFS(tblActuals354151923[Team 2 Goals],tblActuals354151923[Team 1],BD11)+SUMIFS(tblActuals354151923[Team 1 Goals],tblActuals354151923[Team 2],BD11)</f>
        <v>0</v>
      </c>
      <c r="BK11" s="4">
        <f>BI11-BJ11</f>
        <v>0</v>
      </c>
      <c r="BL11" s="4">
        <f ca="1">RANK(BY11,$BY$9:$BY$12,1)</f>
        <v>3</v>
      </c>
      <c r="BM11" s="4" t="str">
        <f t="shared" si="4"/>
        <v/>
      </c>
      <c r="BN11" s="4" t="str">
        <f ca="1">IF(BM11="",BL11&amp;BC11,BM11&amp;BC11)</f>
        <v>3B</v>
      </c>
      <c r="BO11" s="4">
        <f>RANK(BH11,$BH$9:$BH$12,0)</f>
        <v>1</v>
      </c>
      <c r="BP11" s="4" cm="1">
        <f t="array" aca="1" ref="BP11" ca="1">SUMPRODUCT((OFFSET($CV$3:$EA$3,MATCH($BD11,$CU$4:$CU$35,0),0))*((IF($BO9=$BO11,$CV$3:$EA$3=$BD9,0))+(IF($BO12=$BO11,$CV$3:$EA$3=$BD12,0))+(IF($BO10=$BO11,$CV$3:$EA$3=$BD10,0))))</f>
        <v>0</v>
      </c>
      <c r="BQ11" s="4" cm="1">
        <f t="array" aca="1" ref="BQ11" ca="1">SUMPRODUCT((OFFSET($ED$3:$FI$3,MATCH($BD11,$EC$4:$EC$35,0),0))*((IF($BO9=$BO11,$ED$3:$FI$3=$BD9,0))+(IF($BO12=$BO11,$ED$3:$FI$3=$BD12,0))+(IF($BO10=$BO11,$ED$3:$FI$3=$BD10,0))))</f>
        <v>0</v>
      </c>
      <c r="BR11" s="4" cm="1">
        <f t="array" aca="1" ref="BR11" ca="1">SUMPRODUCT((OFFSET($FL$3:$GQ$3,MATCH($BD11,$FK$4:$FK$35,0),0))*((IF($BO9=$BO11,$FL$3:$GQ$3=$BD9,0))+(IF($BO12=$BO11,$FL$3:$GQ$3=$BD12,0))+(IF($BO10=$BO11,$FL$3:$GQ$3=$BD10,0))))</f>
        <v>0</v>
      </c>
      <c r="BS11" s="4" cm="1">
        <f t="array" aca="1" ref="BS11" ca="1">SUMPRODUCT((OFFSET($CV$3:$EA$3,MATCH($BD11,$CU$4:$CU$35,0),0))*((IF($BO9&lt;&gt;$BO11,$CV$3:$EA$3=$BD9,0))+(IF($BO12&lt;&gt;$BO11,$CV$3:$EA$3=$BD12,0))+(IF($BO10&lt;&gt;$BO11,$CV$3:$EA$3=$BD10,0))))</f>
        <v>0</v>
      </c>
      <c r="BT11" s="4" cm="1">
        <f t="array" aca="1" ref="BT11" ca="1">SUMPRODUCT((OFFSET($ED$3:$FI$3,MATCH($BD11,$EC$4:$EC$35,0),0))*((IF($BO9&lt;&gt;$BO11,$ED$3:$FI$3=$BD9,0))+(IF($BO12&lt;&gt;$BO11,$ED$3:$FI$3=$BD12,0))+(IF($BO10&lt;&gt;$BO11,$ED$3:$FI$3=$BD10,0))))</f>
        <v>0</v>
      </c>
      <c r="BU11" s="4" cm="1">
        <f t="array" aca="1" ref="BU11" ca="1">SUMPRODUCT((OFFSET($FL$3:$GQ$3,MATCH($BD11,$FK$4:$FK$35,0),0))*((IF($BO9&lt;&gt;$BO11,$FL$3:$GQ$3=$BD9,0))+(IF($BO12&lt;&gt;$BO11,$FL$3:$GQ$3=$BD12,0))+(IF($BO10&lt;&gt;$BO11,$FL$3:$GQ$3=$BD10,0))))</f>
        <v>0</v>
      </c>
      <c r="BV11" s="4">
        <f>BK11</f>
        <v>0</v>
      </c>
      <c r="BW11" s="4">
        <f>BI11</f>
        <v>0</v>
      </c>
      <c r="BX11" s="4">
        <f ca="1">(BP11/10)+(BQ11/100)+(BR11/1000)+(BT11/10000)+(BU11/100000)+(BV11/1000000)+(BW11/10000000)+(ROW(BS10)/100000000)</f>
        <v>9.9999999999999995E-8</v>
      </c>
      <c r="BY11" s="4">
        <f ca="1">+BO11-BX11</f>
        <v>0.99999990000000005</v>
      </c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U11" s="4" t="s">
        <v>127</v>
      </c>
      <c r="CV11" s="56">
        <f>SUMIFS(tblActuals354151923[Team 2 Points],tblActuals354151923[Team 2],$CU11,tblActuals354151923[Team 1],CV$3)+SUMIFS(tblActuals354151923[Team 1 Points],tblActuals354151923[Team 1],$CU11,tblActuals354151923[Team 2],CV$3)</f>
        <v>0</v>
      </c>
      <c r="CW11" s="56">
        <f>SUMIFS(tblActuals354151923[Team 2 Points],tblActuals354151923[Team 2],$CU11,tblActuals354151923[Team 1],CW$3)+SUMIFS(tblActuals354151923[Team 1 Points],tblActuals354151923[Team 1],$CU11,tblActuals354151923[Team 2],CW$3)</f>
        <v>0</v>
      </c>
      <c r="CX11" s="56">
        <f>SUMIFS(tblActuals354151923[Team 2 Points],tblActuals354151923[Team 2],$CU11,tblActuals354151923[Team 1],CX$3)+SUMIFS(tblActuals354151923[Team 1 Points],tblActuals354151923[Team 1],$CU11,tblActuals354151923[Team 2],CX$3)</f>
        <v>0</v>
      </c>
      <c r="CY11" s="56">
        <f>SUMIFS(tblActuals354151923[Team 2 Points],tblActuals354151923[Team 2],$CU11,tblActuals354151923[Team 1],CY$3)+SUMIFS(tblActuals354151923[Team 1 Points],tblActuals354151923[Team 1],$CU11,tblActuals354151923[Team 2],CY$3)</f>
        <v>0</v>
      </c>
      <c r="CZ11" s="56">
        <f>SUMIFS(tblActuals354151923[Team 2 Points],tblActuals354151923[Team 2],$CU11,tblActuals354151923[Team 1],CZ$3)+SUMIFS(tblActuals354151923[Team 1 Points],tblActuals354151923[Team 1],$CU11,tblActuals354151923[Team 2],CZ$3)</f>
        <v>0</v>
      </c>
      <c r="DA11" s="56">
        <f>SUMIFS(tblActuals354151923[Team 2 Points],tblActuals354151923[Team 2],$CU11,tblActuals354151923[Team 1],DA$3)+SUMIFS(tblActuals354151923[Team 1 Points],tblActuals354151923[Team 1],$CU11,tblActuals354151923[Team 2],DA$3)</f>
        <v>0</v>
      </c>
      <c r="DB11" s="56">
        <f>SUMIFS(tblActuals354151923[Team 2 Points],tblActuals354151923[Team 2],$CU11,tblActuals354151923[Team 1],DB$3)+SUMIFS(tblActuals354151923[Team 1 Points],tblActuals354151923[Team 1],$CU11,tblActuals354151923[Team 2],DB$3)</f>
        <v>0</v>
      </c>
      <c r="DC11" s="56">
        <f>SUMIFS(tblActuals354151923[Team 2 Points],tblActuals354151923[Team 2],$CU11,tblActuals354151923[Team 1],DC$3)+SUMIFS(tblActuals354151923[Team 1 Points],tblActuals354151923[Team 1],$CU11,tblActuals354151923[Team 2],DC$3)</f>
        <v>0</v>
      </c>
      <c r="DD11" s="56">
        <f>SUMIFS(tblActuals354151923[Team 2 Points],tblActuals354151923[Team 2],$CU11,tblActuals354151923[Team 1],DD$3)+SUMIFS(tblActuals354151923[Team 1 Points],tblActuals354151923[Team 1],$CU11,tblActuals354151923[Team 2],DD$3)</f>
        <v>0</v>
      </c>
      <c r="DE11" s="56">
        <f>SUMIFS(tblActuals354151923[Team 2 Points],tblActuals354151923[Team 2],$CU11,tblActuals354151923[Team 1],DE$3)+SUMIFS(tblActuals354151923[Team 1 Points],tblActuals354151923[Team 1],$CU11,tblActuals354151923[Team 2],DE$3)</f>
        <v>0</v>
      </c>
      <c r="DF11" s="56">
        <f>SUMIFS(tblActuals354151923[Team 2 Points],tblActuals354151923[Team 2],$CU11,tblActuals354151923[Team 1],DF$3)+SUMIFS(tblActuals354151923[Team 1 Points],tblActuals354151923[Team 1],$CU11,tblActuals354151923[Team 2],DF$3)</f>
        <v>0</v>
      </c>
      <c r="DG11" s="56">
        <f>SUMIFS(tblActuals354151923[Team 2 Points],tblActuals354151923[Team 2],$CU11,tblActuals354151923[Team 1],DG$3)+SUMIFS(tblActuals354151923[Team 1 Points],tblActuals354151923[Team 1],$CU11,tblActuals354151923[Team 2],DG$3)</f>
        <v>0</v>
      </c>
      <c r="DH11" s="56">
        <f>SUMIFS(tblActuals354151923[Team 2 Points],tblActuals354151923[Team 2],$CU11,tblActuals354151923[Team 1],DH$3)+SUMIFS(tblActuals354151923[Team 1 Points],tblActuals354151923[Team 1],$CU11,tblActuals354151923[Team 2],DH$3)</f>
        <v>0</v>
      </c>
      <c r="DI11" s="56">
        <f>SUMIFS(tblActuals354151923[Team 2 Points],tblActuals354151923[Team 2],$CU11,tblActuals354151923[Team 1],DI$3)+SUMIFS(tblActuals354151923[Team 1 Points],tblActuals354151923[Team 1],$CU11,tblActuals354151923[Team 2],DI$3)</f>
        <v>0</v>
      </c>
      <c r="DJ11" s="56">
        <f>SUMIFS(tblActuals354151923[Team 2 Points],tblActuals354151923[Team 2],$CU11,tblActuals354151923[Team 1],DJ$3)+SUMIFS(tblActuals354151923[Team 1 Points],tblActuals354151923[Team 1],$CU11,tblActuals354151923[Team 2],DJ$3)</f>
        <v>0</v>
      </c>
      <c r="DK11" s="56">
        <f>SUMIFS(tblActuals354151923[Team 2 Points],tblActuals354151923[Team 2],$CU11,tblActuals354151923[Team 1],DK$3)+SUMIFS(tblActuals354151923[Team 1 Points],tblActuals354151923[Team 1],$CU11,tblActuals354151923[Team 2],DK$3)</f>
        <v>0</v>
      </c>
      <c r="DL11" s="56">
        <f>SUMIFS(tblActuals354151923[Team 2 Points],tblActuals354151923[Team 2],$CU11,tblActuals354151923[Team 1],DL$3)+SUMIFS(tblActuals354151923[Team 1 Points],tblActuals354151923[Team 1],$CU11,tblActuals354151923[Team 2],DL$3)</f>
        <v>0</v>
      </c>
      <c r="DM11" s="56">
        <f>SUMIFS(tblActuals354151923[Team 2 Points],tblActuals354151923[Team 2],$CU11,tblActuals354151923[Team 1],DM$3)+SUMIFS(tblActuals354151923[Team 1 Points],tblActuals354151923[Team 1],$CU11,tblActuals354151923[Team 2],DM$3)</f>
        <v>0</v>
      </c>
      <c r="DN11" s="56">
        <f>SUMIFS(tblActuals354151923[Team 2 Points],tblActuals354151923[Team 2],$CU11,tblActuals354151923[Team 1],DN$3)+SUMIFS(tblActuals354151923[Team 1 Points],tblActuals354151923[Team 1],$CU11,tblActuals354151923[Team 2],DN$3)</f>
        <v>0</v>
      </c>
      <c r="DO11" s="56">
        <f>SUMIFS(tblActuals354151923[Team 2 Points],tblActuals354151923[Team 2],$CU11,tblActuals354151923[Team 1],DO$3)+SUMIFS(tblActuals354151923[Team 1 Points],tblActuals354151923[Team 1],$CU11,tblActuals354151923[Team 2],DO$3)</f>
        <v>0</v>
      </c>
      <c r="DP11" s="56">
        <f>SUMIFS(tblActuals354151923[Team 2 Points],tblActuals354151923[Team 2],$CU11,tblActuals354151923[Team 1],DP$3)+SUMIFS(tblActuals354151923[Team 1 Points],tblActuals354151923[Team 1],$CU11,tblActuals354151923[Team 2],DP$3)</f>
        <v>0</v>
      </c>
      <c r="DQ11" s="56">
        <f>SUMIFS(tblActuals354151923[Team 2 Points],tblActuals354151923[Team 2],$CU11,tblActuals354151923[Team 1],DQ$3)+SUMIFS(tblActuals354151923[Team 1 Points],tblActuals354151923[Team 1],$CU11,tblActuals354151923[Team 2],DQ$3)</f>
        <v>0</v>
      </c>
      <c r="DR11" s="56">
        <f>SUMIFS(tblActuals354151923[Team 2 Points],tblActuals354151923[Team 2],$CU11,tblActuals354151923[Team 1],DR$3)+SUMIFS(tblActuals354151923[Team 1 Points],tblActuals354151923[Team 1],$CU11,tblActuals354151923[Team 2],DR$3)</f>
        <v>0</v>
      </c>
      <c r="DS11" s="56">
        <f>SUMIFS(tblActuals354151923[Team 2 Points],tblActuals354151923[Team 2],$CU11,tblActuals354151923[Team 1],DS$3)+SUMIFS(tblActuals354151923[Team 1 Points],tblActuals354151923[Team 1],$CU11,tblActuals354151923[Team 2],DS$3)</f>
        <v>0</v>
      </c>
      <c r="DT11" s="57"/>
      <c r="DU11" s="57"/>
      <c r="DV11" s="57"/>
      <c r="DW11" s="57"/>
      <c r="DX11" s="57"/>
      <c r="DY11" s="57"/>
      <c r="DZ11" s="57"/>
      <c r="EA11" s="57"/>
      <c r="EB11" s="4"/>
      <c r="EC11" s="4" t="s">
        <v>127</v>
      </c>
      <c r="ED11" s="56">
        <f>SUMIFS(tblActuals354151923[Team 2 GD],tblActuals354151923[Team 2],$CU11,tblActuals354151923[Team 1],ED$3)+SUMIFS(tblActuals354151923[Team 1 GD],tblActuals354151923[Team 1],$CU11,tblActuals354151923[Team 2],ED$3)</f>
        <v>0</v>
      </c>
      <c r="EE11" s="56">
        <f>SUMIFS(tblActuals354151923[Team 2 GD],tblActuals354151923[Team 2],$CU11,tblActuals354151923[Team 1],EE$3)+SUMIFS(tblActuals354151923[Team 1 GD],tblActuals354151923[Team 1],$CU11,tblActuals354151923[Team 2],EE$3)</f>
        <v>0</v>
      </c>
      <c r="EF11" s="56">
        <f>SUMIFS(tblActuals354151923[Team 2 GD],tblActuals354151923[Team 2],$CU11,tblActuals354151923[Team 1],EF$3)+SUMIFS(tblActuals354151923[Team 1 GD],tblActuals354151923[Team 1],$CU11,tblActuals354151923[Team 2],EF$3)</f>
        <v>0</v>
      </c>
      <c r="EG11" s="56">
        <f>SUMIFS(tblActuals354151923[Team 2 GD],tblActuals354151923[Team 2],$CU11,tblActuals354151923[Team 1],EG$3)+SUMIFS(tblActuals354151923[Team 1 GD],tblActuals354151923[Team 1],$CU11,tblActuals354151923[Team 2],EG$3)</f>
        <v>0</v>
      </c>
      <c r="EH11" s="56">
        <f>SUMIFS(tblActuals354151923[Team 2 GD],tblActuals354151923[Team 2],$CU11,tblActuals354151923[Team 1],EH$3)+SUMIFS(tblActuals354151923[Team 1 GD],tblActuals354151923[Team 1],$CU11,tblActuals354151923[Team 2],EH$3)</f>
        <v>0</v>
      </c>
      <c r="EI11" s="56">
        <f>SUMIFS(tblActuals354151923[Team 2 GD],tblActuals354151923[Team 2],$CU11,tblActuals354151923[Team 1],EI$3)+SUMIFS(tblActuals354151923[Team 1 GD],tblActuals354151923[Team 1],$CU11,tblActuals354151923[Team 2],EI$3)</f>
        <v>0</v>
      </c>
      <c r="EJ11" s="56">
        <f>SUMIFS(tblActuals354151923[Team 2 GD],tblActuals354151923[Team 2],$CU11,tblActuals354151923[Team 1],EJ$3)+SUMIFS(tblActuals354151923[Team 1 GD],tblActuals354151923[Team 1],$CU11,tblActuals354151923[Team 2],EJ$3)</f>
        <v>0</v>
      </c>
      <c r="EK11" s="56">
        <f>SUMIFS(tblActuals354151923[Team 2 GD],tblActuals354151923[Team 2],$CU11,tblActuals354151923[Team 1],EK$3)+SUMIFS(tblActuals354151923[Team 1 GD],tblActuals354151923[Team 1],$CU11,tblActuals354151923[Team 2],EK$3)</f>
        <v>0</v>
      </c>
      <c r="EL11" s="56">
        <f>SUMIFS(tblActuals354151923[Team 2 GD],tblActuals354151923[Team 2],$CU11,tblActuals354151923[Team 1],EL$3)+SUMIFS(tblActuals354151923[Team 1 GD],tblActuals354151923[Team 1],$CU11,tblActuals354151923[Team 2],EL$3)</f>
        <v>0</v>
      </c>
      <c r="EM11" s="56">
        <f>SUMIFS(tblActuals354151923[Team 2 GD],tblActuals354151923[Team 2],$CU11,tblActuals354151923[Team 1],EM$3)+SUMIFS(tblActuals354151923[Team 1 GD],tblActuals354151923[Team 1],$CU11,tblActuals354151923[Team 2],EM$3)</f>
        <v>0</v>
      </c>
      <c r="EN11" s="56">
        <f>SUMIFS(tblActuals354151923[Team 2 GD],tblActuals354151923[Team 2],$CU11,tblActuals354151923[Team 1],EN$3)+SUMIFS(tblActuals354151923[Team 1 GD],tblActuals354151923[Team 1],$CU11,tblActuals354151923[Team 2],EN$3)</f>
        <v>0</v>
      </c>
      <c r="EO11" s="56">
        <f>SUMIFS(tblActuals354151923[Team 2 GD],tblActuals354151923[Team 2],$CU11,tblActuals354151923[Team 1],EO$3)+SUMIFS(tblActuals354151923[Team 1 GD],tblActuals354151923[Team 1],$CU11,tblActuals354151923[Team 2],EO$3)</f>
        <v>0</v>
      </c>
      <c r="EP11" s="56">
        <f>SUMIFS(tblActuals354151923[Team 2 GD],tblActuals354151923[Team 2],$CU11,tblActuals354151923[Team 1],EP$3)+SUMIFS(tblActuals354151923[Team 1 GD],tblActuals354151923[Team 1],$CU11,tblActuals354151923[Team 2],EP$3)</f>
        <v>0</v>
      </c>
      <c r="EQ11" s="56">
        <f>SUMIFS(tblActuals354151923[Team 2 GD],tblActuals354151923[Team 2],$CU11,tblActuals354151923[Team 1],EQ$3)+SUMIFS(tblActuals354151923[Team 1 GD],tblActuals354151923[Team 1],$CU11,tblActuals354151923[Team 2],EQ$3)</f>
        <v>0</v>
      </c>
      <c r="ER11" s="56">
        <f>SUMIFS(tblActuals354151923[Team 2 GD],tblActuals354151923[Team 2],$CU11,tblActuals354151923[Team 1],ER$3)+SUMIFS(tblActuals354151923[Team 1 GD],tblActuals354151923[Team 1],$CU11,tblActuals354151923[Team 2],ER$3)</f>
        <v>0</v>
      </c>
      <c r="ES11" s="56">
        <f>SUMIFS(tblActuals354151923[Team 2 GD],tblActuals354151923[Team 2],$CU11,tblActuals354151923[Team 1],ES$3)+SUMIFS(tblActuals354151923[Team 1 GD],tblActuals354151923[Team 1],$CU11,tblActuals354151923[Team 2],ES$3)</f>
        <v>0</v>
      </c>
      <c r="ET11" s="56">
        <f>SUMIFS(tblActuals354151923[Team 2 GD],tblActuals354151923[Team 2],$CU11,tblActuals354151923[Team 1],ET$3)+SUMIFS(tblActuals354151923[Team 1 GD],tblActuals354151923[Team 1],$CU11,tblActuals354151923[Team 2],ET$3)</f>
        <v>0</v>
      </c>
      <c r="EU11" s="56">
        <f>SUMIFS(tblActuals354151923[Team 2 GD],tblActuals354151923[Team 2],$CU11,tblActuals354151923[Team 1],EU$3)+SUMIFS(tblActuals354151923[Team 1 GD],tblActuals354151923[Team 1],$CU11,tblActuals354151923[Team 2],EU$3)</f>
        <v>0</v>
      </c>
      <c r="EV11" s="56">
        <f>SUMIFS(tblActuals354151923[Team 2 GD],tblActuals354151923[Team 2],$CU11,tblActuals354151923[Team 1],EV$3)+SUMIFS(tblActuals354151923[Team 1 GD],tblActuals354151923[Team 1],$CU11,tblActuals354151923[Team 2],EV$3)</f>
        <v>0</v>
      </c>
      <c r="EW11" s="56">
        <f>SUMIFS(tblActuals354151923[Team 2 GD],tblActuals354151923[Team 2],$CU11,tblActuals354151923[Team 1],EW$3)+SUMIFS(tblActuals354151923[Team 1 GD],tblActuals354151923[Team 1],$CU11,tblActuals354151923[Team 2],EW$3)</f>
        <v>0</v>
      </c>
      <c r="EX11" s="56">
        <f>SUMIFS(tblActuals354151923[Team 2 GD],tblActuals354151923[Team 2],$CU11,tblActuals354151923[Team 1],EX$3)+SUMIFS(tblActuals354151923[Team 1 GD],tblActuals354151923[Team 1],$CU11,tblActuals354151923[Team 2],EX$3)</f>
        <v>0</v>
      </c>
      <c r="EY11" s="56">
        <f>SUMIFS(tblActuals354151923[Team 2 GD],tblActuals354151923[Team 2],$CU11,tblActuals354151923[Team 1],EY$3)+SUMIFS(tblActuals354151923[Team 1 GD],tblActuals354151923[Team 1],$CU11,tblActuals354151923[Team 2],EY$3)</f>
        <v>0</v>
      </c>
      <c r="EZ11" s="56">
        <f>SUMIFS(tblActuals354151923[Team 2 GD],tblActuals354151923[Team 2],$CU11,tblActuals354151923[Team 1],EZ$3)+SUMIFS(tblActuals354151923[Team 1 GD],tblActuals354151923[Team 1],$CU11,tblActuals354151923[Team 2],EZ$3)</f>
        <v>0</v>
      </c>
      <c r="FA11" s="56">
        <f>SUMIFS(tblActuals354151923[Team 2 GD],tblActuals354151923[Team 2],$CU11,tblActuals354151923[Team 1],FA$3)+SUMIFS(tblActuals354151923[Team 1 GD],tblActuals354151923[Team 1],$CU11,tblActuals354151923[Team 2],FA$3)</f>
        <v>0</v>
      </c>
      <c r="FB11" s="57"/>
      <c r="FC11" s="57"/>
      <c r="FD11" s="57"/>
      <c r="FE11" s="57"/>
      <c r="FF11" s="57"/>
      <c r="FG11" s="57"/>
      <c r="FH11" s="57"/>
      <c r="FI11" s="57"/>
      <c r="FJ11" s="4"/>
      <c r="FK11" s="4" t="s">
        <v>127</v>
      </c>
      <c r="FL11" s="56">
        <f>SUMIFS(tblActuals354151923[Team 2 Goals],tblActuals354151923[Team 2],$CU11,tblActuals354151923[Team 1],FL$3)+SUMIFS(tblActuals354151923[Team 1 Goals],tblActuals354151923[Team 1],$CU11,tblActuals354151923[Team 2],FL$3)</f>
        <v>0</v>
      </c>
      <c r="FM11" s="56">
        <f>SUMIFS(tblActuals354151923[Team 2 Goals],tblActuals354151923[Team 2],$CU11,tblActuals354151923[Team 1],FM$3)+SUMIFS(tblActuals354151923[Team 1 Goals],tblActuals354151923[Team 1],$CU11,tblActuals354151923[Team 2],FM$3)</f>
        <v>0</v>
      </c>
      <c r="FN11" s="56">
        <f>SUMIFS(tblActuals354151923[Team 2 Goals],tblActuals354151923[Team 2],$CU11,tblActuals354151923[Team 1],FN$3)+SUMIFS(tblActuals354151923[Team 1 Goals],tblActuals354151923[Team 1],$CU11,tblActuals354151923[Team 2],FN$3)</f>
        <v>0</v>
      </c>
      <c r="FO11" s="56">
        <f>SUMIFS(tblActuals354151923[Team 2 Goals],tblActuals354151923[Team 2],$CU11,tblActuals354151923[Team 1],FO$3)+SUMIFS(tblActuals354151923[Team 1 Goals],tblActuals354151923[Team 1],$CU11,tblActuals354151923[Team 2],FO$3)</f>
        <v>0</v>
      </c>
      <c r="FP11" s="56">
        <f>SUMIFS(tblActuals354151923[Team 2 Goals],tblActuals354151923[Team 2],$CU11,tblActuals354151923[Team 1],FP$3)+SUMIFS(tblActuals354151923[Team 1 Goals],tblActuals354151923[Team 1],$CU11,tblActuals354151923[Team 2],FP$3)</f>
        <v>0</v>
      </c>
      <c r="FQ11" s="56">
        <f>SUMIFS(tblActuals354151923[Team 2 Goals],tblActuals354151923[Team 2],$CU11,tblActuals354151923[Team 1],FQ$3)+SUMIFS(tblActuals354151923[Team 1 Goals],tblActuals354151923[Team 1],$CU11,tblActuals354151923[Team 2],FQ$3)</f>
        <v>0</v>
      </c>
      <c r="FR11" s="56">
        <f>SUMIFS(tblActuals354151923[Team 2 Goals],tblActuals354151923[Team 2],$CU11,tblActuals354151923[Team 1],FR$3)+SUMIFS(tblActuals354151923[Team 1 Goals],tblActuals354151923[Team 1],$CU11,tblActuals354151923[Team 2],FR$3)</f>
        <v>0</v>
      </c>
      <c r="FS11" s="56">
        <f>SUMIFS(tblActuals354151923[Team 2 Goals],tblActuals354151923[Team 2],$CU11,tblActuals354151923[Team 1],FS$3)+SUMIFS(tblActuals354151923[Team 1 Goals],tblActuals354151923[Team 1],$CU11,tblActuals354151923[Team 2],FS$3)</f>
        <v>0</v>
      </c>
      <c r="FT11" s="56">
        <f>SUMIFS(tblActuals354151923[Team 2 Goals],tblActuals354151923[Team 2],$CU11,tblActuals354151923[Team 1],FT$3)+SUMIFS(tblActuals354151923[Team 1 Goals],tblActuals354151923[Team 1],$CU11,tblActuals354151923[Team 2],FT$3)</f>
        <v>0</v>
      </c>
      <c r="FU11" s="56">
        <f>SUMIFS(tblActuals354151923[Team 2 Goals],tblActuals354151923[Team 2],$CU11,tblActuals354151923[Team 1],FU$3)+SUMIFS(tblActuals354151923[Team 1 Goals],tblActuals354151923[Team 1],$CU11,tblActuals354151923[Team 2],FU$3)</f>
        <v>0</v>
      </c>
      <c r="FV11" s="56">
        <f>SUMIFS(tblActuals354151923[Team 2 Goals],tblActuals354151923[Team 2],$CU11,tblActuals354151923[Team 1],FV$3)+SUMIFS(tblActuals354151923[Team 1 Goals],tblActuals354151923[Team 1],$CU11,tblActuals354151923[Team 2],FV$3)</f>
        <v>0</v>
      </c>
      <c r="FW11" s="56">
        <f>SUMIFS(tblActuals354151923[Team 2 Goals],tblActuals354151923[Team 2],$CU11,tblActuals354151923[Team 1],FW$3)+SUMIFS(tblActuals354151923[Team 1 Goals],tblActuals354151923[Team 1],$CU11,tblActuals354151923[Team 2],FW$3)</f>
        <v>0</v>
      </c>
      <c r="FX11" s="56">
        <f>SUMIFS(tblActuals354151923[Team 2 Goals],tblActuals354151923[Team 2],$CU11,tblActuals354151923[Team 1],FX$3)+SUMIFS(tblActuals354151923[Team 1 Goals],tblActuals354151923[Team 1],$CU11,tblActuals354151923[Team 2],FX$3)</f>
        <v>0</v>
      </c>
      <c r="FY11" s="56">
        <f>SUMIFS(tblActuals354151923[Team 2 Goals],tblActuals354151923[Team 2],$CU11,tblActuals354151923[Team 1],FY$3)+SUMIFS(tblActuals354151923[Team 1 Goals],tblActuals354151923[Team 1],$CU11,tblActuals354151923[Team 2],FY$3)</f>
        <v>0</v>
      </c>
      <c r="FZ11" s="56">
        <f>SUMIFS(tblActuals354151923[Team 2 Goals],tblActuals354151923[Team 2],$CU11,tblActuals354151923[Team 1],FZ$3)+SUMIFS(tblActuals354151923[Team 1 Goals],tblActuals354151923[Team 1],$CU11,tblActuals354151923[Team 2],FZ$3)</f>
        <v>0</v>
      </c>
      <c r="GA11" s="56">
        <f>SUMIFS(tblActuals354151923[Team 2 Goals],tblActuals354151923[Team 2],$CU11,tblActuals354151923[Team 1],GA$3)+SUMIFS(tblActuals354151923[Team 1 Goals],tblActuals354151923[Team 1],$CU11,tblActuals354151923[Team 2],GA$3)</f>
        <v>0</v>
      </c>
      <c r="GB11" s="56">
        <f>SUMIFS(tblActuals354151923[Team 2 Goals],tblActuals354151923[Team 2],$CU11,tblActuals354151923[Team 1],GB$3)+SUMIFS(tblActuals354151923[Team 1 Goals],tblActuals354151923[Team 1],$CU11,tblActuals354151923[Team 2],GB$3)</f>
        <v>0</v>
      </c>
      <c r="GC11" s="56">
        <f>SUMIFS(tblActuals354151923[Team 2 Goals],tblActuals354151923[Team 2],$CU11,tblActuals354151923[Team 1],GC$3)+SUMIFS(tblActuals354151923[Team 1 Goals],tblActuals354151923[Team 1],$CU11,tblActuals354151923[Team 2],GC$3)</f>
        <v>0</v>
      </c>
      <c r="GD11" s="56">
        <f>SUMIFS(tblActuals354151923[Team 2 Goals],tblActuals354151923[Team 2],$CU11,tblActuals354151923[Team 1],GD$3)+SUMIFS(tblActuals354151923[Team 1 Goals],tblActuals354151923[Team 1],$CU11,tblActuals354151923[Team 2],GD$3)</f>
        <v>0</v>
      </c>
      <c r="GE11" s="56">
        <f>SUMIFS(tblActuals354151923[Team 2 Goals],tblActuals354151923[Team 2],$CU11,tblActuals354151923[Team 1],GE$3)+SUMIFS(tblActuals354151923[Team 1 Goals],tblActuals354151923[Team 1],$CU11,tblActuals354151923[Team 2],GE$3)</f>
        <v>0</v>
      </c>
      <c r="GF11" s="56">
        <f>SUMIFS(tblActuals354151923[Team 2 Goals],tblActuals354151923[Team 2],$CU11,tblActuals354151923[Team 1],GF$3)+SUMIFS(tblActuals354151923[Team 1 Goals],tblActuals354151923[Team 1],$CU11,tblActuals354151923[Team 2],GF$3)</f>
        <v>0</v>
      </c>
      <c r="GG11" s="56">
        <f>SUMIFS(tblActuals354151923[Team 2 Goals],tblActuals354151923[Team 2],$CU11,tblActuals354151923[Team 1],GG$3)+SUMIFS(tblActuals354151923[Team 1 Goals],tblActuals354151923[Team 1],$CU11,tblActuals354151923[Team 2],GG$3)</f>
        <v>0</v>
      </c>
      <c r="GH11" s="56">
        <f>SUMIFS(tblActuals354151923[Team 2 Goals],tblActuals354151923[Team 2],$CU11,tblActuals354151923[Team 1],GH$3)+SUMIFS(tblActuals354151923[Team 1 Goals],tblActuals354151923[Team 1],$CU11,tblActuals354151923[Team 2],GH$3)</f>
        <v>0</v>
      </c>
      <c r="GI11" s="56">
        <f>SUMIFS(tblActuals354151923[Team 2 Goals],tblActuals354151923[Team 2],$CU11,tblActuals354151923[Team 1],GI$3)+SUMIFS(tblActuals354151923[Team 1 Goals],tblActuals354151923[Team 1],$CU11,tblActuals354151923[Team 2],GI$3)</f>
        <v>0</v>
      </c>
      <c r="GJ11" s="57"/>
      <c r="GK11" s="57"/>
      <c r="GL11" s="37"/>
      <c r="GM11" s="37"/>
      <c r="GN11" s="37"/>
      <c r="GO11" s="37"/>
      <c r="GP11" s="37"/>
      <c r="GQ11" s="37"/>
      <c r="GR11" s="75"/>
      <c r="GS11" s="156"/>
      <c r="GT11" s="156"/>
      <c r="GU11" s="75"/>
      <c r="GV11" s="75"/>
      <c r="GW11" s="75"/>
      <c r="GX11" s="75"/>
      <c r="GY11" s="75"/>
      <c r="GZ11" s="75"/>
      <c r="HB11" s="4" t="str">
        <f t="shared" si="12"/>
        <v>ACDE</v>
      </c>
      <c r="HC11" s="44" t="s">
        <v>1</v>
      </c>
      <c r="HD11" s="45"/>
      <c r="HE11" s="44" t="s">
        <v>6</v>
      </c>
      <c r="HF11" s="44" t="s">
        <v>7</v>
      </c>
      <c r="HG11" s="44" t="s">
        <v>12</v>
      </c>
      <c r="HH11" s="45"/>
      <c r="HI11" s="178"/>
      <c r="HJ11" s="45" t="s">
        <v>153</v>
      </c>
      <c r="HK11" s="45" t="s">
        <v>150</v>
      </c>
      <c r="HL11" s="45" t="s">
        <v>152</v>
      </c>
      <c r="HM11" s="45" t="s">
        <v>149</v>
      </c>
    </row>
    <row r="12" spans="1:221" s="11" customFormat="1" ht="30" customHeight="1" x14ac:dyDescent="0.2">
      <c r="A12" s="20"/>
      <c r="B12" s="122">
        <v>9</v>
      </c>
      <c r="C12" s="122" t="s">
        <v>12</v>
      </c>
      <c r="D12" s="123">
        <v>45460</v>
      </c>
      <c r="E12" s="122" t="s">
        <v>86</v>
      </c>
      <c r="F12" s="124">
        <v>0.75</v>
      </c>
      <c r="G12" s="125">
        <f t="shared" si="11"/>
        <v>45460.5</v>
      </c>
      <c r="H12" s="122" t="s">
        <v>97</v>
      </c>
      <c r="I12" s="126"/>
      <c r="J12" s="118"/>
      <c r="K12" s="118"/>
      <c r="L12" s="174">
        <f>IF(I12="",0,IFERROR(IF(SCORING.RULES!$C$8="No",1,((VLOOKUP($B12,ACTUALS!$B$4:$L$100,7,FALSE)=$H12)+(VLOOKUP($B12,ACTUALS!$B$4:$L$100,7,FALSE)=S12)))*(M12+N12+O12+P12+Q12),0))+$R12</f>
        <v>0</v>
      </c>
      <c r="M12" s="168">
        <f>IFERROR(IF($B12="","",IF(U12=INDEX(ACTUALS!$AA$4:$AA$100,MATCH($B12,ACTUALS!$B$4:$B$100,0),1),CorrectScore,0)),0)</f>
        <v>0</v>
      </c>
      <c r="N12" s="157" t="str">
        <f>IFERROR(IF(I12="","",IF(INDEX(ACTUALS!$AB$4:$AB$100,MATCH($B12,ACTUALS!$B$4:$B$100,0),1)=(AB12+AC12+AH12+AI12),CorrectNumberofGoals,0)),0)</f>
        <v/>
      </c>
      <c r="O12" s="157"/>
      <c r="P12" s="157">
        <f>IFERROR(IF(B12="","",IF(INDEX(ACTUALS!$L$4:$L$100,MATCH($B12,ACTUALS!$B$4:$B$100,0),1)=W12,CorrectResult,0)),0)</f>
        <v>3</v>
      </c>
      <c r="Q12" s="157"/>
      <c r="R12" s="157"/>
      <c r="S12" s="157" t="str">
        <f t="shared" si="0"/>
        <v/>
      </c>
      <c r="T12" s="157"/>
      <c r="U12" s="157" t="str">
        <f t="shared" si="1"/>
        <v/>
      </c>
      <c r="V12" s="157" t="str">
        <f t="shared" si="2"/>
        <v/>
      </c>
      <c r="W12" s="119" t="str">
        <f>IF(tblActuals354151923[[#This Row],[SCORE]]="","",IF(AB12=AC12,"Draw",IF(AB12&gt;AC12,X12,Y12)))</f>
        <v/>
      </c>
      <c r="X12" s="120" t="str">
        <f>IF(tblActuals354151923[[#This Row],[TEAMS]]="","",LEFT(H12,FIND(" -",H12,1)-1))</f>
        <v>Belgium</v>
      </c>
      <c r="Y12" s="120" t="str">
        <f>IF(tblActuals354151923[[#This Row],[TEAMS]]="","",MID(H12,FIND("-",H12,1)+2,LEN(H12)-FIND("-",H12,1)+2))</f>
        <v>Slovakia</v>
      </c>
      <c r="Z12" s="120" t="str">
        <f>IF(tblActuals354151923[[#This Row],[Team 1 Goals]]&gt;tblActuals354151923[[#This Row],[Team 2 Goals]],tblActuals354151923[[#This Row],[Team 1]],IF(tblActuals354151923[[#This Row],[Team 2 Goals]]&gt;tblActuals354151923[[#This Row],[Team 1 Goals]],tblActuals354151923[[#This Row],[Team 2]],""))</f>
        <v/>
      </c>
      <c r="AA12" s="120" t="str">
        <f>IF(tblActuals354151923[[#This Row],[Winner]]=tblActuals354151923[[#This Row],[Team 1]],tblActuals354151923[[#This Row],[Team 2]],IF(tblActuals354151923[[#This Row],[Winner]]=tblActuals354151923[[#This Row],[Team 2]],tblActuals354151923[[#This Row],[Team 1]],""))</f>
        <v/>
      </c>
      <c r="AB12" s="120" t="str">
        <f>IF(tblActuals354151923[[#This Row],[SCORE]]="","",LEFT(I12,FIND(":",I12,1)-1)*1)</f>
        <v/>
      </c>
      <c r="AC12" s="120" t="str">
        <f>IF(tblActuals354151923[[#This Row],[SCORE]]="","",MID(I12,FIND(":",I12,1)+1,LEN(I12)-FIND(":",I12,1)+1)*1)</f>
        <v/>
      </c>
      <c r="AD12" s="120" t="str">
        <f>IF(OR(tblActuals354151923[[#This Row],[Team 1 Goals]]="",tblActuals354151923[[#This Row],[Team 2 Goals]]=""),"",tblActuals354151923[[#This Row],[Team 1 Goals]]-tblActuals354151923[[#This Row],[Team 2 Goals]])</f>
        <v/>
      </c>
      <c r="AE12" s="120" t="str">
        <f>IF(OR(tblActuals354151923[[#This Row],[Team 1 Goals]]="",tblActuals354151923[[#This Row],[Team 2 Goals]]=""),"",tblActuals354151923[[#This Row],[Team 2 Goals]]-tblActuals354151923[[#This Row],[Team 1 Goals]])</f>
        <v/>
      </c>
      <c r="AF12" s="120" t="str">
        <f>IF(tblActuals354151923[[#This Row],[SCORE]]="","",IF(tblActuals354151923[[#This Row],[WINNER / RESULT]]="Draw",1,IF(tblActuals354151923[[#This Row],[WINNER / RESULT]]=tblActuals354151923[[#This Row],[Team 1]],3,0)))</f>
        <v/>
      </c>
      <c r="AG12" s="120" t="str">
        <f>IF(tblActuals354151923[[#This Row],[SCORE]]="","",IF(tblActuals354151923[[#This Row],[WINNER / RESULT]]="Draw",1,IF(tblActuals354151923[[#This Row],[WINNER / RESULT]]=tblActuals354151923[[#This Row],[Team 2]],3,0)))</f>
        <v/>
      </c>
      <c r="AH12" s="121"/>
      <c r="AI12" s="121"/>
      <c r="AJ12" s="121"/>
      <c r="AK12" s="121"/>
      <c r="AL12" s="120" t="e">
        <f>tblActuals354151923[[#This Row],[Team 1 Goals]]+tblActuals354151923[[#This Row],[Team 1 ET Goals]]&amp;":"&amp;tblActuals354151923[[#This Row],[Team 2 Goals]]+tblActuals354151923[[#This Row],[Team 2 ET Goals]]</f>
        <v>#VALUE!</v>
      </c>
      <c r="AM12" s="120" t="e">
        <f>+tblActuals354151923[[#This Row],[Team 1 Goals]]+tblActuals354151923[[#This Row],[Team 2 Goals]]</f>
        <v>#VALUE!</v>
      </c>
      <c r="AN12" s="161">
        <f t="shared" si="3"/>
        <v>45460</v>
      </c>
      <c r="AP12" s="38" t="s">
        <v>87</v>
      </c>
      <c r="AT12" s="77" t="s">
        <v>5</v>
      </c>
      <c r="AU12" s="136">
        <v>1</v>
      </c>
      <c r="AV12" s="137" t="str">
        <f ca="1">IFERROR(INDEX(BD:BD,MATCH("1"&amp;AT12,BN:BN,0),1),"")</f>
        <v>Albania</v>
      </c>
      <c r="AW12" s="137" t="str">
        <f ca="1">IF(AV12="","",VLOOKUP(AV12,BD:BI,2,FALSE)&amp;"-"&amp;VLOOKUP(AV12,BD:BI,3,FALSE)&amp;"-"&amp;VLOOKUP(AV12,BD:BI,4,FALSE))</f>
        <v>0-0-0</v>
      </c>
      <c r="AX12" s="137">
        <f ca="1">IF(AV12="","",VLOOKUP(AV12,BD:BK,8,FALSE))</f>
        <v>0</v>
      </c>
      <c r="AY12" s="138">
        <f ca="1">IF(AV12="","",VLOOKUP(AV12,BD:BN,5,FALSE))</f>
        <v>0</v>
      </c>
      <c r="AZ12" s="75"/>
      <c r="BA12" s="42"/>
      <c r="BB12" s="4"/>
      <c r="BC12" s="4" t="s">
        <v>5</v>
      </c>
      <c r="BD12" s="4" t="s">
        <v>28</v>
      </c>
      <c r="BE12" s="4">
        <f>COUNTIF(tblActuals354151923[Winner],BD12)</f>
        <v>0</v>
      </c>
      <c r="BF12" s="4">
        <f>COUNTIFS(tblActuals354151923[Team 2],BD12,tblActuals354151923[WINNER / RESULT],"Draw")+COUNTIFS(tblActuals354151923[Team 1],BD12,tblActuals354151923[WINNER / RESULT],"Draw")</f>
        <v>0</v>
      </c>
      <c r="BG12" s="4">
        <f>COUNTIF(tblActuals354151923[Loser],BD12)</f>
        <v>0</v>
      </c>
      <c r="BH12" s="4">
        <f>BF12+(3*BE12)</f>
        <v>0</v>
      </c>
      <c r="BI12" s="4">
        <f>SUMIFS(tblActuals354151923[Team 1 Goals],tblActuals354151923[Team 1],BD12)+SUMIFS(tblActuals354151923[Team 2 Goals],tblActuals354151923[Team 2],BD12)</f>
        <v>0</v>
      </c>
      <c r="BJ12" s="4">
        <f>SUMIFS(tblActuals354151923[Team 2 Goals],tblActuals354151923[Team 1],BD12)+SUMIFS(tblActuals354151923[Team 1 Goals],tblActuals354151923[Team 2],BD12)</f>
        <v>0</v>
      </c>
      <c r="BK12" s="4">
        <f>BI12-BJ12</f>
        <v>0</v>
      </c>
      <c r="BL12" s="4">
        <f ca="1">RANK(BY12,$BY$9:$BY$12,1)</f>
        <v>4</v>
      </c>
      <c r="BM12" s="4" t="str">
        <f t="shared" si="4"/>
        <v/>
      </c>
      <c r="BN12" s="4" t="str">
        <f ca="1">IF(BM12="",BL12&amp;BC12,BM12&amp;BC12)</f>
        <v>4B</v>
      </c>
      <c r="BO12" s="4">
        <f>RANK(BH12,$BH$9:$BH$12,0)</f>
        <v>1</v>
      </c>
      <c r="BP12" s="4" cm="1">
        <f t="array" aca="1" ref="BP12" ca="1">SUMPRODUCT((OFFSET($CV$3:$EA$3,MATCH($BD12,$CU$4:$CU$35,0),0))*((IF($BO10=$BO12,$CV$3:$EA$3=$BD10,0))+(IF($BO9=$BO12,$CV$3:$EA$3=$BD9,0))+(IF($BO11=$BO12,$CV$3:$EA$3=$BD11,0))))</f>
        <v>0</v>
      </c>
      <c r="BQ12" s="4" cm="1">
        <f t="array" aca="1" ref="BQ12" ca="1">SUMPRODUCT((OFFSET($ED$3:$FI$3,MATCH($BD12,$EC$4:$EC$35,0),0))*((IF($BO10=$BO12,$ED$3:$FI$3=$BD10,0))+(IF($BO9=$BO12,$ED$3:$FI$3=$BD9,0))+(IF($BO11=$BO12,$ED$3:$FI$3=$BD11,0))))</f>
        <v>0</v>
      </c>
      <c r="BR12" s="4" cm="1">
        <f t="array" aca="1" ref="BR12" ca="1">SUMPRODUCT((OFFSET($FL$3:$GQ$3,MATCH($BD12,$FK$4:$FK$35,0),0))*((IF($BO10=$BO12,$FL$3:$GQ$3=$BD10,0))+(IF($BO9=$BO12,$FL$3:$GQ$3=$BD9,0))+(IF($BO11=$BO12,$FL$3:$GQ$3=$BD11,0))))</f>
        <v>0</v>
      </c>
      <c r="BS12" s="4" cm="1">
        <f t="array" aca="1" ref="BS12" ca="1">SUMPRODUCT((OFFSET($CV$3:$EA$3,MATCH($BD12,$CU$4:$CU$35,0),0))*((IF($BO10&lt;&gt;$BO12,$CV$3:$EA$3=$BD10,0))+(IF($BO9&lt;&gt;$BO12,$CV$3:$EA$3=$BD9,0))+(IF($BO11&lt;&gt;$BO12,$CV$3:$EA$3=$BD11,0))))</f>
        <v>0</v>
      </c>
      <c r="BT12" s="4" cm="1">
        <f t="array" aca="1" ref="BT12" ca="1">SUMPRODUCT((OFFSET($ED$3:$FI$3,MATCH($BD12,$EC$4:$EC$35,0),0))*((IF($BO10&lt;&gt;$BO12,$ED$3:$FI$3=$BD10,0))+(IF($BO9&lt;&gt;$BO12,$ED$3:$FI$3=$BD9,0))+(IF($BO11&lt;&gt;$BO12,$ED$3:$FI$3=$BD11,0))))</f>
        <v>0</v>
      </c>
      <c r="BU12" s="4" cm="1">
        <f t="array" aca="1" ref="BU12" ca="1">SUMPRODUCT((OFFSET($FL$3:$GQ$3,MATCH($BD12,$FK$4:$FK$35,0),0))*((IF($BO10&lt;&gt;$BO12,$FL$3:$GQ$3=$BD10,0))+(IF($BO9&lt;&gt;$BO12,$FL$3:$GQ$3=$BD9,0))+(IF($BO11&lt;&gt;$BO12,$FL$3:$GQ$3=$BD11,0))))</f>
        <v>0</v>
      </c>
      <c r="BV12" s="4">
        <f>BK12</f>
        <v>0</v>
      </c>
      <c r="BW12" s="4">
        <f>BI12</f>
        <v>0</v>
      </c>
      <c r="BX12" s="4">
        <f ca="1">(BP12/10)+(BQ12/100)+(BR12/1000)+(BT12/10000)+(BU12/100000)+(BV12/1000000)+(BW12/10000000)+(ROW(BS9)/100000000)</f>
        <v>8.9999999999999999E-8</v>
      </c>
      <c r="BY12" s="4">
        <f ca="1">+BO12-BX12</f>
        <v>0.99999990999999999</v>
      </c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U12" s="4" t="s">
        <v>128</v>
      </c>
      <c r="CV12" s="56">
        <f>SUMIFS(tblActuals354151923[Team 2 Points],tblActuals354151923[Team 2],$CU12,tblActuals354151923[Team 1],CV$3)+SUMIFS(tblActuals354151923[Team 1 Points],tblActuals354151923[Team 1],$CU12,tblActuals354151923[Team 2],CV$3)</f>
        <v>0</v>
      </c>
      <c r="CW12" s="56">
        <f>SUMIFS(tblActuals354151923[Team 2 Points],tblActuals354151923[Team 2],$CU12,tblActuals354151923[Team 1],CW$3)+SUMIFS(tblActuals354151923[Team 1 Points],tblActuals354151923[Team 1],$CU12,tblActuals354151923[Team 2],CW$3)</f>
        <v>0</v>
      </c>
      <c r="CX12" s="56">
        <f>SUMIFS(tblActuals354151923[Team 2 Points],tblActuals354151923[Team 2],$CU12,tblActuals354151923[Team 1],CX$3)+SUMIFS(tblActuals354151923[Team 1 Points],tblActuals354151923[Team 1],$CU12,tblActuals354151923[Team 2],CX$3)</f>
        <v>0</v>
      </c>
      <c r="CY12" s="56">
        <f>SUMIFS(tblActuals354151923[Team 2 Points],tblActuals354151923[Team 2],$CU12,tblActuals354151923[Team 1],CY$3)+SUMIFS(tblActuals354151923[Team 1 Points],tblActuals354151923[Team 1],$CU12,tblActuals354151923[Team 2],CY$3)</f>
        <v>0</v>
      </c>
      <c r="CZ12" s="56">
        <f>SUMIFS(tblActuals354151923[Team 2 Points],tblActuals354151923[Team 2],$CU12,tblActuals354151923[Team 1],CZ$3)+SUMIFS(tblActuals354151923[Team 1 Points],tblActuals354151923[Team 1],$CU12,tblActuals354151923[Team 2],CZ$3)</f>
        <v>0</v>
      </c>
      <c r="DA12" s="56">
        <f>SUMIFS(tblActuals354151923[Team 2 Points],tblActuals354151923[Team 2],$CU12,tblActuals354151923[Team 1],DA$3)+SUMIFS(tblActuals354151923[Team 1 Points],tblActuals354151923[Team 1],$CU12,tblActuals354151923[Team 2],DA$3)</f>
        <v>0</v>
      </c>
      <c r="DB12" s="56">
        <f>SUMIFS(tblActuals354151923[Team 2 Points],tblActuals354151923[Team 2],$CU12,tblActuals354151923[Team 1],DB$3)+SUMIFS(tblActuals354151923[Team 1 Points],tblActuals354151923[Team 1],$CU12,tblActuals354151923[Team 2],DB$3)</f>
        <v>0</v>
      </c>
      <c r="DC12" s="56">
        <f>SUMIFS(tblActuals354151923[Team 2 Points],tblActuals354151923[Team 2],$CU12,tblActuals354151923[Team 1],DC$3)+SUMIFS(tblActuals354151923[Team 1 Points],tblActuals354151923[Team 1],$CU12,tblActuals354151923[Team 2],DC$3)</f>
        <v>0</v>
      </c>
      <c r="DD12" s="56">
        <f>SUMIFS(tblActuals354151923[Team 2 Points],tblActuals354151923[Team 2],$CU12,tblActuals354151923[Team 1],DD$3)+SUMIFS(tblActuals354151923[Team 1 Points],tblActuals354151923[Team 1],$CU12,tblActuals354151923[Team 2],DD$3)</f>
        <v>0</v>
      </c>
      <c r="DE12" s="56">
        <f>SUMIFS(tblActuals354151923[Team 2 Points],tblActuals354151923[Team 2],$CU12,tblActuals354151923[Team 1],DE$3)+SUMIFS(tblActuals354151923[Team 1 Points],tblActuals354151923[Team 1],$CU12,tblActuals354151923[Team 2],DE$3)</f>
        <v>0</v>
      </c>
      <c r="DF12" s="56">
        <f>SUMIFS(tblActuals354151923[Team 2 Points],tblActuals354151923[Team 2],$CU12,tblActuals354151923[Team 1],DF$3)+SUMIFS(tblActuals354151923[Team 1 Points],tblActuals354151923[Team 1],$CU12,tblActuals354151923[Team 2],DF$3)</f>
        <v>0</v>
      </c>
      <c r="DG12" s="56">
        <f>SUMIFS(tblActuals354151923[Team 2 Points],tblActuals354151923[Team 2],$CU12,tblActuals354151923[Team 1],DG$3)+SUMIFS(tblActuals354151923[Team 1 Points],tblActuals354151923[Team 1],$CU12,tblActuals354151923[Team 2],DG$3)</f>
        <v>0</v>
      </c>
      <c r="DH12" s="56">
        <f>SUMIFS(tblActuals354151923[Team 2 Points],tblActuals354151923[Team 2],$CU12,tblActuals354151923[Team 1],DH$3)+SUMIFS(tblActuals354151923[Team 1 Points],tblActuals354151923[Team 1],$CU12,tblActuals354151923[Team 2],DH$3)</f>
        <v>0</v>
      </c>
      <c r="DI12" s="56">
        <f>SUMIFS(tblActuals354151923[Team 2 Points],tblActuals354151923[Team 2],$CU12,tblActuals354151923[Team 1],DI$3)+SUMIFS(tblActuals354151923[Team 1 Points],tblActuals354151923[Team 1],$CU12,tblActuals354151923[Team 2],DI$3)</f>
        <v>0</v>
      </c>
      <c r="DJ12" s="56">
        <f>SUMIFS(tblActuals354151923[Team 2 Points],tblActuals354151923[Team 2],$CU12,tblActuals354151923[Team 1],DJ$3)+SUMIFS(tblActuals354151923[Team 1 Points],tblActuals354151923[Team 1],$CU12,tblActuals354151923[Team 2],DJ$3)</f>
        <v>0</v>
      </c>
      <c r="DK12" s="56">
        <f>SUMIFS(tblActuals354151923[Team 2 Points],tblActuals354151923[Team 2],$CU12,tblActuals354151923[Team 1],DK$3)+SUMIFS(tblActuals354151923[Team 1 Points],tblActuals354151923[Team 1],$CU12,tblActuals354151923[Team 2],DK$3)</f>
        <v>0</v>
      </c>
      <c r="DL12" s="56">
        <f>SUMIFS(tblActuals354151923[Team 2 Points],tblActuals354151923[Team 2],$CU12,tblActuals354151923[Team 1],DL$3)+SUMIFS(tblActuals354151923[Team 1 Points],tblActuals354151923[Team 1],$CU12,tblActuals354151923[Team 2],DL$3)</f>
        <v>0</v>
      </c>
      <c r="DM12" s="56">
        <f>SUMIFS(tblActuals354151923[Team 2 Points],tblActuals354151923[Team 2],$CU12,tblActuals354151923[Team 1],DM$3)+SUMIFS(tblActuals354151923[Team 1 Points],tblActuals354151923[Team 1],$CU12,tblActuals354151923[Team 2],DM$3)</f>
        <v>0</v>
      </c>
      <c r="DN12" s="56">
        <f>SUMIFS(tblActuals354151923[Team 2 Points],tblActuals354151923[Team 2],$CU12,tblActuals354151923[Team 1],DN$3)+SUMIFS(tblActuals354151923[Team 1 Points],tblActuals354151923[Team 1],$CU12,tblActuals354151923[Team 2],DN$3)</f>
        <v>0</v>
      </c>
      <c r="DO12" s="56">
        <f>SUMIFS(tblActuals354151923[Team 2 Points],tblActuals354151923[Team 2],$CU12,tblActuals354151923[Team 1],DO$3)+SUMIFS(tblActuals354151923[Team 1 Points],tblActuals354151923[Team 1],$CU12,tblActuals354151923[Team 2],DO$3)</f>
        <v>0</v>
      </c>
      <c r="DP12" s="56">
        <f>SUMIFS(tblActuals354151923[Team 2 Points],tblActuals354151923[Team 2],$CU12,tblActuals354151923[Team 1],DP$3)+SUMIFS(tblActuals354151923[Team 1 Points],tblActuals354151923[Team 1],$CU12,tblActuals354151923[Team 2],DP$3)</f>
        <v>0</v>
      </c>
      <c r="DQ12" s="56">
        <f>SUMIFS(tblActuals354151923[Team 2 Points],tblActuals354151923[Team 2],$CU12,tblActuals354151923[Team 1],DQ$3)+SUMIFS(tblActuals354151923[Team 1 Points],tblActuals354151923[Team 1],$CU12,tblActuals354151923[Team 2],DQ$3)</f>
        <v>0</v>
      </c>
      <c r="DR12" s="56">
        <f>SUMIFS(tblActuals354151923[Team 2 Points],tblActuals354151923[Team 2],$CU12,tblActuals354151923[Team 1],DR$3)+SUMIFS(tblActuals354151923[Team 1 Points],tblActuals354151923[Team 1],$CU12,tblActuals354151923[Team 2],DR$3)</f>
        <v>0</v>
      </c>
      <c r="DS12" s="56">
        <f>SUMIFS(tblActuals354151923[Team 2 Points],tblActuals354151923[Team 2],$CU12,tblActuals354151923[Team 1],DS$3)+SUMIFS(tblActuals354151923[Team 1 Points],tblActuals354151923[Team 1],$CU12,tblActuals354151923[Team 2],DS$3)</f>
        <v>0</v>
      </c>
      <c r="DT12" s="57"/>
      <c r="DU12" s="57"/>
      <c r="DV12" s="57"/>
      <c r="DW12" s="57"/>
      <c r="DX12" s="57"/>
      <c r="DY12" s="57"/>
      <c r="DZ12" s="57"/>
      <c r="EA12" s="57"/>
      <c r="EB12" s="4"/>
      <c r="EC12" s="4" t="s">
        <v>128</v>
      </c>
      <c r="ED12" s="56">
        <f>SUMIFS(tblActuals354151923[Team 2 GD],tblActuals354151923[Team 2],$CU12,tblActuals354151923[Team 1],ED$3)+SUMIFS(tblActuals354151923[Team 1 GD],tblActuals354151923[Team 1],$CU12,tblActuals354151923[Team 2],ED$3)</f>
        <v>0</v>
      </c>
      <c r="EE12" s="56">
        <f>SUMIFS(tblActuals354151923[Team 2 GD],tblActuals354151923[Team 2],$CU12,tblActuals354151923[Team 1],EE$3)+SUMIFS(tblActuals354151923[Team 1 GD],tblActuals354151923[Team 1],$CU12,tblActuals354151923[Team 2],EE$3)</f>
        <v>0</v>
      </c>
      <c r="EF12" s="56">
        <f>SUMIFS(tblActuals354151923[Team 2 GD],tblActuals354151923[Team 2],$CU12,tblActuals354151923[Team 1],EF$3)+SUMIFS(tblActuals354151923[Team 1 GD],tblActuals354151923[Team 1],$CU12,tblActuals354151923[Team 2],EF$3)</f>
        <v>0</v>
      </c>
      <c r="EG12" s="56">
        <f>SUMIFS(tblActuals354151923[Team 2 GD],tblActuals354151923[Team 2],$CU12,tblActuals354151923[Team 1],EG$3)+SUMIFS(tblActuals354151923[Team 1 GD],tblActuals354151923[Team 1],$CU12,tblActuals354151923[Team 2],EG$3)</f>
        <v>0</v>
      </c>
      <c r="EH12" s="56">
        <f>SUMIFS(tblActuals354151923[Team 2 GD],tblActuals354151923[Team 2],$CU12,tblActuals354151923[Team 1],EH$3)+SUMIFS(tblActuals354151923[Team 1 GD],tblActuals354151923[Team 1],$CU12,tblActuals354151923[Team 2],EH$3)</f>
        <v>0</v>
      </c>
      <c r="EI12" s="56">
        <f>SUMIFS(tblActuals354151923[Team 2 GD],tblActuals354151923[Team 2],$CU12,tblActuals354151923[Team 1],EI$3)+SUMIFS(tblActuals354151923[Team 1 GD],tblActuals354151923[Team 1],$CU12,tblActuals354151923[Team 2],EI$3)</f>
        <v>0</v>
      </c>
      <c r="EJ12" s="56">
        <f>SUMIFS(tblActuals354151923[Team 2 GD],tblActuals354151923[Team 2],$CU12,tblActuals354151923[Team 1],EJ$3)+SUMIFS(tblActuals354151923[Team 1 GD],tblActuals354151923[Team 1],$CU12,tblActuals354151923[Team 2],EJ$3)</f>
        <v>0</v>
      </c>
      <c r="EK12" s="56">
        <f>SUMIFS(tblActuals354151923[Team 2 GD],tblActuals354151923[Team 2],$CU12,tblActuals354151923[Team 1],EK$3)+SUMIFS(tblActuals354151923[Team 1 GD],tblActuals354151923[Team 1],$CU12,tblActuals354151923[Team 2],EK$3)</f>
        <v>0</v>
      </c>
      <c r="EL12" s="56">
        <f>SUMIFS(tblActuals354151923[Team 2 GD],tblActuals354151923[Team 2],$CU12,tblActuals354151923[Team 1],EL$3)+SUMIFS(tblActuals354151923[Team 1 GD],tblActuals354151923[Team 1],$CU12,tblActuals354151923[Team 2],EL$3)</f>
        <v>0</v>
      </c>
      <c r="EM12" s="56">
        <f>SUMIFS(tblActuals354151923[Team 2 GD],tblActuals354151923[Team 2],$CU12,tblActuals354151923[Team 1],EM$3)+SUMIFS(tblActuals354151923[Team 1 GD],tblActuals354151923[Team 1],$CU12,tblActuals354151923[Team 2],EM$3)</f>
        <v>0</v>
      </c>
      <c r="EN12" s="56">
        <f>SUMIFS(tblActuals354151923[Team 2 GD],tblActuals354151923[Team 2],$CU12,tblActuals354151923[Team 1],EN$3)+SUMIFS(tblActuals354151923[Team 1 GD],tblActuals354151923[Team 1],$CU12,tblActuals354151923[Team 2],EN$3)</f>
        <v>0</v>
      </c>
      <c r="EO12" s="56">
        <f>SUMIFS(tblActuals354151923[Team 2 GD],tblActuals354151923[Team 2],$CU12,tblActuals354151923[Team 1],EO$3)+SUMIFS(tblActuals354151923[Team 1 GD],tblActuals354151923[Team 1],$CU12,tblActuals354151923[Team 2],EO$3)</f>
        <v>0</v>
      </c>
      <c r="EP12" s="56">
        <f>SUMIFS(tblActuals354151923[Team 2 GD],tblActuals354151923[Team 2],$CU12,tblActuals354151923[Team 1],EP$3)+SUMIFS(tblActuals354151923[Team 1 GD],tblActuals354151923[Team 1],$CU12,tblActuals354151923[Team 2],EP$3)</f>
        <v>0</v>
      </c>
      <c r="EQ12" s="56">
        <f>SUMIFS(tblActuals354151923[Team 2 GD],tblActuals354151923[Team 2],$CU12,tblActuals354151923[Team 1],EQ$3)+SUMIFS(tblActuals354151923[Team 1 GD],tblActuals354151923[Team 1],$CU12,tblActuals354151923[Team 2],EQ$3)</f>
        <v>0</v>
      </c>
      <c r="ER12" s="56">
        <f>SUMIFS(tblActuals354151923[Team 2 GD],tblActuals354151923[Team 2],$CU12,tblActuals354151923[Team 1],ER$3)+SUMIFS(tblActuals354151923[Team 1 GD],tblActuals354151923[Team 1],$CU12,tblActuals354151923[Team 2],ER$3)</f>
        <v>0</v>
      </c>
      <c r="ES12" s="56">
        <f>SUMIFS(tblActuals354151923[Team 2 GD],tblActuals354151923[Team 2],$CU12,tblActuals354151923[Team 1],ES$3)+SUMIFS(tblActuals354151923[Team 1 GD],tblActuals354151923[Team 1],$CU12,tblActuals354151923[Team 2],ES$3)</f>
        <v>0</v>
      </c>
      <c r="ET12" s="56">
        <f>SUMIFS(tblActuals354151923[Team 2 GD],tblActuals354151923[Team 2],$CU12,tblActuals354151923[Team 1],ET$3)+SUMIFS(tblActuals354151923[Team 1 GD],tblActuals354151923[Team 1],$CU12,tblActuals354151923[Team 2],ET$3)</f>
        <v>0</v>
      </c>
      <c r="EU12" s="56">
        <f>SUMIFS(tblActuals354151923[Team 2 GD],tblActuals354151923[Team 2],$CU12,tblActuals354151923[Team 1],EU$3)+SUMIFS(tblActuals354151923[Team 1 GD],tblActuals354151923[Team 1],$CU12,tblActuals354151923[Team 2],EU$3)</f>
        <v>0</v>
      </c>
      <c r="EV12" s="56">
        <f>SUMIFS(tblActuals354151923[Team 2 GD],tblActuals354151923[Team 2],$CU12,tblActuals354151923[Team 1],EV$3)+SUMIFS(tblActuals354151923[Team 1 GD],tblActuals354151923[Team 1],$CU12,tblActuals354151923[Team 2],EV$3)</f>
        <v>0</v>
      </c>
      <c r="EW12" s="56">
        <f>SUMIFS(tblActuals354151923[Team 2 GD],tblActuals354151923[Team 2],$CU12,tblActuals354151923[Team 1],EW$3)+SUMIFS(tblActuals354151923[Team 1 GD],tblActuals354151923[Team 1],$CU12,tblActuals354151923[Team 2],EW$3)</f>
        <v>0</v>
      </c>
      <c r="EX12" s="56">
        <f>SUMIFS(tblActuals354151923[Team 2 GD],tblActuals354151923[Team 2],$CU12,tblActuals354151923[Team 1],EX$3)+SUMIFS(tblActuals354151923[Team 1 GD],tblActuals354151923[Team 1],$CU12,tblActuals354151923[Team 2],EX$3)</f>
        <v>0</v>
      </c>
      <c r="EY12" s="56">
        <f>SUMIFS(tblActuals354151923[Team 2 GD],tblActuals354151923[Team 2],$CU12,tblActuals354151923[Team 1],EY$3)+SUMIFS(tblActuals354151923[Team 1 GD],tblActuals354151923[Team 1],$CU12,tblActuals354151923[Team 2],EY$3)</f>
        <v>0</v>
      </c>
      <c r="EZ12" s="56">
        <f>SUMIFS(tblActuals354151923[Team 2 GD],tblActuals354151923[Team 2],$CU12,tblActuals354151923[Team 1],EZ$3)+SUMIFS(tblActuals354151923[Team 1 GD],tblActuals354151923[Team 1],$CU12,tblActuals354151923[Team 2],EZ$3)</f>
        <v>0</v>
      </c>
      <c r="FA12" s="56">
        <f>SUMIFS(tblActuals354151923[Team 2 GD],tblActuals354151923[Team 2],$CU12,tblActuals354151923[Team 1],FA$3)+SUMIFS(tblActuals354151923[Team 1 GD],tblActuals354151923[Team 1],$CU12,tblActuals354151923[Team 2],FA$3)</f>
        <v>0</v>
      </c>
      <c r="FB12" s="57"/>
      <c r="FC12" s="57"/>
      <c r="FD12" s="57"/>
      <c r="FE12" s="57"/>
      <c r="FF12" s="57"/>
      <c r="FG12" s="57"/>
      <c r="FH12" s="57"/>
      <c r="FI12" s="57"/>
      <c r="FJ12" s="4"/>
      <c r="FK12" s="4" t="s">
        <v>128</v>
      </c>
      <c r="FL12" s="56">
        <f>SUMIFS(tblActuals354151923[Team 2 Goals],tblActuals354151923[Team 2],$CU12,tblActuals354151923[Team 1],FL$3)+SUMIFS(tblActuals354151923[Team 1 Goals],tblActuals354151923[Team 1],$CU12,tblActuals354151923[Team 2],FL$3)</f>
        <v>0</v>
      </c>
      <c r="FM12" s="56">
        <f>SUMIFS(tblActuals354151923[Team 2 Goals],tblActuals354151923[Team 2],$CU12,tblActuals354151923[Team 1],FM$3)+SUMIFS(tblActuals354151923[Team 1 Goals],tblActuals354151923[Team 1],$CU12,tblActuals354151923[Team 2],FM$3)</f>
        <v>0</v>
      </c>
      <c r="FN12" s="56">
        <f>SUMIFS(tblActuals354151923[Team 2 Goals],tblActuals354151923[Team 2],$CU12,tblActuals354151923[Team 1],FN$3)+SUMIFS(tblActuals354151923[Team 1 Goals],tblActuals354151923[Team 1],$CU12,tblActuals354151923[Team 2],FN$3)</f>
        <v>0</v>
      </c>
      <c r="FO12" s="56">
        <f>SUMIFS(tblActuals354151923[Team 2 Goals],tblActuals354151923[Team 2],$CU12,tblActuals354151923[Team 1],FO$3)+SUMIFS(tblActuals354151923[Team 1 Goals],tblActuals354151923[Team 1],$CU12,tblActuals354151923[Team 2],FO$3)</f>
        <v>0</v>
      </c>
      <c r="FP12" s="56">
        <f>SUMIFS(tblActuals354151923[Team 2 Goals],tblActuals354151923[Team 2],$CU12,tblActuals354151923[Team 1],FP$3)+SUMIFS(tblActuals354151923[Team 1 Goals],tblActuals354151923[Team 1],$CU12,tblActuals354151923[Team 2],FP$3)</f>
        <v>0</v>
      </c>
      <c r="FQ12" s="56">
        <f>SUMIFS(tblActuals354151923[Team 2 Goals],tblActuals354151923[Team 2],$CU12,tblActuals354151923[Team 1],FQ$3)+SUMIFS(tblActuals354151923[Team 1 Goals],tblActuals354151923[Team 1],$CU12,tblActuals354151923[Team 2],FQ$3)</f>
        <v>0</v>
      </c>
      <c r="FR12" s="56">
        <f>SUMIFS(tblActuals354151923[Team 2 Goals],tblActuals354151923[Team 2],$CU12,tblActuals354151923[Team 1],FR$3)+SUMIFS(tblActuals354151923[Team 1 Goals],tblActuals354151923[Team 1],$CU12,tblActuals354151923[Team 2],FR$3)</f>
        <v>0</v>
      </c>
      <c r="FS12" s="56">
        <f>SUMIFS(tblActuals354151923[Team 2 Goals],tblActuals354151923[Team 2],$CU12,tblActuals354151923[Team 1],FS$3)+SUMIFS(tblActuals354151923[Team 1 Goals],tblActuals354151923[Team 1],$CU12,tblActuals354151923[Team 2],FS$3)</f>
        <v>0</v>
      </c>
      <c r="FT12" s="56">
        <f>SUMIFS(tblActuals354151923[Team 2 Goals],tblActuals354151923[Team 2],$CU12,tblActuals354151923[Team 1],FT$3)+SUMIFS(tblActuals354151923[Team 1 Goals],tblActuals354151923[Team 1],$CU12,tblActuals354151923[Team 2],FT$3)</f>
        <v>0</v>
      </c>
      <c r="FU12" s="56">
        <f>SUMIFS(tblActuals354151923[Team 2 Goals],tblActuals354151923[Team 2],$CU12,tblActuals354151923[Team 1],FU$3)+SUMIFS(tblActuals354151923[Team 1 Goals],tblActuals354151923[Team 1],$CU12,tblActuals354151923[Team 2],FU$3)</f>
        <v>0</v>
      </c>
      <c r="FV12" s="56">
        <f>SUMIFS(tblActuals354151923[Team 2 Goals],tblActuals354151923[Team 2],$CU12,tblActuals354151923[Team 1],FV$3)+SUMIFS(tblActuals354151923[Team 1 Goals],tblActuals354151923[Team 1],$CU12,tblActuals354151923[Team 2],FV$3)</f>
        <v>0</v>
      </c>
      <c r="FW12" s="56">
        <f>SUMIFS(tblActuals354151923[Team 2 Goals],tblActuals354151923[Team 2],$CU12,tblActuals354151923[Team 1],FW$3)+SUMIFS(tblActuals354151923[Team 1 Goals],tblActuals354151923[Team 1],$CU12,tblActuals354151923[Team 2],FW$3)</f>
        <v>0</v>
      </c>
      <c r="FX12" s="56">
        <f>SUMIFS(tblActuals354151923[Team 2 Goals],tblActuals354151923[Team 2],$CU12,tblActuals354151923[Team 1],FX$3)+SUMIFS(tblActuals354151923[Team 1 Goals],tblActuals354151923[Team 1],$CU12,tblActuals354151923[Team 2],FX$3)</f>
        <v>0</v>
      </c>
      <c r="FY12" s="56">
        <f>SUMIFS(tblActuals354151923[Team 2 Goals],tblActuals354151923[Team 2],$CU12,tblActuals354151923[Team 1],FY$3)+SUMIFS(tblActuals354151923[Team 1 Goals],tblActuals354151923[Team 1],$CU12,tblActuals354151923[Team 2],FY$3)</f>
        <v>0</v>
      </c>
      <c r="FZ12" s="56">
        <f>SUMIFS(tblActuals354151923[Team 2 Goals],tblActuals354151923[Team 2],$CU12,tblActuals354151923[Team 1],FZ$3)+SUMIFS(tblActuals354151923[Team 1 Goals],tblActuals354151923[Team 1],$CU12,tblActuals354151923[Team 2],FZ$3)</f>
        <v>0</v>
      </c>
      <c r="GA12" s="56">
        <f>SUMIFS(tblActuals354151923[Team 2 Goals],tblActuals354151923[Team 2],$CU12,tblActuals354151923[Team 1],GA$3)+SUMIFS(tblActuals354151923[Team 1 Goals],tblActuals354151923[Team 1],$CU12,tblActuals354151923[Team 2],GA$3)</f>
        <v>0</v>
      </c>
      <c r="GB12" s="56">
        <f>SUMIFS(tblActuals354151923[Team 2 Goals],tblActuals354151923[Team 2],$CU12,tblActuals354151923[Team 1],GB$3)+SUMIFS(tblActuals354151923[Team 1 Goals],tblActuals354151923[Team 1],$CU12,tblActuals354151923[Team 2],GB$3)</f>
        <v>0</v>
      </c>
      <c r="GC12" s="56">
        <f>SUMIFS(tblActuals354151923[Team 2 Goals],tblActuals354151923[Team 2],$CU12,tblActuals354151923[Team 1],GC$3)+SUMIFS(tblActuals354151923[Team 1 Goals],tblActuals354151923[Team 1],$CU12,tblActuals354151923[Team 2],GC$3)</f>
        <v>0</v>
      </c>
      <c r="GD12" s="56">
        <f>SUMIFS(tblActuals354151923[Team 2 Goals],tblActuals354151923[Team 2],$CU12,tblActuals354151923[Team 1],GD$3)+SUMIFS(tblActuals354151923[Team 1 Goals],tblActuals354151923[Team 1],$CU12,tblActuals354151923[Team 2],GD$3)</f>
        <v>0</v>
      </c>
      <c r="GE12" s="56">
        <f>SUMIFS(tblActuals354151923[Team 2 Goals],tblActuals354151923[Team 2],$CU12,tblActuals354151923[Team 1],GE$3)+SUMIFS(tblActuals354151923[Team 1 Goals],tblActuals354151923[Team 1],$CU12,tblActuals354151923[Team 2],GE$3)</f>
        <v>0</v>
      </c>
      <c r="GF12" s="56">
        <f>SUMIFS(tblActuals354151923[Team 2 Goals],tblActuals354151923[Team 2],$CU12,tblActuals354151923[Team 1],GF$3)+SUMIFS(tblActuals354151923[Team 1 Goals],tblActuals354151923[Team 1],$CU12,tblActuals354151923[Team 2],GF$3)</f>
        <v>0</v>
      </c>
      <c r="GG12" s="56">
        <f>SUMIFS(tblActuals354151923[Team 2 Goals],tblActuals354151923[Team 2],$CU12,tblActuals354151923[Team 1],GG$3)+SUMIFS(tblActuals354151923[Team 1 Goals],tblActuals354151923[Team 1],$CU12,tblActuals354151923[Team 2],GG$3)</f>
        <v>0</v>
      </c>
      <c r="GH12" s="56">
        <f>SUMIFS(tblActuals354151923[Team 2 Goals],tblActuals354151923[Team 2],$CU12,tblActuals354151923[Team 1],GH$3)+SUMIFS(tblActuals354151923[Team 1 Goals],tblActuals354151923[Team 1],$CU12,tblActuals354151923[Team 2],GH$3)</f>
        <v>0</v>
      </c>
      <c r="GI12" s="56">
        <f>SUMIFS(tblActuals354151923[Team 2 Goals],tblActuals354151923[Team 2],$CU12,tblActuals354151923[Team 1],GI$3)+SUMIFS(tblActuals354151923[Team 1 Goals],tblActuals354151923[Team 1],$CU12,tblActuals354151923[Team 2],GI$3)</f>
        <v>0</v>
      </c>
      <c r="GJ12" s="57"/>
      <c r="GK12" s="57"/>
      <c r="GL12" s="37"/>
      <c r="GM12" s="37"/>
      <c r="GN12" s="37"/>
      <c r="GO12" s="37"/>
      <c r="GP12" s="37"/>
      <c r="GQ12" s="37"/>
      <c r="GR12" s="75"/>
      <c r="GS12" s="156"/>
      <c r="GT12" s="156"/>
      <c r="GU12" s="75"/>
      <c r="GV12" s="75"/>
      <c r="GW12" s="75"/>
      <c r="GX12" s="75"/>
      <c r="GY12" s="75"/>
      <c r="GZ12" s="75"/>
      <c r="HB12" s="4" t="str">
        <f t="shared" si="12"/>
        <v>ACDF</v>
      </c>
      <c r="HC12" s="44" t="s">
        <v>1</v>
      </c>
      <c r="HD12" s="45"/>
      <c r="HE12" s="44" t="s">
        <v>6</v>
      </c>
      <c r="HF12" s="44" t="s">
        <v>7</v>
      </c>
      <c r="HG12" s="45"/>
      <c r="HH12" s="44" t="s">
        <v>45</v>
      </c>
      <c r="HI12" s="178"/>
      <c r="HJ12" s="45" t="s">
        <v>154</v>
      </c>
      <c r="HK12" s="45" t="s">
        <v>150</v>
      </c>
      <c r="HL12" s="45" t="s">
        <v>152</v>
      </c>
      <c r="HM12" s="45" t="s">
        <v>149</v>
      </c>
    </row>
    <row r="13" spans="1:221" s="11" customFormat="1" ht="30" customHeight="1" x14ac:dyDescent="0.2">
      <c r="A13" s="20"/>
      <c r="B13" s="122">
        <v>10</v>
      </c>
      <c r="C13" s="122" t="s">
        <v>12</v>
      </c>
      <c r="D13" s="123">
        <v>45460</v>
      </c>
      <c r="E13" s="122" t="s">
        <v>78</v>
      </c>
      <c r="F13" s="124">
        <v>0.625</v>
      </c>
      <c r="G13" s="125">
        <f t="shared" si="11"/>
        <v>45460.375</v>
      </c>
      <c r="H13" s="122" t="s">
        <v>98</v>
      </c>
      <c r="I13" s="126"/>
      <c r="J13" s="118"/>
      <c r="K13" s="118"/>
      <c r="L13" s="174">
        <f>IF(I13="",0,IFERROR(IF(SCORING.RULES!$C$8="No",1,((VLOOKUP($B13,ACTUALS!$B$4:$L$100,7,FALSE)=$H13)+(VLOOKUP($B13,ACTUALS!$B$4:$L$100,7,FALSE)=S13)))*(M13+N13+O13+P13+Q13),0))+$R13</f>
        <v>0</v>
      </c>
      <c r="M13" s="168">
        <f>IFERROR(IF($B13="","",IF(U13=INDEX(ACTUALS!$AA$4:$AA$100,MATCH($B13,ACTUALS!$B$4:$B$100,0),1),CorrectScore,0)),0)</f>
        <v>0</v>
      </c>
      <c r="N13" s="157" t="str">
        <f>IFERROR(IF(I13="","",IF(INDEX(ACTUALS!$AB$4:$AB$100,MATCH($B13,ACTUALS!$B$4:$B$100,0),1)=(AB13+AC13+AH13+AI13),CorrectNumberofGoals,0)),0)</f>
        <v/>
      </c>
      <c r="O13" s="157"/>
      <c r="P13" s="157">
        <f>IFERROR(IF(B13="","",IF(INDEX(ACTUALS!$L$4:$L$100,MATCH($B13,ACTUALS!$B$4:$B$100,0),1)=W13,CorrectResult,0)),0)</f>
        <v>3</v>
      </c>
      <c r="Q13" s="157"/>
      <c r="R13" s="157"/>
      <c r="S13" s="157" t="str">
        <f t="shared" si="0"/>
        <v/>
      </c>
      <c r="T13" s="157"/>
      <c r="U13" s="157" t="str">
        <f t="shared" si="1"/>
        <v/>
      </c>
      <c r="V13" s="157" t="str">
        <f t="shared" si="2"/>
        <v/>
      </c>
      <c r="W13" s="119" t="str">
        <f>IF(tblActuals354151923[[#This Row],[SCORE]]="","",IF(AB13=AC13,"Draw",IF(AB13&gt;AC13,X13,Y13)))</f>
        <v/>
      </c>
      <c r="X13" s="120" t="str">
        <f>IF(tblActuals354151923[[#This Row],[TEAMS]]="","",LEFT(H13,FIND(" -",H13,1)-1))</f>
        <v>Romania</v>
      </c>
      <c r="Y13" s="120" t="str">
        <f>IF(tblActuals354151923[[#This Row],[TEAMS]]="","",MID(H13,FIND("-",H13,1)+2,LEN(H13)-FIND("-",H13,1)+2))</f>
        <v>Ukraine</v>
      </c>
      <c r="Z13" s="120" t="str">
        <f>IF(tblActuals354151923[[#This Row],[Team 1 Goals]]&gt;tblActuals354151923[[#This Row],[Team 2 Goals]],tblActuals354151923[[#This Row],[Team 1]],IF(tblActuals354151923[[#This Row],[Team 2 Goals]]&gt;tblActuals354151923[[#This Row],[Team 1 Goals]],tblActuals354151923[[#This Row],[Team 2]],""))</f>
        <v/>
      </c>
      <c r="AA13" s="120" t="str">
        <f>IF(tblActuals354151923[[#This Row],[Winner]]=tblActuals354151923[[#This Row],[Team 1]],tblActuals354151923[[#This Row],[Team 2]],IF(tblActuals354151923[[#This Row],[Winner]]=tblActuals354151923[[#This Row],[Team 2]],tblActuals354151923[[#This Row],[Team 1]],""))</f>
        <v/>
      </c>
      <c r="AB13" s="120" t="str">
        <f>IF(tblActuals354151923[[#This Row],[SCORE]]="","",LEFT(I13,FIND(":",I13,1)-1)*1)</f>
        <v/>
      </c>
      <c r="AC13" s="120" t="str">
        <f>IF(tblActuals354151923[[#This Row],[SCORE]]="","",MID(I13,FIND(":",I13,1)+1,LEN(I13)-FIND(":",I13,1)+1)*1)</f>
        <v/>
      </c>
      <c r="AD13" s="120" t="str">
        <f>IF(OR(tblActuals354151923[[#This Row],[Team 1 Goals]]="",tblActuals354151923[[#This Row],[Team 2 Goals]]=""),"",tblActuals354151923[[#This Row],[Team 1 Goals]]-tblActuals354151923[[#This Row],[Team 2 Goals]])</f>
        <v/>
      </c>
      <c r="AE13" s="120" t="str">
        <f>IF(OR(tblActuals354151923[[#This Row],[Team 1 Goals]]="",tblActuals354151923[[#This Row],[Team 2 Goals]]=""),"",tblActuals354151923[[#This Row],[Team 2 Goals]]-tblActuals354151923[[#This Row],[Team 1 Goals]])</f>
        <v/>
      </c>
      <c r="AF13" s="120" t="str">
        <f>IF(tblActuals354151923[[#This Row],[SCORE]]="","",IF(tblActuals354151923[[#This Row],[WINNER / RESULT]]="Draw",1,IF(tblActuals354151923[[#This Row],[WINNER / RESULT]]=tblActuals354151923[[#This Row],[Team 1]],3,0)))</f>
        <v/>
      </c>
      <c r="AG13" s="120" t="str">
        <f>IF(tblActuals354151923[[#This Row],[SCORE]]="","",IF(tblActuals354151923[[#This Row],[WINNER / RESULT]]="Draw",1,IF(tblActuals354151923[[#This Row],[WINNER / RESULT]]=tblActuals354151923[[#This Row],[Team 2]],3,0)))</f>
        <v/>
      </c>
      <c r="AH13" s="121"/>
      <c r="AI13" s="121"/>
      <c r="AJ13" s="121"/>
      <c r="AK13" s="121"/>
      <c r="AL13" s="120" t="e">
        <f>tblActuals354151923[[#This Row],[Team 1 Goals]]+tblActuals354151923[[#This Row],[Team 1 ET Goals]]&amp;":"&amp;tblActuals354151923[[#This Row],[Team 2 Goals]]+tblActuals354151923[[#This Row],[Team 2 ET Goals]]</f>
        <v>#VALUE!</v>
      </c>
      <c r="AM13" s="120" t="e">
        <f>+tblActuals354151923[[#This Row],[Team 1 Goals]]+tblActuals354151923[[#This Row],[Team 2 Goals]]</f>
        <v>#VALUE!</v>
      </c>
      <c r="AN13" s="161">
        <f t="shared" si="3"/>
        <v>45460</v>
      </c>
      <c r="AP13" s="38" t="s">
        <v>78</v>
      </c>
      <c r="AT13" s="77" t="s">
        <v>5</v>
      </c>
      <c r="AU13" s="139">
        <v>2</v>
      </c>
      <c r="AV13" s="140" t="str">
        <f ca="1">IFERROR(INDEX(BD:BD,MATCH("2"&amp;AT13,BN:BN,0),1),"")</f>
        <v>Croatia</v>
      </c>
      <c r="AW13" s="140" t="str">
        <f ca="1">IF(AV13="","",VLOOKUP(AV13,BD:BI,2,FALSE)&amp;"-"&amp;VLOOKUP(AV13,BD:BI,3,FALSE)&amp;"-"&amp;VLOOKUP(AV13,BD:BI,4,FALSE))</f>
        <v>0-0-0</v>
      </c>
      <c r="AX13" s="140">
        <f ca="1">IF(AV13="","",VLOOKUP(AV13,BD:BK,8,FALSE))</f>
        <v>0</v>
      </c>
      <c r="AY13" s="141">
        <f ca="1">IF(AV13="","",VLOOKUP(AV13,BD:BN,5,FALSE))</f>
        <v>0</v>
      </c>
      <c r="AZ13" s="75"/>
      <c r="BA13" s="42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 t="str">
        <f t="shared" si="4"/>
        <v/>
      </c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U13" s="4" t="s">
        <v>25</v>
      </c>
      <c r="CV13" s="56">
        <f>SUMIFS(tblActuals354151923[Team 2 Points],tblActuals354151923[Team 2],$CU13,tblActuals354151923[Team 1],CV$3)+SUMIFS(tblActuals354151923[Team 1 Points],tblActuals354151923[Team 1],$CU13,tblActuals354151923[Team 2],CV$3)</f>
        <v>0</v>
      </c>
      <c r="CW13" s="56">
        <f>SUMIFS(tblActuals354151923[Team 2 Points],tblActuals354151923[Team 2],$CU13,tblActuals354151923[Team 1],CW$3)+SUMIFS(tblActuals354151923[Team 1 Points],tblActuals354151923[Team 1],$CU13,tblActuals354151923[Team 2],CW$3)</f>
        <v>0</v>
      </c>
      <c r="CX13" s="56">
        <f>SUMIFS(tblActuals354151923[Team 2 Points],tblActuals354151923[Team 2],$CU13,tblActuals354151923[Team 1],CX$3)+SUMIFS(tblActuals354151923[Team 1 Points],tblActuals354151923[Team 1],$CU13,tblActuals354151923[Team 2],CX$3)</f>
        <v>0</v>
      </c>
      <c r="CY13" s="56">
        <f>SUMIFS(tblActuals354151923[Team 2 Points],tblActuals354151923[Team 2],$CU13,tblActuals354151923[Team 1],CY$3)+SUMIFS(tblActuals354151923[Team 1 Points],tblActuals354151923[Team 1],$CU13,tblActuals354151923[Team 2],CY$3)</f>
        <v>0</v>
      </c>
      <c r="CZ13" s="56">
        <f>SUMIFS(tblActuals354151923[Team 2 Points],tblActuals354151923[Team 2],$CU13,tblActuals354151923[Team 1],CZ$3)+SUMIFS(tblActuals354151923[Team 1 Points],tblActuals354151923[Team 1],$CU13,tblActuals354151923[Team 2],CZ$3)</f>
        <v>0</v>
      </c>
      <c r="DA13" s="56">
        <f>SUMIFS(tblActuals354151923[Team 2 Points],tblActuals354151923[Team 2],$CU13,tblActuals354151923[Team 1],DA$3)+SUMIFS(tblActuals354151923[Team 1 Points],tblActuals354151923[Team 1],$CU13,tblActuals354151923[Team 2],DA$3)</f>
        <v>0</v>
      </c>
      <c r="DB13" s="56">
        <f>SUMIFS(tblActuals354151923[Team 2 Points],tblActuals354151923[Team 2],$CU13,tblActuals354151923[Team 1],DB$3)+SUMIFS(tblActuals354151923[Team 1 Points],tblActuals354151923[Team 1],$CU13,tblActuals354151923[Team 2],DB$3)</f>
        <v>0</v>
      </c>
      <c r="DC13" s="56">
        <f>SUMIFS(tblActuals354151923[Team 2 Points],tblActuals354151923[Team 2],$CU13,tblActuals354151923[Team 1],DC$3)+SUMIFS(tblActuals354151923[Team 1 Points],tblActuals354151923[Team 1],$CU13,tblActuals354151923[Team 2],DC$3)</f>
        <v>0</v>
      </c>
      <c r="DD13" s="56">
        <f>SUMIFS(tblActuals354151923[Team 2 Points],tblActuals354151923[Team 2],$CU13,tblActuals354151923[Team 1],DD$3)+SUMIFS(tblActuals354151923[Team 1 Points],tblActuals354151923[Team 1],$CU13,tblActuals354151923[Team 2],DD$3)</f>
        <v>0</v>
      </c>
      <c r="DE13" s="56">
        <f>SUMIFS(tblActuals354151923[Team 2 Points],tblActuals354151923[Team 2],$CU13,tblActuals354151923[Team 1],DE$3)+SUMIFS(tblActuals354151923[Team 1 Points],tblActuals354151923[Team 1],$CU13,tblActuals354151923[Team 2],DE$3)</f>
        <v>0</v>
      </c>
      <c r="DF13" s="56">
        <f>SUMIFS(tblActuals354151923[Team 2 Points],tblActuals354151923[Team 2],$CU13,tblActuals354151923[Team 1],DF$3)+SUMIFS(tblActuals354151923[Team 1 Points],tblActuals354151923[Team 1],$CU13,tblActuals354151923[Team 2],DF$3)</f>
        <v>0</v>
      </c>
      <c r="DG13" s="56">
        <f>SUMIFS(tblActuals354151923[Team 2 Points],tblActuals354151923[Team 2],$CU13,tblActuals354151923[Team 1],DG$3)+SUMIFS(tblActuals354151923[Team 1 Points],tblActuals354151923[Team 1],$CU13,tblActuals354151923[Team 2],DG$3)</f>
        <v>0</v>
      </c>
      <c r="DH13" s="56">
        <f>SUMIFS(tblActuals354151923[Team 2 Points],tblActuals354151923[Team 2],$CU13,tblActuals354151923[Team 1],DH$3)+SUMIFS(tblActuals354151923[Team 1 Points],tblActuals354151923[Team 1],$CU13,tblActuals354151923[Team 2],DH$3)</f>
        <v>0</v>
      </c>
      <c r="DI13" s="56">
        <f>SUMIFS(tblActuals354151923[Team 2 Points],tblActuals354151923[Team 2],$CU13,tblActuals354151923[Team 1],DI$3)+SUMIFS(tblActuals354151923[Team 1 Points],tblActuals354151923[Team 1],$CU13,tblActuals354151923[Team 2],DI$3)</f>
        <v>0</v>
      </c>
      <c r="DJ13" s="56">
        <f>SUMIFS(tblActuals354151923[Team 2 Points],tblActuals354151923[Team 2],$CU13,tblActuals354151923[Team 1],DJ$3)+SUMIFS(tblActuals354151923[Team 1 Points],tblActuals354151923[Team 1],$CU13,tblActuals354151923[Team 2],DJ$3)</f>
        <v>0</v>
      </c>
      <c r="DK13" s="56">
        <f>SUMIFS(tblActuals354151923[Team 2 Points],tblActuals354151923[Team 2],$CU13,tblActuals354151923[Team 1],DK$3)+SUMIFS(tblActuals354151923[Team 1 Points],tblActuals354151923[Team 1],$CU13,tblActuals354151923[Team 2],DK$3)</f>
        <v>0</v>
      </c>
      <c r="DL13" s="56">
        <f>SUMIFS(tblActuals354151923[Team 2 Points],tblActuals354151923[Team 2],$CU13,tblActuals354151923[Team 1],DL$3)+SUMIFS(tblActuals354151923[Team 1 Points],tblActuals354151923[Team 1],$CU13,tblActuals354151923[Team 2],DL$3)</f>
        <v>0</v>
      </c>
      <c r="DM13" s="56">
        <f>SUMIFS(tblActuals354151923[Team 2 Points],tblActuals354151923[Team 2],$CU13,tblActuals354151923[Team 1],DM$3)+SUMIFS(tblActuals354151923[Team 1 Points],tblActuals354151923[Team 1],$CU13,tblActuals354151923[Team 2],DM$3)</f>
        <v>0</v>
      </c>
      <c r="DN13" s="56">
        <f>SUMIFS(tblActuals354151923[Team 2 Points],tblActuals354151923[Team 2],$CU13,tblActuals354151923[Team 1],DN$3)+SUMIFS(tblActuals354151923[Team 1 Points],tblActuals354151923[Team 1],$CU13,tblActuals354151923[Team 2],DN$3)</f>
        <v>0</v>
      </c>
      <c r="DO13" s="56">
        <f>SUMIFS(tblActuals354151923[Team 2 Points],tblActuals354151923[Team 2],$CU13,tblActuals354151923[Team 1],DO$3)+SUMIFS(tblActuals354151923[Team 1 Points],tblActuals354151923[Team 1],$CU13,tblActuals354151923[Team 2],DO$3)</f>
        <v>0</v>
      </c>
      <c r="DP13" s="56">
        <f>SUMIFS(tblActuals354151923[Team 2 Points],tblActuals354151923[Team 2],$CU13,tblActuals354151923[Team 1],DP$3)+SUMIFS(tblActuals354151923[Team 1 Points],tblActuals354151923[Team 1],$CU13,tblActuals354151923[Team 2],DP$3)</f>
        <v>0</v>
      </c>
      <c r="DQ13" s="56">
        <f>SUMIFS(tblActuals354151923[Team 2 Points],tblActuals354151923[Team 2],$CU13,tblActuals354151923[Team 1],DQ$3)+SUMIFS(tblActuals354151923[Team 1 Points],tblActuals354151923[Team 1],$CU13,tblActuals354151923[Team 2],DQ$3)</f>
        <v>0</v>
      </c>
      <c r="DR13" s="56">
        <f>SUMIFS(tblActuals354151923[Team 2 Points],tblActuals354151923[Team 2],$CU13,tblActuals354151923[Team 1],DR$3)+SUMIFS(tblActuals354151923[Team 1 Points],tblActuals354151923[Team 1],$CU13,tblActuals354151923[Team 2],DR$3)</f>
        <v>0</v>
      </c>
      <c r="DS13" s="56">
        <f>SUMIFS(tblActuals354151923[Team 2 Points],tblActuals354151923[Team 2],$CU13,tblActuals354151923[Team 1],DS$3)+SUMIFS(tblActuals354151923[Team 1 Points],tblActuals354151923[Team 1],$CU13,tblActuals354151923[Team 2],DS$3)</f>
        <v>0</v>
      </c>
      <c r="DT13" s="57"/>
      <c r="DU13" s="57"/>
      <c r="DV13" s="57"/>
      <c r="DW13" s="57"/>
      <c r="DX13" s="57"/>
      <c r="DY13" s="57"/>
      <c r="DZ13" s="57"/>
      <c r="EA13" s="57"/>
      <c r="EB13" s="4"/>
      <c r="EC13" s="4" t="s">
        <v>25</v>
      </c>
      <c r="ED13" s="56">
        <f>SUMIFS(tblActuals354151923[Team 2 GD],tblActuals354151923[Team 2],$CU13,tblActuals354151923[Team 1],ED$3)+SUMIFS(tblActuals354151923[Team 1 GD],tblActuals354151923[Team 1],$CU13,tblActuals354151923[Team 2],ED$3)</f>
        <v>0</v>
      </c>
      <c r="EE13" s="56">
        <f>SUMIFS(tblActuals354151923[Team 2 GD],tblActuals354151923[Team 2],$CU13,tblActuals354151923[Team 1],EE$3)+SUMIFS(tblActuals354151923[Team 1 GD],tblActuals354151923[Team 1],$CU13,tblActuals354151923[Team 2],EE$3)</f>
        <v>0</v>
      </c>
      <c r="EF13" s="56">
        <f>SUMIFS(tblActuals354151923[Team 2 GD],tblActuals354151923[Team 2],$CU13,tblActuals354151923[Team 1],EF$3)+SUMIFS(tblActuals354151923[Team 1 GD],tblActuals354151923[Team 1],$CU13,tblActuals354151923[Team 2],EF$3)</f>
        <v>0</v>
      </c>
      <c r="EG13" s="56">
        <f>SUMIFS(tblActuals354151923[Team 2 GD],tblActuals354151923[Team 2],$CU13,tblActuals354151923[Team 1],EG$3)+SUMIFS(tblActuals354151923[Team 1 GD],tblActuals354151923[Team 1],$CU13,tblActuals354151923[Team 2],EG$3)</f>
        <v>0</v>
      </c>
      <c r="EH13" s="56">
        <f>SUMIFS(tblActuals354151923[Team 2 GD],tblActuals354151923[Team 2],$CU13,tblActuals354151923[Team 1],EH$3)+SUMIFS(tblActuals354151923[Team 1 GD],tblActuals354151923[Team 1],$CU13,tblActuals354151923[Team 2],EH$3)</f>
        <v>0</v>
      </c>
      <c r="EI13" s="56">
        <f>SUMIFS(tblActuals354151923[Team 2 GD],tblActuals354151923[Team 2],$CU13,tblActuals354151923[Team 1],EI$3)+SUMIFS(tblActuals354151923[Team 1 GD],tblActuals354151923[Team 1],$CU13,tblActuals354151923[Team 2],EI$3)</f>
        <v>0</v>
      </c>
      <c r="EJ13" s="56">
        <f>SUMIFS(tblActuals354151923[Team 2 GD],tblActuals354151923[Team 2],$CU13,tblActuals354151923[Team 1],EJ$3)+SUMIFS(tblActuals354151923[Team 1 GD],tblActuals354151923[Team 1],$CU13,tblActuals354151923[Team 2],EJ$3)</f>
        <v>0</v>
      </c>
      <c r="EK13" s="56">
        <f>SUMIFS(tblActuals354151923[Team 2 GD],tblActuals354151923[Team 2],$CU13,tblActuals354151923[Team 1],EK$3)+SUMIFS(tblActuals354151923[Team 1 GD],tblActuals354151923[Team 1],$CU13,tblActuals354151923[Team 2],EK$3)</f>
        <v>0</v>
      </c>
      <c r="EL13" s="56">
        <f>SUMIFS(tblActuals354151923[Team 2 GD],tblActuals354151923[Team 2],$CU13,tblActuals354151923[Team 1],EL$3)+SUMIFS(tblActuals354151923[Team 1 GD],tblActuals354151923[Team 1],$CU13,tblActuals354151923[Team 2],EL$3)</f>
        <v>0</v>
      </c>
      <c r="EM13" s="56">
        <f>SUMIFS(tblActuals354151923[Team 2 GD],tblActuals354151923[Team 2],$CU13,tblActuals354151923[Team 1],EM$3)+SUMIFS(tblActuals354151923[Team 1 GD],tblActuals354151923[Team 1],$CU13,tblActuals354151923[Team 2],EM$3)</f>
        <v>0</v>
      </c>
      <c r="EN13" s="56">
        <f>SUMIFS(tblActuals354151923[Team 2 GD],tblActuals354151923[Team 2],$CU13,tblActuals354151923[Team 1],EN$3)+SUMIFS(tblActuals354151923[Team 1 GD],tblActuals354151923[Team 1],$CU13,tblActuals354151923[Team 2],EN$3)</f>
        <v>0</v>
      </c>
      <c r="EO13" s="56">
        <f>SUMIFS(tblActuals354151923[Team 2 GD],tblActuals354151923[Team 2],$CU13,tblActuals354151923[Team 1],EO$3)+SUMIFS(tblActuals354151923[Team 1 GD],tblActuals354151923[Team 1],$CU13,tblActuals354151923[Team 2],EO$3)</f>
        <v>0</v>
      </c>
      <c r="EP13" s="56">
        <f>SUMIFS(tblActuals354151923[Team 2 GD],tblActuals354151923[Team 2],$CU13,tblActuals354151923[Team 1],EP$3)+SUMIFS(tblActuals354151923[Team 1 GD],tblActuals354151923[Team 1],$CU13,tblActuals354151923[Team 2],EP$3)</f>
        <v>0</v>
      </c>
      <c r="EQ13" s="56">
        <f>SUMIFS(tblActuals354151923[Team 2 GD],tblActuals354151923[Team 2],$CU13,tblActuals354151923[Team 1],EQ$3)+SUMIFS(tblActuals354151923[Team 1 GD],tblActuals354151923[Team 1],$CU13,tblActuals354151923[Team 2],EQ$3)</f>
        <v>0</v>
      </c>
      <c r="ER13" s="56">
        <f>SUMIFS(tblActuals354151923[Team 2 GD],tblActuals354151923[Team 2],$CU13,tblActuals354151923[Team 1],ER$3)+SUMIFS(tblActuals354151923[Team 1 GD],tblActuals354151923[Team 1],$CU13,tblActuals354151923[Team 2],ER$3)</f>
        <v>0</v>
      </c>
      <c r="ES13" s="56">
        <f>SUMIFS(tblActuals354151923[Team 2 GD],tblActuals354151923[Team 2],$CU13,tblActuals354151923[Team 1],ES$3)+SUMIFS(tblActuals354151923[Team 1 GD],tblActuals354151923[Team 1],$CU13,tblActuals354151923[Team 2],ES$3)</f>
        <v>0</v>
      </c>
      <c r="ET13" s="56">
        <f>SUMIFS(tblActuals354151923[Team 2 GD],tblActuals354151923[Team 2],$CU13,tblActuals354151923[Team 1],ET$3)+SUMIFS(tblActuals354151923[Team 1 GD],tblActuals354151923[Team 1],$CU13,tblActuals354151923[Team 2],ET$3)</f>
        <v>0</v>
      </c>
      <c r="EU13" s="56">
        <f>SUMIFS(tblActuals354151923[Team 2 GD],tblActuals354151923[Team 2],$CU13,tblActuals354151923[Team 1],EU$3)+SUMIFS(tblActuals354151923[Team 1 GD],tblActuals354151923[Team 1],$CU13,tblActuals354151923[Team 2],EU$3)</f>
        <v>0</v>
      </c>
      <c r="EV13" s="56">
        <f>SUMIFS(tblActuals354151923[Team 2 GD],tblActuals354151923[Team 2],$CU13,tblActuals354151923[Team 1],EV$3)+SUMIFS(tblActuals354151923[Team 1 GD],tblActuals354151923[Team 1],$CU13,tblActuals354151923[Team 2],EV$3)</f>
        <v>0</v>
      </c>
      <c r="EW13" s="56">
        <f>SUMIFS(tblActuals354151923[Team 2 GD],tblActuals354151923[Team 2],$CU13,tblActuals354151923[Team 1],EW$3)+SUMIFS(tblActuals354151923[Team 1 GD],tblActuals354151923[Team 1],$CU13,tblActuals354151923[Team 2],EW$3)</f>
        <v>0</v>
      </c>
      <c r="EX13" s="56">
        <f>SUMIFS(tblActuals354151923[Team 2 GD],tblActuals354151923[Team 2],$CU13,tblActuals354151923[Team 1],EX$3)+SUMIFS(tblActuals354151923[Team 1 GD],tblActuals354151923[Team 1],$CU13,tblActuals354151923[Team 2],EX$3)</f>
        <v>0</v>
      </c>
      <c r="EY13" s="56">
        <f>SUMIFS(tblActuals354151923[Team 2 GD],tblActuals354151923[Team 2],$CU13,tblActuals354151923[Team 1],EY$3)+SUMIFS(tblActuals354151923[Team 1 GD],tblActuals354151923[Team 1],$CU13,tblActuals354151923[Team 2],EY$3)</f>
        <v>0</v>
      </c>
      <c r="EZ13" s="56">
        <f>SUMIFS(tblActuals354151923[Team 2 GD],tblActuals354151923[Team 2],$CU13,tblActuals354151923[Team 1],EZ$3)+SUMIFS(tblActuals354151923[Team 1 GD],tblActuals354151923[Team 1],$CU13,tblActuals354151923[Team 2],EZ$3)</f>
        <v>0</v>
      </c>
      <c r="FA13" s="56">
        <f>SUMIFS(tblActuals354151923[Team 2 GD],tblActuals354151923[Team 2],$CU13,tblActuals354151923[Team 1],FA$3)+SUMIFS(tblActuals354151923[Team 1 GD],tblActuals354151923[Team 1],$CU13,tblActuals354151923[Team 2],FA$3)</f>
        <v>0</v>
      </c>
      <c r="FB13" s="57"/>
      <c r="FC13" s="57"/>
      <c r="FD13" s="57"/>
      <c r="FE13" s="57"/>
      <c r="FF13" s="57"/>
      <c r="FG13" s="57"/>
      <c r="FH13" s="57"/>
      <c r="FI13" s="57"/>
      <c r="FJ13" s="4"/>
      <c r="FK13" s="4" t="s">
        <v>25</v>
      </c>
      <c r="FL13" s="56">
        <f>SUMIFS(tblActuals354151923[Team 2 Goals],tblActuals354151923[Team 2],$CU13,tblActuals354151923[Team 1],FL$3)+SUMIFS(tblActuals354151923[Team 1 Goals],tblActuals354151923[Team 1],$CU13,tblActuals354151923[Team 2],FL$3)</f>
        <v>0</v>
      </c>
      <c r="FM13" s="56">
        <f>SUMIFS(tblActuals354151923[Team 2 Goals],tblActuals354151923[Team 2],$CU13,tblActuals354151923[Team 1],FM$3)+SUMIFS(tblActuals354151923[Team 1 Goals],tblActuals354151923[Team 1],$CU13,tblActuals354151923[Team 2],FM$3)</f>
        <v>0</v>
      </c>
      <c r="FN13" s="56">
        <f>SUMIFS(tblActuals354151923[Team 2 Goals],tblActuals354151923[Team 2],$CU13,tblActuals354151923[Team 1],FN$3)+SUMIFS(tblActuals354151923[Team 1 Goals],tblActuals354151923[Team 1],$CU13,tblActuals354151923[Team 2],FN$3)</f>
        <v>0</v>
      </c>
      <c r="FO13" s="56">
        <f>SUMIFS(tblActuals354151923[Team 2 Goals],tblActuals354151923[Team 2],$CU13,tblActuals354151923[Team 1],FO$3)+SUMIFS(tblActuals354151923[Team 1 Goals],tblActuals354151923[Team 1],$CU13,tblActuals354151923[Team 2],FO$3)</f>
        <v>0</v>
      </c>
      <c r="FP13" s="56">
        <f>SUMIFS(tblActuals354151923[Team 2 Goals],tblActuals354151923[Team 2],$CU13,tblActuals354151923[Team 1],FP$3)+SUMIFS(tblActuals354151923[Team 1 Goals],tblActuals354151923[Team 1],$CU13,tblActuals354151923[Team 2],FP$3)</f>
        <v>0</v>
      </c>
      <c r="FQ13" s="56">
        <f>SUMIFS(tblActuals354151923[Team 2 Goals],tblActuals354151923[Team 2],$CU13,tblActuals354151923[Team 1],FQ$3)+SUMIFS(tblActuals354151923[Team 1 Goals],tblActuals354151923[Team 1],$CU13,tblActuals354151923[Team 2],FQ$3)</f>
        <v>0</v>
      </c>
      <c r="FR13" s="56">
        <f>SUMIFS(tblActuals354151923[Team 2 Goals],tblActuals354151923[Team 2],$CU13,tblActuals354151923[Team 1],FR$3)+SUMIFS(tblActuals354151923[Team 1 Goals],tblActuals354151923[Team 1],$CU13,tblActuals354151923[Team 2],FR$3)</f>
        <v>0</v>
      </c>
      <c r="FS13" s="56">
        <f>SUMIFS(tblActuals354151923[Team 2 Goals],tblActuals354151923[Team 2],$CU13,tblActuals354151923[Team 1],FS$3)+SUMIFS(tblActuals354151923[Team 1 Goals],tblActuals354151923[Team 1],$CU13,tblActuals354151923[Team 2],FS$3)</f>
        <v>0</v>
      </c>
      <c r="FT13" s="56">
        <f>SUMIFS(tblActuals354151923[Team 2 Goals],tblActuals354151923[Team 2],$CU13,tblActuals354151923[Team 1],FT$3)+SUMIFS(tblActuals354151923[Team 1 Goals],tblActuals354151923[Team 1],$CU13,tblActuals354151923[Team 2],FT$3)</f>
        <v>0</v>
      </c>
      <c r="FU13" s="56">
        <f>SUMIFS(tblActuals354151923[Team 2 Goals],tblActuals354151923[Team 2],$CU13,tblActuals354151923[Team 1],FU$3)+SUMIFS(tblActuals354151923[Team 1 Goals],tblActuals354151923[Team 1],$CU13,tblActuals354151923[Team 2],FU$3)</f>
        <v>0</v>
      </c>
      <c r="FV13" s="56">
        <f>SUMIFS(tblActuals354151923[Team 2 Goals],tblActuals354151923[Team 2],$CU13,tblActuals354151923[Team 1],FV$3)+SUMIFS(tblActuals354151923[Team 1 Goals],tblActuals354151923[Team 1],$CU13,tblActuals354151923[Team 2],FV$3)</f>
        <v>0</v>
      </c>
      <c r="FW13" s="56">
        <f>SUMIFS(tblActuals354151923[Team 2 Goals],tblActuals354151923[Team 2],$CU13,tblActuals354151923[Team 1],FW$3)+SUMIFS(tblActuals354151923[Team 1 Goals],tblActuals354151923[Team 1],$CU13,tblActuals354151923[Team 2],FW$3)</f>
        <v>0</v>
      </c>
      <c r="FX13" s="56">
        <f>SUMIFS(tblActuals354151923[Team 2 Goals],tblActuals354151923[Team 2],$CU13,tblActuals354151923[Team 1],FX$3)+SUMIFS(tblActuals354151923[Team 1 Goals],tblActuals354151923[Team 1],$CU13,tblActuals354151923[Team 2],FX$3)</f>
        <v>0</v>
      </c>
      <c r="FY13" s="56">
        <f>SUMIFS(tblActuals354151923[Team 2 Goals],tblActuals354151923[Team 2],$CU13,tblActuals354151923[Team 1],FY$3)+SUMIFS(tblActuals354151923[Team 1 Goals],tblActuals354151923[Team 1],$CU13,tblActuals354151923[Team 2],FY$3)</f>
        <v>0</v>
      </c>
      <c r="FZ13" s="56">
        <f>SUMIFS(tblActuals354151923[Team 2 Goals],tblActuals354151923[Team 2],$CU13,tblActuals354151923[Team 1],FZ$3)+SUMIFS(tblActuals354151923[Team 1 Goals],tblActuals354151923[Team 1],$CU13,tblActuals354151923[Team 2],FZ$3)</f>
        <v>0</v>
      </c>
      <c r="GA13" s="56">
        <f>SUMIFS(tblActuals354151923[Team 2 Goals],tblActuals354151923[Team 2],$CU13,tblActuals354151923[Team 1],GA$3)+SUMIFS(tblActuals354151923[Team 1 Goals],tblActuals354151923[Team 1],$CU13,tblActuals354151923[Team 2],GA$3)</f>
        <v>0</v>
      </c>
      <c r="GB13" s="56">
        <f>SUMIFS(tblActuals354151923[Team 2 Goals],tblActuals354151923[Team 2],$CU13,tblActuals354151923[Team 1],GB$3)+SUMIFS(tblActuals354151923[Team 1 Goals],tblActuals354151923[Team 1],$CU13,tblActuals354151923[Team 2],GB$3)</f>
        <v>0</v>
      </c>
      <c r="GC13" s="56">
        <f>SUMIFS(tblActuals354151923[Team 2 Goals],tblActuals354151923[Team 2],$CU13,tblActuals354151923[Team 1],GC$3)+SUMIFS(tblActuals354151923[Team 1 Goals],tblActuals354151923[Team 1],$CU13,tblActuals354151923[Team 2],GC$3)</f>
        <v>0</v>
      </c>
      <c r="GD13" s="56">
        <f>SUMIFS(tblActuals354151923[Team 2 Goals],tblActuals354151923[Team 2],$CU13,tblActuals354151923[Team 1],GD$3)+SUMIFS(tblActuals354151923[Team 1 Goals],tblActuals354151923[Team 1],$CU13,tblActuals354151923[Team 2],GD$3)</f>
        <v>0</v>
      </c>
      <c r="GE13" s="56">
        <f>SUMIFS(tblActuals354151923[Team 2 Goals],tblActuals354151923[Team 2],$CU13,tblActuals354151923[Team 1],GE$3)+SUMIFS(tblActuals354151923[Team 1 Goals],tblActuals354151923[Team 1],$CU13,tblActuals354151923[Team 2],GE$3)</f>
        <v>0</v>
      </c>
      <c r="GF13" s="56">
        <f>SUMIFS(tblActuals354151923[Team 2 Goals],tblActuals354151923[Team 2],$CU13,tblActuals354151923[Team 1],GF$3)+SUMIFS(tblActuals354151923[Team 1 Goals],tblActuals354151923[Team 1],$CU13,tblActuals354151923[Team 2],GF$3)</f>
        <v>0</v>
      </c>
      <c r="GG13" s="56">
        <f>SUMIFS(tblActuals354151923[Team 2 Goals],tblActuals354151923[Team 2],$CU13,tblActuals354151923[Team 1],GG$3)+SUMIFS(tblActuals354151923[Team 1 Goals],tblActuals354151923[Team 1],$CU13,tblActuals354151923[Team 2],GG$3)</f>
        <v>0</v>
      </c>
      <c r="GH13" s="56">
        <f>SUMIFS(tblActuals354151923[Team 2 Goals],tblActuals354151923[Team 2],$CU13,tblActuals354151923[Team 1],GH$3)+SUMIFS(tblActuals354151923[Team 1 Goals],tblActuals354151923[Team 1],$CU13,tblActuals354151923[Team 2],GH$3)</f>
        <v>0</v>
      </c>
      <c r="GI13" s="56">
        <f>SUMIFS(tblActuals354151923[Team 2 Goals],tblActuals354151923[Team 2],$CU13,tblActuals354151923[Team 1],GI$3)+SUMIFS(tblActuals354151923[Team 1 Goals],tblActuals354151923[Team 1],$CU13,tblActuals354151923[Team 2],GI$3)</f>
        <v>0</v>
      </c>
      <c r="GJ13" s="57"/>
      <c r="GK13" s="57"/>
      <c r="GL13" s="37"/>
      <c r="GM13" s="37"/>
      <c r="GN13" s="37"/>
      <c r="GO13" s="37"/>
      <c r="GP13" s="37"/>
      <c r="GQ13" s="37"/>
      <c r="GR13" s="75"/>
      <c r="GS13" s="156"/>
      <c r="GT13" s="156"/>
      <c r="GU13" s="75"/>
      <c r="GV13" s="75"/>
      <c r="GW13" s="75"/>
      <c r="GX13" s="75"/>
      <c r="GY13" s="75"/>
      <c r="GZ13" s="75"/>
      <c r="HB13" s="4" t="str">
        <f t="shared" si="12"/>
        <v>ACEF</v>
      </c>
      <c r="HC13" s="44" t="s">
        <v>1</v>
      </c>
      <c r="HD13" s="45"/>
      <c r="HE13" s="44" t="s">
        <v>6</v>
      </c>
      <c r="HF13" s="45"/>
      <c r="HG13" s="44" t="s">
        <v>12</v>
      </c>
      <c r="HH13" s="44" t="s">
        <v>45</v>
      </c>
      <c r="HI13" s="178"/>
      <c r="HJ13" s="45" t="s">
        <v>153</v>
      </c>
      <c r="HK13" s="45" t="s">
        <v>154</v>
      </c>
      <c r="HL13" s="45" t="s">
        <v>152</v>
      </c>
      <c r="HM13" s="45" t="s">
        <v>149</v>
      </c>
    </row>
    <row r="14" spans="1:221" s="11" customFormat="1" ht="30" customHeight="1" x14ac:dyDescent="0.2">
      <c r="A14" s="20"/>
      <c r="B14" s="122">
        <v>11</v>
      </c>
      <c r="C14" s="122" t="s">
        <v>45</v>
      </c>
      <c r="D14" s="123">
        <v>45461</v>
      </c>
      <c r="E14" s="122" t="s">
        <v>81</v>
      </c>
      <c r="F14" s="124">
        <v>0.75</v>
      </c>
      <c r="G14" s="125">
        <f t="shared" si="11"/>
        <v>45461.5</v>
      </c>
      <c r="H14" s="122" t="s">
        <v>99</v>
      </c>
      <c r="I14" s="126"/>
      <c r="J14" s="118"/>
      <c r="K14" s="118"/>
      <c r="L14" s="174">
        <f>IF(I14="",0,IFERROR(IF(SCORING.RULES!$C$8="No",1,((VLOOKUP($B14,ACTUALS!$B$4:$L$100,7,FALSE)=$H14)+(VLOOKUP($B14,ACTUALS!$B$4:$L$100,7,FALSE)=S14)))*(M14+N14+O14+P14+Q14),0))+$R14</f>
        <v>0</v>
      </c>
      <c r="M14" s="168">
        <f>IFERROR(IF($B14="","",IF(U14=INDEX(ACTUALS!$AA$4:$AA$100,MATCH($B14,ACTUALS!$B$4:$B$100,0),1),CorrectScore,0)),0)</f>
        <v>0</v>
      </c>
      <c r="N14" s="157" t="str">
        <f>IFERROR(IF(I14="","",IF(INDEX(ACTUALS!$AB$4:$AB$100,MATCH($B14,ACTUALS!$B$4:$B$100,0),1)=(AB14+AC14+AH14+AI14),CorrectNumberofGoals,0)),0)</f>
        <v/>
      </c>
      <c r="O14" s="157"/>
      <c r="P14" s="157">
        <f>IFERROR(IF(B14="","",IF(INDEX(ACTUALS!$L$4:$L$100,MATCH($B14,ACTUALS!$B$4:$B$100,0),1)=W14,CorrectResult,0)),0)</f>
        <v>3</v>
      </c>
      <c r="Q14" s="157"/>
      <c r="R14" s="157"/>
      <c r="S14" s="157" t="str">
        <f t="shared" si="0"/>
        <v/>
      </c>
      <c r="T14" s="157"/>
      <c r="U14" s="157" t="str">
        <f t="shared" si="1"/>
        <v/>
      </c>
      <c r="V14" s="157" t="str">
        <f t="shared" si="2"/>
        <v/>
      </c>
      <c r="W14" s="119" t="str">
        <f>IF(tblActuals354151923[[#This Row],[SCORE]]="","",IF(AB14=AC14,"Draw",IF(AB14&gt;AC14,X14,Y14)))</f>
        <v/>
      </c>
      <c r="X14" s="120" t="str">
        <f>IF(tblActuals354151923[[#This Row],[TEAMS]]="","",LEFT(H14,FIND(" -",H14,1)-1))</f>
        <v>Turkey</v>
      </c>
      <c r="Y14" s="120" t="str">
        <f>IF(tblActuals354151923[[#This Row],[TEAMS]]="","",MID(H14,FIND("-",H14,1)+2,LEN(H14)-FIND("-",H14,1)+2))</f>
        <v>Georgia</v>
      </c>
      <c r="Z14" s="120" t="str">
        <f>IF(tblActuals354151923[[#This Row],[Team 1 Goals]]&gt;tblActuals354151923[[#This Row],[Team 2 Goals]],tblActuals354151923[[#This Row],[Team 1]],IF(tblActuals354151923[[#This Row],[Team 2 Goals]]&gt;tblActuals354151923[[#This Row],[Team 1 Goals]],tblActuals354151923[[#This Row],[Team 2]],""))</f>
        <v/>
      </c>
      <c r="AA14" s="120" t="str">
        <f>IF(tblActuals354151923[[#This Row],[Winner]]=tblActuals354151923[[#This Row],[Team 1]],tblActuals354151923[[#This Row],[Team 2]],IF(tblActuals354151923[[#This Row],[Winner]]=tblActuals354151923[[#This Row],[Team 2]],tblActuals354151923[[#This Row],[Team 1]],""))</f>
        <v/>
      </c>
      <c r="AB14" s="120" t="str">
        <f>IF(tblActuals354151923[[#This Row],[SCORE]]="","",LEFT(I14,FIND(":",I14,1)-1)*1)</f>
        <v/>
      </c>
      <c r="AC14" s="120" t="str">
        <f>IF(tblActuals354151923[[#This Row],[SCORE]]="","",MID(I14,FIND(":",I14,1)+1,LEN(I14)-FIND(":",I14,1)+1)*1)</f>
        <v/>
      </c>
      <c r="AD14" s="120" t="str">
        <f>IF(OR(tblActuals354151923[[#This Row],[Team 1 Goals]]="",tblActuals354151923[[#This Row],[Team 2 Goals]]=""),"",tblActuals354151923[[#This Row],[Team 1 Goals]]-tblActuals354151923[[#This Row],[Team 2 Goals]])</f>
        <v/>
      </c>
      <c r="AE14" s="120" t="str">
        <f>IF(OR(tblActuals354151923[[#This Row],[Team 1 Goals]]="",tblActuals354151923[[#This Row],[Team 2 Goals]]=""),"",tblActuals354151923[[#This Row],[Team 2 Goals]]-tblActuals354151923[[#This Row],[Team 1 Goals]])</f>
        <v/>
      </c>
      <c r="AF14" s="120" t="str">
        <f>IF(tblActuals354151923[[#This Row],[SCORE]]="","",IF(tblActuals354151923[[#This Row],[WINNER / RESULT]]="Draw",1,IF(tblActuals354151923[[#This Row],[WINNER / RESULT]]=tblActuals354151923[[#This Row],[Team 1]],3,0)))</f>
        <v/>
      </c>
      <c r="AG14" s="120" t="str">
        <f>IF(tblActuals354151923[[#This Row],[SCORE]]="","",IF(tblActuals354151923[[#This Row],[WINNER / RESULT]]="Draw",1,IF(tblActuals354151923[[#This Row],[WINNER / RESULT]]=tblActuals354151923[[#This Row],[Team 2]],3,0)))</f>
        <v/>
      </c>
      <c r="AH14" s="121"/>
      <c r="AI14" s="121"/>
      <c r="AJ14" s="121"/>
      <c r="AK14" s="121"/>
      <c r="AL14" s="120" t="e">
        <f>tblActuals354151923[[#This Row],[Team 1 Goals]]+tblActuals354151923[[#This Row],[Team 1 ET Goals]]&amp;":"&amp;tblActuals354151923[[#This Row],[Team 2 Goals]]+tblActuals354151923[[#This Row],[Team 2 ET Goals]]</f>
        <v>#VALUE!</v>
      </c>
      <c r="AM14" s="120" t="e">
        <f>+tblActuals354151923[[#This Row],[Team 1 Goals]]+tblActuals354151923[[#This Row],[Team 2 Goals]]</f>
        <v>#VALUE!</v>
      </c>
      <c r="AN14" s="161">
        <f t="shared" si="3"/>
        <v>45461</v>
      </c>
      <c r="AP14" s="38" t="s">
        <v>83</v>
      </c>
      <c r="AT14" s="77" t="s">
        <v>5</v>
      </c>
      <c r="AU14" s="142">
        <v>3</v>
      </c>
      <c r="AV14" s="143" t="str">
        <f ca="1">IFERROR(INDEX(BD:BD,MATCH("3"&amp;AT14,BN:BN,0),1),"")</f>
        <v>Italy</v>
      </c>
      <c r="AW14" s="143" t="str">
        <f ca="1">IF(AV14="","",VLOOKUP(AV14,BD:BI,2,FALSE)&amp;"-"&amp;VLOOKUP(AV14,BD:BI,3,FALSE)&amp;"-"&amp;VLOOKUP(AV14,BD:BI,4,FALSE))</f>
        <v>0-0-0</v>
      </c>
      <c r="AX14" s="143">
        <f ca="1">IF(AV14="","",VLOOKUP(AV14,BD:BK,8,FALSE))</f>
        <v>0</v>
      </c>
      <c r="AY14" s="144">
        <f ca="1">IF(AV14="","",VLOOKUP(AV14,BD:BN,5,FALSE))</f>
        <v>0</v>
      </c>
      <c r="AZ14" s="75" t="str">
        <f ca="1">IF(INDEX($AU$43:$AU$48,MATCH(AV14,$AV$43:$AV$48,0),1)&lt;=4,"X","")</f>
        <v/>
      </c>
      <c r="BA14" s="4"/>
      <c r="BB14" s="4"/>
      <c r="BC14" s="4" t="s">
        <v>6</v>
      </c>
      <c r="BD14" s="4" t="s">
        <v>25</v>
      </c>
      <c r="BE14" s="4">
        <f>COUNTIF(tblActuals354151923[Winner],BD14)</f>
        <v>0</v>
      </c>
      <c r="BF14" s="4">
        <f>COUNTIFS(tblActuals354151923[Team 2],BD14,tblActuals354151923[WINNER / RESULT],"Draw")+COUNTIFS(tblActuals354151923[Team 1],BD14,tblActuals354151923[WINNER / RESULT],"Draw")</f>
        <v>0</v>
      </c>
      <c r="BG14" s="4">
        <f>COUNTIF(tblActuals354151923[Loser],BD14)</f>
        <v>0</v>
      </c>
      <c r="BH14" s="4">
        <f>BF14+(3*BE14)</f>
        <v>0</v>
      </c>
      <c r="BI14" s="4">
        <f>SUMIFS(tblActuals354151923[Team 1 Goals],tblActuals354151923[Team 1],BD14)+SUMIFS(tblActuals354151923[Team 2 Goals],tblActuals354151923[Team 2],BD14)</f>
        <v>0</v>
      </c>
      <c r="BJ14" s="4">
        <f>SUMIFS(tblActuals354151923[Team 2 Goals],tblActuals354151923[Team 1],BD14)+SUMIFS(tblActuals354151923[Team 1 Goals],tblActuals354151923[Team 2],BD14)</f>
        <v>0</v>
      </c>
      <c r="BK14" s="4">
        <f>BI14-BJ14</f>
        <v>0</v>
      </c>
      <c r="BL14" s="4">
        <f ca="1">RANK(BY14,$BY$14:$BY$17,1)</f>
        <v>1</v>
      </c>
      <c r="BM14" s="4" t="str">
        <f t="shared" si="4"/>
        <v/>
      </c>
      <c r="BN14" s="4" t="str">
        <f ca="1">IF(BM14="",BL14&amp;BC14,BM14&amp;BC14)</f>
        <v>1C</v>
      </c>
      <c r="BO14" s="4">
        <f>RANK(BH14,$BH$14:$BH$17,0)</f>
        <v>1</v>
      </c>
      <c r="BP14" s="4" cm="1">
        <f t="array" aca="1" ref="BP14" ca="1">SUMPRODUCT((OFFSET($CV$3:$EA$3,MATCH($BD14,$CU$4:$CU$35,0),0))*((IF($BO16=$BO14,$CV$3:$EA$3=$BD16,0))+(IF($BO17=$BO14,$CV$3:$EA$3=$BD17,0))+(IF($BO15=$BO14,$CV$3:$EA$3=$BD15,0))))</f>
        <v>0</v>
      </c>
      <c r="BQ14" s="4" cm="1">
        <f t="array" aca="1" ref="BQ14" ca="1">SUMPRODUCT((OFFSET($ED$3:$FI$3,MATCH($BD14,$EC$4:$EC$35,0),0))*((IF($BO16=$BO14,$ED$3:$FI$3=$BD16,0))+(IF($BO17=$BO14,$ED$3:$FI$3=$BD17,0))+(IF($BO15=$BO14,$ED$3:$FI$3=$BD15,0))))</f>
        <v>0</v>
      </c>
      <c r="BR14" s="4" cm="1">
        <f t="array" aca="1" ref="BR14" ca="1">SUMPRODUCT((OFFSET($FL$3:$GQ$3,MATCH($BD14,$FK$4:$FK$35,0),0))*((IF($BO16=$BO14,$FL$3:$GQ$3=$BD16,0))+(IF($BO17=$BO14,$FL$3:$GQ$3=$BD17,0))+(IF($BO15=$BO14,$FL$3:$GQ$3=$BD15,0))))</f>
        <v>0</v>
      </c>
      <c r="BS14" s="4" cm="1">
        <f t="array" aca="1" ref="BS14" ca="1">SUMPRODUCT((OFFSET($CV$3:$EA$3,MATCH($BD14,$CU$4:$CU$35,0),0))*((IF($BO16&lt;&gt;$BO14,$CV$3:$EA$3=$BD16,0))+(IF($BO17&lt;&gt;$BO14,$CV$3:$EA$3=$BD17,0))+(IF($BO15&lt;&gt;$BO14,$CV$3:$EA$3=$BD15,0))))</f>
        <v>0</v>
      </c>
      <c r="BT14" s="4" cm="1">
        <f t="array" aca="1" ref="BT14" ca="1">SUMPRODUCT((OFFSET($ED$3:$FI$3,MATCH($BD14,$EC$4:$EC$35,0),0))*((IF($BO16&lt;&gt;$BO14,$ED$3:$FI$3=$BD16,0))+(IF($BO17&lt;&gt;$BO14,$ED$3:$FI$3=$BD17,0))+(IF($BO15&lt;&gt;$BO14,$ED$3:$FI$3=$BD15,0))))</f>
        <v>0</v>
      </c>
      <c r="BU14" s="4" cm="1">
        <f t="array" aca="1" ref="BU14" ca="1">SUMPRODUCT((OFFSET($FL$3:$GQ$3,MATCH($BD14,$FK$4:$FK$35,0),0))*((IF($BO16&lt;&gt;$BO14,$FL$3:$GQ$3=$BD16,0))+(IF($BO17&lt;&gt;$BO14,$FL$3:$GQ$3=$BD17,0))+(IF($BO15&lt;&gt;$BO14,$FL$3:$GQ$3=$BD15,0))))</f>
        <v>0</v>
      </c>
      <c r="BV14" s="4">
        <f>BK14</f>
        <v>0</v>
      </c>
      <c r="BW14" s="4">
        <f>BI14</f>
        <v>0</v>
      </c>
      <c r="BX14" s="4">
        <f ca="1">(BP14/10)+(BQ14/100)+(BR14/1000)+(BT14/10000)+(BU14/100000)+(BV14/1000000)+(BW14/10000000)+(ROW(BS17)/100000000)</f>
        <v>1.6999999999999999E-7</v>
      </c>
      <c r="BY14" s="4">
        <f ca="1">+BO14-BX14</f>
        <v>0.99999983000000003</v>
      </c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U14" s="4" t="s">
        <v>34</v>
      </c>
      <c r="CV14" s="56">
        <f>SUMIFS(tblActuals354151923[Team 2 Points],tblActuals354151923[Team 2],$CU14,tblActuals354151923[Team 1],CV$3)+SUMIFS(tblActuals354151923[Team 1 Points],tblActuals354151923[Team 1],$CU14,tblActuals354151923[Team 2],CV$3)</f>
        <v>0</v>
      </c>
      <c r="CW14" s="56">
        <f>SUMIFS(tblActuals354151923[Team 2 Points],tblActuals354151923[Team 2],$CU14,tblActuals354151923[Team 1],CW$3)+SUMIFS(tblActuals354151923[Team 1 Points],tblActuals354151923[Team 1],$CU14,tblActuals354151923[Team 2],CW$3)</f>
        <v>0</v>
      </c>
      <c r="CX14" s="56">
        <f>SUMIFS(tblActuals354151923[Team 2 Points],tblActuals354151923[Team 2],$CU14,tblActuals354151923[Team 1],CX$3)+SUMIFS(tblActuals354151923[Team 1 Points],tblActuals354151923[Team 1],$CU14,tblActuals354151923[Team 2],CX$3)</f>
        <v>0</v>
      </c>
      <c r="CY14" s="56">
        <f>SUMIFS(tblActuals354151923[Team 2 Points],tblActuals354151923[Team 2],$CU14,tblActuals354151923[Team 1],CY$3)+SUMIFS(tblActuals354151923[Team 1 Points],tblActuals354151923[Team 1],$CU14,tblActuals354151923[Team 2],CY$3)</f>
        <v>0</v>
      </c>
      <c r="CZ14" s="56">
        <f>SUMIFS(tblActuals354151923[Team 2 Points],tblActuals354151923[Team 2],$CU14,tblActuals354151923[Team 1],CZ$3)+SUMIFS(tblActuals354151923[Team 1 Points],tblActuals354151923[Team 1],$CU14,tblActuals354151923[Team 2],CZ$3)</f>
        <v>0</v>
      </c>
      <c r="DA14" s="56">
        <f>SUMIFS(tblActuals354151923[Team 2 Points],tblActuals354151923[Team 2],$CU14,tblActuals354151923[Team 1],DA$3)+SUMIFS(tblActuals354151923[Team 1 Points],tblActuals354151923[Team 1],$CU14,tblActuals354151923[Team 2],DA$3)</f>
        <v>0</v>
      </c>
      <c r="DB14" s="56">
        <f>SUMIFS(tblActuals354151923[Team 2 Points],tblActuals354151923[Team 2],$CU14,tblActuals354151923[Team 1],DB$3)+SUMIFS(tblActuals354151923[Team 1 Points],tblActuals354151923[Team 1],$CU14,tblActuals354151923[Team 2],DB$3)</f>
        <v>0</v>
      </c>
      <c r="DC14" s="56">
        <f>SUMIFS(tblActuals354151923[Team 2 Points],tblActuals354151923[Team 2],$CU14,tblActuals354151923[Team 1],DC$3)+SUMIFS(tblActuals354151923[Team 1 Points],tblActuals354151923[Team 1],$CU14,tblActuals354151923[Team 2],DC$3)</f>
        <v>0</v>
      </c>
      <c r="DD14" s="56">
        <f>SUMIFS(tblActuals354151923[Team 2 Points],tblActuals354151923[Team 2],$CU14,tblActuals354151923[Team 1],DD$3)+SUMIFS(tblActuals354151923[Team 1 Points],tblActuals354151923[Team 1],$CU14,tblActuals354151923[Team 2],DD$3)</f>
        <v>0</v>
      </c>
      <c r="DE14" s="56">
        <f>SUMIFS(tblActuals354151923[Team 2 Points],tblActuals354151923[Team 2],$CU14,tblActuals354151923[Team 1],DE$3)+SUMIFS(tblActuals354151923[Team 1 Points],tblActuals354151923[Team 1],$CU14,tblActuals354151923[Team 2],DE$3)</f>
        <v>0</v>
      </c>
      <c r="DF14" s="56">
        <f>SUMIFS(tblActuals354151923[Team 2 Points],tblActuals354151923[Team 2],$CU14,tblActuals354151923[Team 1],DF$3)+SUMIFS(tblActuals354151923[Team 1 Points],tblActuals354151923[Team 1],$CU14,tblActuals354151923[Team 2],DF$3)</f>
        <v>0</v>
      </c>
      <c r="DG14" s="56">
        <f>SUMIFS(tblActuals354151923[Team 2 Points],tblActuals354151923[Team 2],$CU14,tblActuals354151923[Team 1],DG$3)+SUMIFS(tblActuals354151923[Team 1 Points],tblActuals354151923[Team 1],$CU14,tblActuals354151923[Team 2],DG$3)</f>
        <v>0</v>
      </c>
      <c r="DH14" s="56">
        <f>SUMIFS(tblActuals354151923[Team 2 Points],tblActuals354151923[Team 2],$CU14,tblActuals354151923[Team 1],DH$3)+SUMIFS(tblActuals354151923[Team 1 Points],tblActuals354151923[Team 1],$CU14,tblActuals354151923[Team 2],DH$3)</f>
        <v>0</v>
      </c>
      <c r="DI14" s="56">
        <f>SUMIFS(tblActuals354151923[Team 2 Points],tblActuals354151923[Team 2],$CU14,tblActuals354151923[Team 1],DI$3)+SUMIFS(tblActuals354151923[Team 1 Points],tblActuals354151923[Team 1],$CU14,tblActuals354151923[Team 2],DI$3)</f>
        <v>0</v>
      </c>
      <c r="DJ14" s="56">
        <f>SUMIFS(tblActuals354151923[Team 2 Points],tblActuals354151923[Team 2],$CU14,tblActuals354151923[Team 1],DJ$3)+SUMIFS(tblActuals354151923[Team 1 Points],tblActuals354151923[Team 1],$CU14,tblActuals354151923[Team 2],DJ$3)</f>
        <v>0</v>
      </c>
      <c r="DK14" s="56">
        <f>SUMIFS(tblActuals354151923[Team 2 Points],tblActuals354151923[Team 2],$CU14,tblActuals354151923[Team 1],DK$3)+SUMIFS(tblActuals354151923[Team 1 Points],tblActuals354151923[Team 1],$CU14,tblActuals354151923[Team 2],DK$3)</f>
        <v>0</v>
      </c>
      <c r="DL14" s="56">
        <f>SUMIFS(tblActuals354151923[Team 2 Points],tblActuals354151923[Team 2],$CU14,tblActuals354151923[Team 1],DL$3)+SUMIFS(tblActuals354151923[Team 1 Points],tblActuals354151923[Team 1],$CU14,tblActuals354151923[Team 2],DL$3)</f>
        <v>0</v>
      </c>
      <c r="DM14" s="56">
        <f>SUMIFS(tblActuals354151923[Team 2 Points],tblActuals354151923[Team 2],$CU14,tblActuals354151923[Team 1],DM$3)+SUMIFS(tblActuals354151923[Team 1 Points],tblActuals354151923[Team 1],$CU14,tblActuals354151923[Team 2],DM$3)</f>
        <v>0</v>
      </c>
      <c r="DN14" s="56">
        <f>SUMIFS(tblActuals354151923[Team 2 Points],tblActuals354151923[Team 2],$CU14,tblActuals354151923[Team 1],DN$3)+SUMIFS(tblActuals354151923[Team 1 Points],tblActuals354151923[Team 1],$CU14,tblActuals354151923[Team 2],DN$3)</f>
        <v>0</v>
      </c>
      <c r="DO14" s="56">
        <f>SUMIFS(tblActuals354151923[Team 2 Points],tblActuals354151923[Team 2],$CU14,tblActuals354151923[Team 1],DO$3)+SUMIFS(tblActuals354151923[Team 1 Points],tblActuals354151923[Team 1],$CU14,tblActuals354151923[Team 2],DO$3)</f>
        <v>0</v>
      </c>
      <c r="DP14" s="56">
        <f>SUMIFS(tblActuals354151923[Team 2 Points],tblActuals354151923[Team 2],$CU14,tblActuals354151923[Team 1],DP$3)+SUMIFS(tblActuals354151923[Team 1 Points],tblActuals354151923[Team 1],$CU14,tblActuals354151923[Team 2],DP$3)</f>
        <v>0</v>
      </c>
      <c r="DQ14" s="56">
        <f>SUMIFS(tblActuals354151923[Team 2 Points],tblActuals354151923[Team 2],$CU14,tblActuals354151923[Team 1],DQ$3)+SUMIFS(tblActuals354151923[Team 1 Points],tblActuals354151923[Team 1],$CU14,tblActuals354151923[Team 2],DQ$3)</f>
        <v>0</v>
      </c>
      <c r="DR14" s="56">
        <f>SUMIFS(tblActuals354151923[Team 2 Points],tblActuals354151923[Team 2],$CU14,tblActuals354151923[Team 1],DR$3)+SUMIFS(tblActuals354151923[Team 1 Points],tblActuals354151923[Team 1],$CU14,tblActuals354151923[Team 2],DR$3)</f>
        <v>0</v>
      </c>
      <c r="DS14" s="56">
        <f>SUMIFS(tblActuals354151923[Team 2 Points],tblActuals354151923[Team 2],$CU14,tblActuals354151923[Team 1],DS$3)+SUMIFS(tblActuals354151923[Team 1 Points],tblActuals354151923[Team 1],$CU14,tblActuals354151923[Team 2],DS$3)</f>
        <v>0</v>
      </c>
      <c r="DT14" s="57"/>
      <c r="DU14" s="57"/>
      <c r="DV14" s="57"/>
      <c r="DW14" s="57"/>
      <c r="DX14" s="57"/>
      <c r="DY14" s="57"/>
      <c r="DZ14" s="57"/>
      <c r="EA14" s="57"/>
      <c r="EB14" s="4"/>
      <c r="EC14" s="4" t="s">
        <v>34</v>
      </c>
      <c r="ED14" s="56">
        <f>SUMIFS(tblActuals354151923[Team 2 GD],tblActuals354151923[Team 2],$CU14,tblActuals354151923[Team 1],ED$3)+SUMIFS(tblActuals354151923[Team 1 GD],tblActuals354151923[Team 1],$CU14,tblActuals354151923[Team 2],ED$3)</f>
        <v>0</v>
      </c>
      <c r="EE14" s="56">
        <f>SUMIFS(tblActuals354151923[Team 2 GD],tblActuals354151923[Team 2],$CU14,tblActuals354151923[Team 1],EE$3)+SUMIFS(tblActuals354151923[Team 1 GD],tblActuals354151923[Team 1],$CU14,tblActuals354151923[Team 2],EE$3)</f>
        <v>0</v>
      </c>
      <c r="EF14" s="56">
        <f>SUMIFS(tblActuals354151923[Team 2 GD],tblActuals354151923[Team 2],$CU14,tblActuals354151923[Team 1],EF$3)+SUMIFS(tblActuals354151923[Team 1 GD],tblActuals354151923[Team 1],$CU14,tblActuals354151923[Team 2],EF$3)</f>
        <v>0</v>
      </c>
      <c r="EG14" s="56">
        <f>SUMIFS(tblActuals354151923[Team 2 GD],tblActuals354151923[Team 2],$CU14,tblActuals354151923[Team 1],EG$3)+SUMIFS(tblActuals354151923[Team 1 GD],tblActuals354151923[Team 1],$CU14,tblActuals354151923[Team 2],EG$3)</f>
        <v>0</v>
      </c>
      <c r="EH14" s="56">
        <f>SUMIFS(tblActuals354151923[Team 2 GD],tblActuals354151923[Team 2],$CU14,tblActuals354151923[Team 1],EH$3)+SUMIFS(tblActuals354151923[Team 1 GD],tblActuals354151923[Team 1],$CU14,tblActuals354151923[Team 2],EH$3)</f>
        <v>0</v>
      </c>
      <c r="EI14" s="56">
        <f>SUMIFS(tblActuals354151923[Team 2 GD],tblActuals354151923[Team 2],$CU14,tblActuals354151923[Team 1],EI$3)+SUMIFS(tblActuals354151923[Team 1 GD],tblActuals354151923[Team 1],$CU14,tblActuals354151923[Team 2],EI$3)</f>
        <v>0</v>
      </c>
      <c r="EJ14" s="56">
        <f>SUMIFS(tblActuals354151923[Team 2 GD],tblActuals354151923[Team 2],$CU14,tblActuals354151923[Team 1],EJ$3)+SUMIFS(tblActuals354151923[Team 1 GD],tblActuals354151923[Team 1],$CU14,tblActuals354151923[Team 2],EJ$3)</f>
        <v>0</v>
      </c>
      <c r="EK14" s="56">
        <f>SUMIFS(tblActuals354151923[Team 2 GD],tblActuals354151923[Team 2],$CU14,tblActuals354151923[Team 1],EK$3)+SUMIFS(tblActuals354151923[Team 1 GD],tblActuals354151923[Team 1],$CU14,tblActuals354151923[Team 2],EK$3)</f>
        <v>0</v>
      </c>
      <c r="EL14" s="56">
        <f>SUMIFS(tblActuals354151923[Team 2 GD],tblActuals354151923[Team 2],$CU14,tblActuals354151923[Team 1],EL$3)+SUMIFS(tblActuals354151923[Team 1 GD],tblActuals354151923[Team 1],$CU14,tblActuals354151923[Team 2],EL$3)</f>
        <v>0</v>
      </c>
      <c r="EM14" s="56">
        <f>SUMIFS(tblActuals354151923[Team 2 GD],tblActuals354151923[Team 2],$CU14,tblActuals354151923[Team 1],EM$3)+SUMIFS(tblActuals354151923[Team 1 GD],tblActuals354151923[Team 1],$CU14,tblActuals354151923[Team 2],EM$3)</f>
        <v>0</v>
      </c>
      <c r="EN14" s="56">
        <f>SUMIFS(tblActuals354151923[Team 2 GD],tblActuals354151923[Team 2],$CU14,tblActuals354151923[Team 1],EN$3)+SUMIFS(tblActuals354151923[Team 1 GD],tblActuals354151923[Team 1],$CU14,tblActuals354151923[Team 2],EN$3)</f>
        <v>0</v>
      </c>
      <c r="EO14" s="56">
        <f>SUMIFS(tblActuals354151923[Team 2 GD],tblActuals354151923[Team 2],$CU14,tblActuals354151923[Team 1],EO$3)+SUMIFS(tblActuals354151923[Team 1 GD],tblActuals354151923[Team 1],$CU14,tblActuals354151923[Team 2],EO$3)</f>
        <v>0</v>
      </c>
      <c r="EP14" s="56">
        <f>SUMIFS(tblActuals354151923[Team 2 GD],tblActuals354151923[Team 2],$CU14,tblActuals354151923[Team 1],EP$3)+SUMIFS(tblActuals354151923[Team 1 GD],tblActuals354151923[Team 1],$CU14,tblActuals354151923[Team 2],EP$3)</f>
        <v>0</v>
      </c>
      <c r="EQ14" s="56">
        <f>SUMIFS(tblActuals354151923[Team 2 GD],tblActuals354151923[Team 2],$CU14,tblActuals354151923[Team 1],EQ$3)+SUMIFS(tblActuals354151923[Team 1 GD],tblActuals354151923[Team 1],$CU14,tblActuals354151923[Team 2],EQ$3)</f>
        <v>0</v>
      </c>
      <c r="ER14" s="56">
        <f>SUMIFS(tblActuals354151923[Team 2 GD],tblActuals354151923[Team 2],$CU14,tblActuals354151923[Team 1],ER$3)+SUMIFS(tblActuals354151923[Team 1 GD],tblActuals354151923[Team 1],$CU14,tblActuals354151923[Team 2],ER$3)</f>
        <v>0</v>
      </c>
      <c r="ES14" s="56">
        <f>SUMIFS(tblActuals354151923[Team 2 GD],tblActuals354151923[Team 2],$CU14,tblActuals354151923[Team 1],ES$3)+SUMIFS(tblActuals354151923[Team 1 GD],tblActuals354151923[Team 1],$CU14,tblActuals354151923[Team 2],ES$3)</f>
        <v>0</v>
      </c>
      <c r="ET14" s="56">
        <f>SUMIFS(tblActuals354151923[Team 2 GD],tblActuals354151923[Team 2],$CU14,tblActuals354151923[Team 1],ET$3)+SUMIFS(tblActuals354151923[Team 1 GD],tblActuals354151923[Team 1],$CU14,tblActuals354151923[Team 2],ET$3)</f>
        <v>0</v>
      </c>
      <c r="EU14" s="56">
        <f>SUMIFS(tblActuals354151923[Team 2 GD],tblActuals354151923[Team 2],$CU14,tblActuals354151923[Team 1],EU$3)+SUMIFS(tblActuals354151923[Team 1 GD],tblActuals354151923[Team 1],$CU14,tblActuals354151923[Team 2],EU$3)</f>
        <v>0</v>
      </c>
      <c r="EV14" s="56">
        <f>SUMIFS(tblActuals354151923[Team 2 GD],tblActuals354151923[Team 2],$CU14,tblActuals354151923[Team 1],EV$3)+SUMIFS(tblActuals354151923[Team 1 GD],tblActuals354151923[Team 1],$CU14,tblActuals354151923[Team 2],EV$3)</f>
        <v>0</v>
      </c>
      <c r="EW14" s="56">
        <f>SUMIFS(tblActuals354151923[Team 2 GD],tblActuals354151923[Team 2],$CU14,tblActuals354151923[Team 1],EW$3)+SUMIFS(tblActuals354151923[Team 1 GD],tblActuals354151923[Team 1],$CU14,tblActuals354151923[Team 2],EW$3)</f>
        <v>0</v>
      </c>
      <c r="EX14" s="56">
        <f>SUMIFS(tblActuals354151923[Team 2 GD],tblActuals354151923[Team 2],$CU14,tblActuals354151923[Team 1],EX$3)+SUMIFS(tblActuals354151923[Team 1 GD],tblActuals354151923[Team 1],$CU14,tblActuals354151923[Team 2],EX$3)</f>
        <v>0</v>
      </c>
      <c r="EY14" s="56">
        <f>SUMIFS(tblActuals354151923[Team 2 GD],tblActuals354151923[Team 2],$CU14,tblActuals354151923[Team 1],EY$3)+SUMIFS(tblActuals354151923[Team 1 GD],tblActuals354151923[Team 1],$CU14,tblActuals354151923[Team 2],EY$3)</f>
        <v>0</v>
      </c>
      <c r="EZ14" s="56">
        <f>SUMIFS(tblActuals354151923[Team 2 GD],tblActuals354151923[Team 2],$CU14,tblActuals354151923[Team 1],EZ$3)+SUMIFS(tblActuals354151923[Team 1 GD],tblActuals354151923[Team 1],$CU14,tblActuals354151923[Team 2],EZ$3)</f>
        <v>0</v>
      </c>
      <c r="FA14" s="56">
        <f>SUMIFS(tblActuals354151923[Team 2 GD],tblActuals354151923[Team 2],$CU14,tblActuals354151923[Team 1],FA$3)+SUMIFS(tblActuals354151923[Team 1 GD],tblActuals354151923[Team 1],$CU14,tblActuals354151923[Team 2],FA$3)</f>
        <v>0</v>
      </c>
      <c r="FB14" s="57"/>
      <c r="FC14" s="57"/>
      <c r="FD14" s="57"/>
      <c r="FE14" s="57"/>
      <c r="FF14" s="57"/>
      <c r="FG14" s="57"/>
      <c r="FH14" s="57"/>
      <c r="FI14" s="57"/>
      <c r="FJ14" s="4"/>
      <c r="FK14" s="4" t="s">
        <v>34</v>
      </c>
      <c r="FL14" s="56">
        <f>SUMIFS(tblActuals354151923[Team 2 Goals],tblActuals354151923[Team 2],$CU14,tblActuals354151923[Team 1],FL$3)+SUMIFS(tblActuals354151923[Team 1 Goals],tblActuals354151923[Team 1],$CU14,tblActuals354151923[Team 2],FL$3)</f>
        <v>0</v>
      </c>
      <c r="FM14" s="56">
        <f>SUMIFS(tblActuals354151923[Team 2 Goals],tblActuals354151923[Team 2],$CU14,tblActuals354151923[Team 1],FM$3)+SUMIFS(tblActuals354151923[Team 1 Goals],tblActuals354151923[Team 1],$CU14,tblActuals354151923[Team 2],FM$3)</f>
        <v>0</v>
      </c>
      <c r="FN14" s="56">
        <f>SUMIFS(tblActuals354151923[Team 2 Goals],tblActuals354151923[Team 2],$CU14,tblActuals354151923[Team 1],FN$3)+SUMIFS(tblActuals354151923[Team 1 Goals],tblActuals354151923[Team 1],$CU14,tblActuals354151923[Team 2],FN$3)</f>
        <v>0</v>
      </c>
      <c r="FO14" s="56">
        <f>SUMIFS(tblActuals354151923[Team 2 Goals],tblActuals354151923[Team 2],$CU14,tblActuals354151923[Team 1],FO$3)+SUMIFS(tblActuals354151923[Team 1 Goals],tblActuals354151923[Team 1],$CU14,tblActuals354151923[Team 2],FO$3)</f>
        <v>0</v>
      </c>
      <c r="FP14" s="56">
        <f>SUMIFS(tblActuals354151923[Team 2 Goals],tblActuals354151923[Team 2],$CU14,tblActuals354151923[Team 1],FP$3)+SUMIFS(tblActuals354151923[Team 1 Goals],tblActuals354151923[Team 1],$CU14,tblActuals354151923[Team 2],FP$3)</f>
        <v>0</v>
      </c>
      <c r="FQ14" s="56">
        <f>SUMIFS(tblActuals354151923[Team 2 Goals],tblActuals354151923[Team 2],$CU14,tblActuals354151923[Team 1],FQ$3)+SUMIFS(tblActuals354151923[Team 1 Goals],tblActuals354151923[Team 1],$CU14,tblActuals354151923[Team 2],FQ$3)</f>
        <v>0</v>
      </c>
      <c r="FR14" s="56">
        <f>SUMIFS(tblActuals354151923[Team 2 Goals],tblActuals354151923[Team 2],$CU14,tblActuals354151923[Team 1],FR$3)+SUMIFS(tblActuals354151923[Team 1 Goals],tblActuals354151923[Team 1],$CU14,tblActuals354151923[Team 2],FR$3)</f>
        <v>0</v>
      </c>
      <c r="FS14" s="56">
        <f>SUMIFS(tblActuals354151923[Team 2 Goals],tblActuals354151923[Team 2],$CU14,tblActuals354151923[Team 1],FS$3)+SUMIFS(tblActuals354151923[Team 1 Goals],tblActuals354151923[Team 1],$CU14,tblActuals354151923[Team 2],FS$3)</f>
        <v>0</v>
      </c>
      <c r="FT14" s="56">
        <f>SUMIFS(tblActuals354151923[Team 2 Goals],tblActuals354151923[Team 2],$CU14,tblActuals354151923[Team 1],FT$3)+SUMIFS(tblActuals354151923[Team 1 Goals],tblActuals354151923[Team 1],$CU14,tblActuals354151923[Team 2],FT$3)</f>
        <v>0</v>
      </c>
      <c r="FU14" s="56">
        <f>SUMIFS(tblActuals354151923[Team 2 Goals],tblActuals354151923[Team 2],$CU14,tblActuals354151923[Team 1],FU$3)+SUMIFS(tblActuals354151923[Team 1 Goals],tblActuals354151923[Team 1],$CU14,tblActuals354151923[Team 2],FU$3)</f>
        <v>0</v>
      </c>
      <c r="FV14" s="56">
        <f>SUMIFS(tblActuals354151923[Team 2 Goals],tblActuals354151923[Team 2],$CU14,tblActuals354151923[Team 1],FV$3)+SUMIFS(tblActuals354151923[Team 1 Goals],tblActuals354151923[Team 1],$CU14,tblActuals354151923[Team 2],FV$3)</f>
        <v>0</v>
      </c>
      <c r="FW14" s="56">
        <f>SUMIFS(tblActuals354151923[Team 2 Goals],tblActuals354151923[Team 2],$CU14,tblActuals354151923[Team 1],FW$3)+SUMIFS(tblActuals354151923[Team 1 Goals],tblActuals354151923[Team 1],$CU14,tblActuals354151923[Team 2],FW$3)</f>
        <v>0</v>
      </c>
      <c r="FX14" s="56">
        <f>SUMIFS(tblActuals354151923[Team 2 Goals],tblActuals354151923[Team 2],$CU14,tblActuals354151923[Team 1],FX$3)+SUMIFS(tblActuals354151923[Team 1 Goals],tblActuals354151923[Team 1],$CU14,tblActuals354151923[Team 2],FX$3)</f>
        <v>0</v>
      </c>
      <c r="FY14" s="56">
        <f>SUMIFS(tblActuals354151923[Team 2 Goals],tblActuals354151923[Team 2],$CU14,tblActuals354151923[Team 1],FY$3)+SUMIFS(tblActuals354151923[Team 1 Goals],tblActuals354151923[Team 1],$CU14,tblActuals354151923[Team 2],FY$3)</f>
        <v>0</v>
      </c>
      <c r="FZ14" s="56">
        <f>SUMIFS(tblActuals354151923[Team 2 Goals],tblActuals354151923[Team 2],$CU14,tblActuals354151923[Team 1],FZ$3)+SUMIFS(tblActuals354151923[Team 1 Goals],tblActuals354151923[Team 1],$CU14,tblActuals354151923[Team 2],FZ$3)</f>
        <v>0</v>
      </c>
      <c r="GA14" s="56">
        <f>SUMIFS(tblActuals354151923[Team 2 Goals],tblActuals354151923[Team 2],$CU14,tblActuals354151923[Team 1],GA$3)+SUMIFS(tblActuals354151923[Team 1 Goals],tblActuals354151923[Team 1],$CU14,tblActuals354151923[Team 2],GA$3)</f>
        <v>0</v>
      </c>
      <c r="GB14" s="56">
        <f>SUMIFS(tblActuals354151923[Team 2 Goals],tblActuals354151923[Team 2],$CU14,tblActuals354151923[Team 1],GB$3)+SUMIFS(tblActuals354151923[Team 1 Goals],tblActuals354151923[Team 1],$CU14,tblActuals354151923[Team 2],GB$3)</f>
        <v>0</v>
      </c>
      <c r="GC14" s="56">
        <f>SUMIFS(tblActuals354151923[Team 2 Goals],tblActuals354151923[Team 2],$CU14,tblActuals354151923[Team 1],GC$3)+SUMIFS(tblActuals354151923[Team 1 Goals],tblActuals354151923[Team 1],$CU14,tblActuals354151923[Team 2],GC$3)</f>
        <v>0</v>
      </c>
      <c r="GD14" s="56">
        <f>SUMIFS(tblActuals354151923[Team 2 Goals],tblActuals354151923[Team 2],$CU14,tblActuals354151923[Team 1],GD$3)+SUMIFS(tblActuals354151923[Team 1 Goals],tblActuals354151923[Team 1],$CU14,tblActuals354151923[Team 2],GD$3)</f>
        <v>0</v>
      </c>
      <c r="GE14" s="56">
        <f>SUMIFS(tblActuals354151923[Team 2 Goals],tblActuals354151923[Team 2],$CU14,tblActuals354151923[Team 1],GE$3)+SUMIFS(tblActuals354151923[Team 1 Goals],tblActuals354151923[Team 1],$CU14,tblActuals354151923[Team 2],GE$3)</f>
        <v>0</v>
      </c>
      <c r="GF14" s="56">
        <f>SUMIFS(tblActuals354151923[Team 2 Goals],tblActuals354151923[Team 2],$CU14,tblActuals354151923[Team 1],GF$3)+SUMIFS(tblActuals354151923[Team 1 Goals],tblActuals354151923[Team 1],$CU14,tblActuals354151923[Team 2],GF$3)</f>
        <v>0</v>
      </c>
      <c r="GG14" s="56">
        <f>SUMIFS(tblActuals354151923[Team 2 Goals],tblActuals354151923[Team 2],$CU14,tblActuals354151923[Team 1],GG$3)+SUMIFS(tblActuals354151923[Team 1 Goals],tblActuals354151923[Team 1],$CU14,tblActuals354151923[Team 2],GG$3)</f>
        <v>0</v>
      </c>
      <c r="GH14" s="56">
        <f>SUMIFS(tblActuals354151923[Team 2 Goals],tblActuals354151923[Team 2],$CU14,tblActuals354151923[Team 1],GH$3)+SUMIFS(tblActuals354151923[Team 1 Goals],tblActuals354151923[Team 1],$CU14,tblActuals354151923[Team 2],GH$3)</f>
        <v>0</v>
      </c>
      <c r="GI14" s="56">
        <f>SUMIFS(tblActuals354151923[Team 2 Goals],tblActuals354151923[Team 2],$CU14,tblActuals354151923[Team 1],GI$3)+SUMIFS(tblActuals354151923[Team 1 Goals],tblActuals354151923[Team 1],$CU14,tblActuals354151923[Team 2],GI$3)</f>
        <v>0</v>
      </c>
      <c r="GJ14" s="57"/>
      <c r="GK14" s="57"/>
      <c r="GL14" s="37"/>
      <c r="GM14" s="37"/>
      <c r="GN14" s="37"/>
      <c r="GO14" s="37"/>
      <c r="GP14" s="37"/>
      <c r="GQ14" s="37"/>
      <c r="GR14" s="75"/>
      <c r="GS14" s="156"/>
      <c r="GT14" s="156"/>
      <c r="GU14" s="75"/>
      <c r="GV14" s="75"/>
      <c r="GW14" s="75"/>
      <c r="GX14" s="75"/>
      <c r="GY14" s="75"/>
      <c r="GZ14" s="75"/>
      <c r="HB14" s="4" t="str">
        <f t="shared" si="12"/>
        <v>ADEF</v>
      </c>
      <c r="HC14" s="44" t="s">
        <v>1</v>
      </c>
      <c r="HD14" s="45"/>
      <c r="HE14" s="45"/>
      <c r="HF14" s="44" t="s">
        <v>7</v>
      </c>
      <c r="HG14" s="44" t="s">
        <v>12</v>
      </c>
      <c r="HH14" s="44" t="s">
        <v>45</v>
      </c>
      <c r="HI14" s="178"/>
      <c r="HJ14" s="45" t="s">
        <v>153</v>
      </c>
      <c r="HK14" s="45" t="s">
        <v>154</v>
      </c>
      <c r="HL14" s="45" t="s">
        <v>150</v>
      </c>
      <c r="HM14" s="45" t="s">
        <v>149</v>
      </c>
    </row>
    <row r="15" spans="1:221" s="11" customFormat="1" ht="30" customHeight="1" thickBot="1" x14ac:dyDescent="0.3">
      <c r="A15" s="20"/>
      <c r="B15" s="122">
        <v>12</v>
      </c>
      <c r="C15" s="122" t="s">
        <v>45</v>
      </c>
      <c r="D15" s="123">
        <v>45461</v>
      </c>
      <c r="E15" s="122" t="s">
        <v>87</v>
      </c>
      <c r="F15" s="124">
        <v>0.875</v>
      </c>
      <c r="G15" s="125">
        <f t="shared" si="11"/>
        <v>45461.625</v>
      </c>
      <c r="H15" s="122" t="s">
        <v>100</v>
      </c>
      <c r="I15" s="126"/>
      <c r="J15" s="118"/>
      <c r="K15" s="118"/>
      <c r="L15" s="174">
        <f>IF(I15="",0,IFERROR(IF(SCORING.RULES!$C$8="No",1,((VLOOKUP($B15,ACTUALS!$B$4:$L$100,7,FALSE)=$H15)+(VLOOKUP($B15,ACTUALS!$B$4:$L$100,7,FALSE)=S15)))*(M15+N15+O15+P15+Q15),0))+$R15</f>
        <v>0</v>
      </c>
      <c r="M15" s="168">
        <f>IFERROR(IF($B15="","",IF(U15=INDEX(ACTUALS!$AA$4:$AA$100,MATCH($B15,ACTUALS!$B$4:$B$100,0),1),CorrectScore,0)),0)</f>
        <v>0</v>
      </c>
      <c r="N15" s="157" t="str">
        <f>IFERROR(IF(I15="","",IF(INDEX(ACTUALS!$AB$4:$AB$100,MATCH($B15,ACTUALS!$B$4:$B$100,0),1)=(AB15+AC15+AH15+AI15),CorrectNumberofGoals,0)),0)</f>
        <v/>
      </c>
      <c r="O15" s="157"/>
      <c r="P15" s="157">
        <f>IFERROR(IF(B15="","",IF(INDEX(ACTUALS!$L$4:$L$100,MATCH($B15,ACTUALS!$B$4:$B$100,0),1)=W15,CorrectResult,0)),0)</f>
        <v>3</v>
      </c>
      <c r="Q15" s="157"/>
      <c r="R15" s="157"/>
      <c r="S15" s="157" t="str">
        <f t="shared" si="0"/>
        <v/>
      </c>
      <c r="T15" s="157"/>
      <c r="U15" s="157" t="str">
        <f t="shared" si="1"/>
        <v/>
      </c>
      <c r="V15" s="157" t="str">
        <f t="shared" si="2"/>
        <v/>
      </c>
      <c r="W15" s="119" t="str">
        <f>IF(tblActuals354151923[[#This Row],[SCORE]]="","",IF(AB15=AC15,"Draw",IF(AB15&gt;AC15,X15,Y15)))</f>
        <v/>
      </c>
      <c r="X15" s="120" t="str">
        <f>IF(tblActuals354151923[[#This Row],[TEAMS]]="","",LEFT(H15,FIND(" -",H15,1)-1))</f>
        <v>Portugal</v>
      </c>
      <c r="Y15" s="120" t="str">
        <f>IF(tblActuals354151923[[#This Row],[TEAMS]]="","",MID(H15,FIND("-",H15,1)+2,LEN(H15)-FIND("-",H15,1)+2))</f>
        <v>Czechia</v>
      </c>
      <c r="Z15" s="120" t="str">
        <f>IF(tblActuals354151923[[#This Row],[Team 1 Goals]]&gt;tblActuals354151923[[#This Row],[Team 2 Goals]],tblActuals354151923[[#This Row],[Team 1]],IF(tblActuals354151923[[#This Row],[Team 2 Goals]]&gt;tblActuals354151923[[#This Row],[Team 1 Goals]],tblActuals354151923[[#This Row],[Team 2]],""))</f>
        <v/>
      </c>
      <c r="AA15" s="120" t="str">
        <f>IF(tblActuals354151923[[#This Row],[Winner]]=tblActuals354151923[[#This Row],[Team 1]],tblActuals354151923[[#This Row],[Team 2]],IF(tblActuals354151923[[#This Row],[Winner]]=tblActuals354151923[[#This Row],[Team 2]],tblActuals354151923[[#This Row],[Team 1]],""))</f>
        <v/>
      </c>
      <c r="AB15" s="120" t="str">
        <f>IF(tblActuals354151923[[#This Row],[SCORE]]="","",LEFT(I15,FIND(":",I15,1)-1)*1)</f>
        <v/>
      </c>
      <c r="AC15" s="120" t="str">
        <f>IF(tblActuals354151923[[#This Row],[SCORE]]="","",MID(I15,FIND(":",I15,1)+1,LEN(I15)-FIND(":",I15,1)+1)*1)</f>
        <v/>
      </c>
      <c r="AD15" s="120" t="str">
        <f>IF(OR(tblActuals354151923[[#This Row],[Team 1 Goals]]="",tblActuals354151923[[#This Row],[Team 2 Goals]]=""),"",tblActuals354151923[[#This Row],[Team 1 Goals]]-tblActuals354151923[[#This Row],[Team 2 Goals]])</f>
        <v/>
      </c>
      <c r="AE15" s="120" t="str">
        <f>IF(OR(tblActuals354151923[[#This Row],[Team 1 Goals]]="",tblActuals354151923[[#This Row],[Team 2 Goals]]=""),"",tblActuals354151923[[#This Row],[Team 2 Goals]]-tblActuals354151923[[#This Row],[Team 1 Goals]])</f>
        <v/>
      </c>
      <c r="AF15" s="120" t="str">
        <f>IF(tblActuals354151923[[#This Row],[SCORE]]="","",IF(tblActuals354151923[[#This Row],[WINNER / RESULT]]="Draw",1,IF(tblActuals354151923[[#This Row],[WINNER / RESULT]]=tblActuals354151923[[#This Row],[Team 1]],3,0)))</f>
        <v/>
      </c>
      <c r="AG15" s="120" t="str">
        <f>IF(tblActuals354151923[[#This Row],[SCORE]]="","",IF(tblActuals354151923[[#This Row],[WINNER / RESULT]]="Draw",1,IF(tblActuals354151923[[#This Row],[WINNER / RESULT]]=tblActuals354151923[[#This Row],[Team 2]],3,0)))</f>
        <v/>
      </c>
      <c r="AH15" s="121"/>
      <c r="AI15" s="121"/>
      <c r="AJ15" s="121"/>
      <c r="AK15" s="121"/>
      <c r="AL15" s="120" t="e">
        <f>tblActuals354151923[[#This Row],[Team 1 Goals]]+tblActuals354151923[[#This Row],[Team 1 ET Goals]]&amp;":"&amp;tblActuals354151923[[#This Row],[Team 2 Goals]]+tblActuals354151923[[#This Row],[Team 2 ET Goals]]</f>
        <v>#VALUE!</v>
      </c>
      <c r="AM15" s="120" t="e">
        <f>+tblActuals354151923[[#This Row],[Team 1 Goals]]+tblActuals354151923[[#This Row],[Team 2 Goals]]</f>
        <v>#VALUE!</v>
      </c>
      <c r="AN15" s="161">
        <f t="shared" si="3"/>
        <v>45461</v>
      </c>
      <c r="AT15" s="77" t="s">
        <v>5</v>
      </c>
      <c r="AU15" s="145">
        <v>4</v>
      </c>
      <c r="AV15" s="146" t="str">
        <f ca="1">IFERROR(INDEX(BD:BD,MATCH("4"&amp;AT15,BN:BN,0),1),"")</f>
        <v>Spain</v>
      </c>
      <c r="AW15" s="146" t="str">
        <f ca="1">IF(AV15="","",VLOOKUP(AV15,BD:BI,2,FALSE)&amp;"-"&amp;VLOOKUP(AV15,BD:BI,3,FALSE)&amp;"-"&amp;VLOOKUP(AV15,BD:BI,4,FALSE))</f>
        <v>0-0-0</v>
      </c>
      <c r="AX15" s="146">
        <f ca="1">IF(AV15="","",VLOOKUP(AV15,BD:BK,8,FALSE))</f>
        <v>0</v>
      </c>
      <c r="AY15" s="147">
        <f ca="1">IF(AV15="","",VLOOKUP(AV15,BD:BN,5,FALSE))</f>
        <v>0</v>
      </c>
      <c r="AZ15" s="75"/>
      <c r="BA15" s="4"/>
      <c r="BB15" s="4"/>
      <c r="BC15" s="4" t="s">
        <v>6</v>
      </c>
      <c r="BD15" s="4" t="s">
        <v>24</v>
      </c>
      <c r="BE15" s="4">
        <f>COUNTIF(tblActuals354151923[Winner],BD15)</f>
        <v>0</v>
      </c>
      <c r="BF15" s="4">
        <f>COUNTIFS(tblActuals354151923[Team 2],BD15,tblActuals354151923[WINNER / RESULT],"Draw")+COUNTIFS(tblActuals354151923[Team 1],BD15,tblActuals354151923[WINNER / RESULT],"Draw")</f>
        <v>0</v>
      </c>
      <c r="BG15" s="4">
        <f>COUNTIF(tblActuals354151923[Loser],BD15)</f>
        <v>0</v>
      </c>
      <c r="BH15" s="4">
        <f>BF15+(3*BE15)</f>
        <v>0</v>
      </c>
      <c r="BI15" s="4">
        <f>SUMIFS(tblActuals354151923[Team 1 Goals],tblActuals354151923[Team 1],BD15)+SUMIFS(tblActuals354151923[Team 2 Goals],tblActuals354151923[Team 2],BD15)</f>
        <v>0</v>
      </c>
      <c r="BJ15" s="4">
        <f>SUMIFS(tblActuals354151923[Team 2 Goals],tblActuals354151923[Team 1],BD15)+SUMIFS(tblActuals354151923[Team 1 Goals],tblActuals354151923[Team 2],BD15)</f>
        <v>0</v>
      </c>
      <c r="BK15" s="4">
        <f>BI15-BJ15</f>
        <v>0</v>
      </c>
      <c r="BL15" s="4">
        <f ca="1">RANK(BY15,$BY$14:$BY$17,1)</f>
        <v>2</v>
      </c>
      <c r="BM15" s="4" t="str">
        <f t="shared" si="4"/>
        <v/>
      </c>
      <c r="BN15" s="4" t="str">
        <f ca="1">IF(BM15="",BL15&amp;BC15,BM15&amp;BC15)</f>
        <v>2C</v>
      </c>
      <c r="BO15" s="4">
        <f>RANK(BH15,$BH$14:$BH$17,0)</f>
        <v>1</v>
      </c>
      <c r="BP15" s="4" cm="1">
        <f t="array" aca="1" ref="BP15" ca="1">SUMPRODUCT((OFFSET($CV$3:$EA$3,MATCH($BD15,$CU$4:$CU$35,0),0))*((IF($BO16=$BO15,$CV$3:$EA$3=$BD16,0))+(IF($BO17=$BO15,$CV$3:$EA$3=$BD17,0))+(IF($BO14=$BO15,$CV$3:$EA$3=$BD14,0))))</f>
        <v>0</v>
      </c>
      <c r="BQ15" s="4" cm="1">
        <f t="array" aca="1" ref="BQ15" ca="1">SUMPRODUCT((OFFSET($ED$3:$FI$3,MATCH($BD15,$EC$4:$EC$35,0),0))*((IF($BO16=$BO15,$ED$3:$FI$3=$BD16,0))+(IF($BO17=$BO15,$ED$3:$FI$3=$BD17,0))+(IF($BO14=$BO15,$ED$3:$FI$3=$BD14,0))))</f>
        <v>0</v>
      </c>
      <c r="BR15" s="4" cm="1">
        <f t="array" aca="1" ref="BR15" ca="1">SUMPRODUCT((OFFSET($FL$3:$GQ$3,MATCH($BD15,$FK$4:$FK$35,0),0))*((IF($BO16=$BO15,$FL$3:$GQ$3=$BD16,0))+(IF($BO17=$BO15,$FL$3:$GQ$3=$BD17,0))+(IF($BO14=$BO15,$FL$3:$GQ$3=$BD14,0))))</f>
        <v>0</v>
      </c>
      <c r="BS15" s="4" cm="1">
        <f t="array" aca="1" ref="BS15" ca="1">SUMPRODUCT((OFFSET($CV$3:$EA$3,MATCH($BD15,$CU$4:$CU$35,0),0))*((IF($BO16&lt;&gt;$BO15,$CV$3:$EA$3=$BD16,0))+(IF($BO17&lt;&gt;$BO15,$CV$3:$EA$3=$BD17,0))+(IF($BO14&lt;&gt;$BO15,$CV$3:$EA$3=$BD14,0))))</f>
        <v>0</v>
      </c>
      <c r="BT15" s="4" cm="1">
        <f t="array" aca="1" ref="BT15" ca="1">SUMPRODUCT((OFFSET($ED$3:$FI$3,MATCH($BD15,$EC$4:$EC$35,0),0))*((IF($BO16&lt;&gt;$BO15,$ED$3:$FI$3=$BD16,0))+(IF($BO17&lt;&gt;$BO15,$ED$3:$FI$3=$BD17,0))+(IF($BO14&lt;&gt;$BO15,$ED$3:$FI$3=$BD14,0))))</f>
        <v>0</v>
      </c>
      <c r="BU15" s="4" cm="1">
        <f t="array" aca="1" ref="BU15" ca="1">SUMPRODUCT((OFFSET($FL$3:$GQ$3,MATCH($BD15,$FK$4:$FK$35,0),0))*((IF($BO16&lt;&gt;$BO15,$FL$3:$GQ$3=$BD16,0))+(IF($BO17&lt;&gt;$BO15,$FL$3:$GQ$3=$BD17,0))+(IF($BO14&lt;&gt;$BO15,$FL$3:$GQ$3=$BD14,0))))</f>
        <v>0</v>
      </c>
      <c r="BV15" s="4">
        <f>BK15</f>
        <v>0</v>
      </c>
      <c r="BW15" s="4">
        <f>BI15</f>
        <v>0</v>
      </c>
      <c r="BX15" s="4">
        <f ca="1">(BP15/10)+(BQ15/100)+(BR15/1000)+(BT15/10000)+(BU15/100000)+(BV15/1000000)+(BW15/10000000)+(ROW(BS16)/100000000)</f>
        <v>1.6E-7</v>
      </c>
      <c r="BY15" s="4">
        <f ca="1">+BO15-BX15</f>
        <v>0.99999983999999997</v>
      </c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U15" s="4" t="s">
        <v>24</v>
      </c>
      <c r="CV15" s="56">
        <f>SUMIFS(tblActuals354151923[Team 2 Points],tblActuals354151923[Team 2],$CU15,tblActuals354151923[Team 1],CV$3)+SUMIFS(tblActuals354151923[Team 1 Points],tblActuals354151923[Team 1],$CU15,tblActuals354151923[Team 2],CV$3)</f>
        <v>0</v>
      </c>
      <c r="CW15" s="56">
        <f>SUMIFS(tblActuals354151923[Team 2 Points],tblActuals354151923[Team 2],$CU15,tblActuals354151923[Team 1],CW$3)+SUMIFS(tblActuals354151923[Team 1 Points],tblActuals354151923[Team 1],$CU15,tblActuals354151923[Team 2],CW$3)</f>
        <v>0</v>
      </c>
      <c r="CX15" s="56">
        <f>SUMIFS(tblActuals354151923[Team 2 Points],tblActuals354151923[Team 2],$CU15,tblActuals354151923[Team 1],CX$3)+SUMIFS(tblActuals354151923[Team 1 Points],tblActuals354151923[Team 1],$CU15,tblActuals354151923[Team 2],CX$3)</f>
        <v>0</v>
      </c>
      <c r="CY15" s="56">
        <f>SUMIFS(tblActuals354151923[Team 2 Points],tblActuals354151923[Team 2],$CU15,tblActuals354151923[Team 1],CY$3)+SUMIFS(tblActuals354151923[Team 1 Points],tblActuals354151923[Team 1],$CU15,tblActuals354151923[Team 2],CY$3)</f>
        <v>0</v>
      </c>
      <c r="CZ15" s="56">
        <f>SUMIFS(tblActuals354151923[Team 2 Points],tblActuals354151923[Team 2],$CU15,tblActuals354151923[Team 1],CZ$3)+SUMIFS(tblActuals354151923[Team 1 Points],tblActuals354151923[Team 1],$CU15,tblActuals354151923[Team 2],CZ$3)</f>
        <v>0</v>
      </c>
      <c r="DA15" s="56">
        <f>SUMIFS(tblActuals354151923[Team 2 Points],tblActuals354151923[Team 2],$CU15,tblActuals354151923[Team 1],DA$3)+SUMIFS(tblActuals354151923[Team 1 Points],tblActuals354151923[Team 1],$CU15,tblActuals354151923[Team 2],DA$3)</f>
        <v>0</v>
      </c>
      <c r="DB15" s="56">
        <f>SUMIFS(tblActuals354151923[Team 2 Points],tblActuals354151923[Team 2],$CU15,tblActuals354151923[Team 1],DB$3)+SUMIFS(tblActuals354151923[Team 1 Points],tblActuals354151923[Team 1],$CU15,tblActuals354151923[Team 2],DB$3)</f>
        <v>0</v>
      </c>
      <c r="DC15" s="56">
        <f>SUMIFS(tblActuals354151923[Team 2 Points],tblActuals354151923[Team 2],$CU15,tblActuals354151923[Team 1],DC$3)+SUMIFS(tblActuals354151923[Team 1 Points],tblActuals354151923[Team 1],$CU15,tblActuals354151923[Team 2],DC$3)</f>
        <v>0</v>
      </c>
      <c r="DD15" s="56">
        <f>SUMIFS(tblActuals354151923[Team 2 Points],tblActuals354151923[Team 2],$CU15,tblActuals354151923[Team 1],DD$3)+SUMIFS(tblActuals354151923[Team 1 Points],tblActuals354151923[Team 1],$CU15,tblActuals354151923[Team 2],DD$3)</f>
        <v>0</v>
      </c>
      <c r="DE15" s="56">
        <f>SUMIFS(tblActuals354151923[Team 2 Points],tblActuals354151923[Team 2],$CU15,tblActuals354151923[Team 1],DE$3)+SUMIFS(tblActuals354151923[Team 1 Points],tblActuals354151923[Team 1],$CU15,tblActuals354151923[Team 2],DE$3)</f>
        <v>0</v>
      </c>
      <c r="DF15" s="56">
        <f>SUMIFS(tblActuals354151923[Team 2 Points],tblActuals354151923[Team 2],$CU15,tblActuals354151923[Team 1],DF$3)+SUMIFS(tblActuals354151923[Team 1 Points],tblActuals354151923[Team 1],$CU15,tblActuals354151923[Team 2],DF$3)</f>
        <v>0</v>
      </c>
      <c r="DG15" s="56">
        <f>SUMIFS(tblActuals354151923[Team 2 Points],tblActuals354151923[Team 2],$CU15,tblActuals354151923[Team 1],DG$3)+SUMIFS(tblActuals354151923[Team 1 Points],tblActuals354151923[Team 1],$CU15,tblActuals354151923[Team 2],DG$3)</f>
        <v>0</v>
      </c>
      <c r="DH15" s="56">
        <f>SUMIFS(tblActuals354151923[Team 2 Points],tblActuals354151923[Team 2],$CU15,tblActuals354151923[Team 1],DH$3)+SUMIFS(tblActuals354151923[Team 1 Points],tblActuals354151923[Team 1],$CU15,tblActuals354151923[Team 2],DH$3)</f>
        <v>0</v>
      </c>
      <c r="DI15" s="56">
        <f>SUMIFS(tblActuals354151923[Team 2 Points],tblActuals354151923[Team 2],$CU15,tblActuals354151923[Team 1],DI$3)+SUMIFS(tblActuals354151923[Team 1 Points],tblActuals354151923[Team 1],$CU15,tblActuals354151923[Team 2],DI$3)</f>
        <v>0</v>
      </c>
      <c r="DJ15" s="56">
        <f>SUMIFS(tblActuals354151923[Team 2 Points],tblActuals354151923[Team 2],$CU15,tblActuals354151923[Team 1],DJ$3)+SUMIFS(tblActuals354151923[Team 1 Points],tblActuals354151923[Team 1],$CU15,tblActuals354151923[Team 2],DJ$3)</f>
        <v>0</v>
      </c>
      <c r="DK15" s="56">
        <f>SUMIFS(tblActuals354151923[Team 2 Points],tblActuals354151923[Team 2],$CU15,tblActuals354151923[Team 1],DK$3)+SUMIFS(tblActuals354151923[Team 1 Points],tblActuals354151923[Team 1],$CU15,tblActuals354151923[Team 2],DK$3)</f>
        <v>0</v>
      </c>
      <c r="DL15" s="56">
        <f>SUMIFS(tblActuals354151923[Team 2 Points],tblActuals354151923[Team 2],$CU15,tblActuals354151923[Team 1],DL$3)+SUMIFS(tblActuals354151923[Team 1 Points],tblActuals354151923[Team 1],$CU15,tblActuals354151923[Team 2],DL$3)</f>
        <v>0</v>
      </c>
      <c r="DM15" s="56">
        <f>SUMIFS(tblActuals354151923[Team 2 Points],tblActuals354151923[Team 2],$CU15,tblActuals354151923[Team 1],DM$3)+SUMIFS(tblActuals354151923[Team 1 Points],tblActuals354151923[Team 1],$CU15,tblActuals354151923[Team 2],DM$3)</f>
        <v>0</v>
      </c>
      <c r="DN15" s="56">
        <f>SUMIFS(tblActuals354151923[Team 2 Points],tblActuals354151923[Team 2],$CU15,tblActuals354151923[Team 1],DN$3)+SUMIFS(tblActuals354151923[Team 1 Points],tblActuals354151923[Team 1],$CU15,tblActuals354151923[Team 2],DN$3)</f>
        <v>0</v>
      </c>
      <c r="DO15" s="56">
        <f>SUMIFS(tblActuals354151923[Team 2 Points],tblActuals354151923[Team 2],$CU15,tblActuals354151923[Team 1],DO$3)+SUMIFS(tblActuals354151923[Team 1 Points],tblActuals354151923[Team 1],$CU15,tblActuals354151923[Team 2],DO$3)</f>
        <v>0</v>
      </c>
      <c r="DP15" s="56">
        <f>SUMIFS(tblActuals354151923[Team 2 Points],tblActuals354151923[Team 2],$CU15,tblActuals354151923[Team 1],DP$3)+SUMIFS(tblActuals354151923[Team 1 Points],tblActuals354151923[Team 1],$CU15,tblActuals354151923[Team 2],DP$3)</f>
        <v>0</v>
      </c>
      <c r="DQ15" s="56">
        <f>SUMIFS(tblActuals354151923[Team 2 Points],tblActuals354151923[Team 2],$CU15,tblActuals354151923[Team 1],DQ$3)+SUMIFS(tblActuals354151923[Team 1 Points],tblActuals354151923[Team 1],$CU15,tblActuals354151923[Team 2],DQ$3)</f>
        <v>0</v>
      </c>
      <c r="DR15" s="56">
        <f>SUMIFS(tblActuals354151923[Team 2 Points],tblActuals354151923[Team 2],$CU15,tblActuals354151923[Team 1],DR$3)+SUMIFS(tblActuals354151923[Team 1 Points],tblActuals354151923[Team 1],$CU15,tblActuals354151923[Team 2],DR$3)</f>
        <v>0</v>
      </c>
      <c r="DS15" s="56">
        <f>SUMIFS(tblActuals354151923[Team 2 Points],tblActuals354151923[Team 2],$CU15,tblActuals354151923[Team 1],DS$3)+SUMIFS(tblActuals354151923[Team 1 Points],tblActuals354151923[Team 1],$CU15,tblActuals354151923[Team 2],DS$3)</f>
        <v>0</v>
      </c>
      <c r="DT15" s="57"/>
      <c r="DU15" s="57"/>
      <c r="DV15" s="57"/>
      <c r="DW15" s="57"/>
      <c r="DX15" s="57"/>
      <c r="DY15" s="57"/>
      <c r="DZ15" s="57"/>
      <c r="EA15" s="57"/>
      <c r="EB15" s="4"/>
      <c r="EC15" s="4" t="s">
        <v>24</v>
      </c>
      <c r="ED15" s="56">
        <f>SUMIFS(tblActuals354151923[Team 2 GD],tblActuals354151923[Team 2],$CU15,tblActuals354151923[Team 1],ED$3)+SUMIFS(tblActuals354151923[Team 1 GD],tblActuals354151923[Team 1],$CU15,tblActuals354151923[Team 2],ED$3)</f>
        <v>0</v>
      </c>
      <c r="EE15" s="56">
        <f>SUMIFS(tblActuals354151923[Team 2 GD],tblActuals354151923[Team 2],$CU15,tblActuals354151923[Team 1],EE$3)+SUMIFS(tblActuals354151923[Team 1 GD],tblActuals354151923[Team 1],$CU15,tblActuals354151923[Team 2],EE$3)</f>
        <v>0</v>
      </c>
      <c r="EF15" s="56">
        <f>SUMIFS(tblActuals354151923[Team 2 GD],tblActuals354151923[Team 2],$CU15,tblActuals354151923[Team 1],EF$3)+SUMIFS(tblActuals354151923[Team 1 GD],tblActuals354151923[Team 1],$CU15,tblActuals354151923[Team 2],EF$3)</f>
        <v>0</v>
      </c>
      <c r="EG15" s="56">
        <f>SUMIFS(tblActuals354151923[Team 2 GD],tblActuals354151923[Team 2],$CU15,tblActuals354151923[Team 1],EG$3)+SUMIFS(tblActuals354151923[Team 1 GD],tblActuals354151923[Team 1],$CU15,tblActuals354151923[Team 2],EG$3)</f>
        <v>0</v>
      </c>
      <c r="EH15" s="56">
        <f>SUMIFS(tblActuals354151923[Team 2 GD],tblActuals354151923[Team 2],$CU15,tblActuals354151923[Team 1],EH$3)+SUMIFS(tblActuals354151923[Team 1 GD],tblActuals354151923[Team 1],$CU15,tblActuals354151923[Team 2],EH$3)</f>
        <v>0</v>
      </c>
      <c r="EI15" s="56">
        <f>SUMIFS(tblActuals354151923[Team 2 GD],tblActuals354151923[Team 2],$CU15,tblActuals354151923[Team 1],EI$3)+SUMIFS(tblActuals354151923[Team 1 GD],tblActuals354151923[Team 1],$CU15,tblActuals354151923[Team 2],EI$3)</f>
        <v>0</v>
      </c>
      <c r="EJ15" s="56">
        <f>SUMIFS(tblActuals354151923[Team 2 GD],tblActuals354151923[Team 2],$CU15,tblActuals354151923[Team 1],EJ$3)+SUMIFS(tblActuals354151923[Team 1 GD],tblActuals354151923[Team 1],$CU15,tblActuals354151923[Team 2],EJ$3)</f>
        <v>0</v>
      </c>
      <c r="EK15" s="56">
        <f>SUMIFS(tblActuals354151923[Team 2 GD],tblActuals354151923[Team 2],$CU15,tblActuals354151923[Team 1],EK$3)+SUMIFS(tblActuals354151923[Team 1 GD],tblActuals354151923[Team 1],$CU15,tblActuals354151923[Team 2],EK$3)</f>
        <v>0</v>
      </c>
      <c r="EL15" s="56">
        <f>SUMIFS(tblActuals354151923[Team 2 GD],tblActuals354151923[Team 2],$CU15,tblActuals354151923[Team 1],EL$3)+SUMIFS(tblActuals354151923[Team 1 GD],tblActuals354151923[Team 1],$CU15,tblActuals354151923[Team 2],EL$3)</f>
        <v>0</v>
      </c>
      <c r="EM15" s="56">
        <f>SUMIFS(tblActuals354151923[Team 2 GD],tblActuals354151923[Team 2],$CU15,tblActuals354151923[Team 1],EM$3)+SUMIFS(tblActuals354151923[Team 1 GD],tblActuals354151923[Team 1],$CU15,tblActuals354151923[Team 2],EM$3)</f>
        <v>0</v>
      </c>
      <c r="EN15" s="56">
        <f>SUMIFS(tblActuals354151923[Team 2 GD],tblActuals354151923[Team 2],$CU15,tblActuals354151923[Team 1],EN$3)+SUMIFS(tblActuals354151923[Team 1 GD],tblActuals354151923[Team 1],$CU15,tblActuals354151923[Team 2],EN$3)</f>
        <v>0</v>
      </c>
      <c r="EO15" s="56">
        <f>SUMIFS(tblActuals354151923[Team 2 GD],tblActuals354151923[Team 2],$CU15,tblActuals354151923[Team 1],EO$3)+SUMIFS(tblActuals354151923[Team 1 GD],tblActuals354151923[Team 1],$CU15,tblActuals354151923[Team 2],EO$3)</f>
        <v>0</v>
      </c>
      <c r="EP15" s="56">
        <f>SUMIFS(tblActuals354151923[Team 2 GD],tblActuals354151923[Team 2],$CU15,tblActuals354151923[Team 1],EP$3)+SUMIFS(tblActuals354151923[Team 1 GD],tblActuals354151923[Team 1],$CU15,tblActuals354151923[Team 2],EP$3)</f>
        <v>0</v>
      </c>
      <c r="EQ15" s="56">
        <f>SUMIFS(tblActuals354151923[Team 2 GD],tblActuals354151923[Team 2],$CU15,tblActuals354151923[Team 1],EQ$3)+SUMIFS(tblActuals354151923[Team 1 GD],tblActuals354151923[Team 1],$CU15,tblActuals354151923[Team 2],EQ$3)</f>
        <v>0</v>
      </c>
      <c r="ER15" s="56">
        <f>SUMIFS(tblActuals354151923[Team 2 GD],tblActuals354151923[Team 2],$CU15,tblActuals354151923[Team 1],ER$3)+SUMIFS(tblActuals354151923[Team 1 GD],tblActuals354151923[Team 1],$CU15,tblActuals354151923[Team 2],ER$3)</f>
        <v>0</v>
      </c>
      <c r="ES15" s="56">
        <f>SUMIFS(tblActuals354151923[Team 2 GD],tblActuals354151923[Team 2],$CU15,tblActuals354151923[Team 1],ES$3)+SUMIFS(tblActuals354151923[Team 1 GD],tblActuals354151923[Team 1],$CU15,tblActuals354151923[Team 2],ES$3)</f>
        <v>0</v>
      </c>
      <c r="ET15" s="56">
        <f>SUMIFS(tblActuals354151923[Team 2 GD],tblActuals354151923[Team 2],$CU15,tblActuals354151923[Team 1],ET$3)+SUMIFS(tblActuals354151923[Team 1 GD],tblActuals354151923[Team 1],$CU15,tblActuals354151923[Team 2],ET$3)</f>
        <v>0</v>
      </c>
      <c r="EU15" s="56">
        <f>SUMIFS(tblActuals354151923[Team 2 GD],tblActuals354151923[Team 2],$CU15,tblActuals354151923[Team 1],EU$3)+SUMIFS(tblActuals354151923[Team 1 GD],tblActuals354151923[Team 1],$CU15,tblActuals354151923[Team 2],EU$3)</f>
        <v>0</v>
      </c>
      <c r="EV15" s="56">
        <f>SUMIFS(tblActuals354151923[Team 2 GD],tblActuals354151923[Team 2],$CU15,tblActuals354151923[Team 1],EV$3)+SUMIFS(tblActuals354151923[Team 1 GD],tblActuals354151923[Team 1],$CU15,tblActuals354151923[Team 2],EV$3)</f>
        <v>0</v>
      </c>
      <c r="EW15" s="56">
        <f>SUMIFS(tblActuals354151923[Team 2 GD],tblActuals354151923[Team 2],$CU15,tblActuals354151923[Team 1],EW$3)+SUMIFS(tblActuals354151923[Team 1 GD],tblActuals354151923[Team 1],$CU15,tblActuals354151923[Team 2],EW$3)</f>
        <v>0</v>
      </c>
      <c r="EX15" s="56">
        <f>SUMIFS(tblActuals354151923[Team 2 GD],tblActuals354151923[Team 2],$CU15,tblActuals354151923[Team 1],EX$3)+SUMIFS(tblActuals354151923[Team 1 GD],tblActuals354151923[Team 1],$CU15,tblActuals354151923[Team 2],EX$3)</f>
        <v>0</v>
      </c>
      <c r="EY15" s="56">
        <f>SUMIFS(tblActuals354151923[Team 2 GD],tblActuals354151923[Team 2],$CU15,tblActuals354151923[Team 1],EY$3)+SUMIFS(tblActuals354151923[Team 1 GD],tblActuals354151923[Team 1],$CU15,tblActuals354151923[Team 2],EY$3)</f>
        <v>0</v>
      </c>
      <c r="EZ15" s="56">
        <f>SUMIFS(tblActuals354151923[Team 2 GD],tblActuals354151923[Team 2],$CU15,tblActuals354151923[Team 1],EZ$3)+SUMIFS(tblActuals354151923[Team 1 GD],tblActuals354151923[Team 1],$CU15,tblActuals354151923[Team 2],EZ$3)</f>
        <v>0</v>
      </c>
      <c r="FA15" s="56">
        <f>SUMIFS(tblActuals354151923[Team 2 GD],tblActuals354151923[Team 2],$CU15,tblActuals354151923[Team 1],FA$3)+SUMIFS(tblActuals354151923[Team 1 GD],tblActuals354151923[Team 1],$CU15,tblActuals354151923[Team 2],FA$3)</f>
        <v>0</v>
      </c>
      <c r="FB15" s="57"/>
      <c r="FC15" s="57"/>
      <c r="FD15" s="57"/>
      <c r="FE15" s="57"/>
      <c r="FF15" s="57"/>
      <c r="FG15" s="57"/>
      <c r="FH15" s="57"/>
      <c r="FI15" s="57"/>
      <c r="FJ15" s="4"/>
      <c r="FK15" s="4" t="s">
        <v>24</v>
      </c>
      <c r="FL15" s="56">
        <f>SUMIFS(tblActuals354151923[Team 2 Goals],tblActuals354151923[Team 2],$CU15,tblActuals354151923[Team 1],FL$3)+SUMIFS(tblActuals354151923[Team 1 Goals],tblActuals354151923[Team 1],$CU15,tblActuals354151923[Team 2],FL$3)</f>
        <v>0</v>
      </c>
      <c r="FM15" s="56">
        <f>SUMIFS(tblActuals354151923[Team 2 Goals],tblActuals354151923[Team 2],$CU15,tblActuals354151923[Team 1],FM$3)+SUMIFS(tblActuals354151923[Team 1 Goals],tblActuals354151923[Team 1],$CU15,tblActuals354151923[Team 2],FM$3)</f>
        <v>0</v>
      </c>
      <c r="FN15" s="56">
        <f>SUMIFS(tblActuals354151923[Team 2 Goals],tblActuals354151923[Team 2],$CU15,tblActuals354151923[Team 1],FN$3)+SUMIFS(tblActuals354151923[Team 1 Goals],tblActuals354151923[Team 1],$CU15,tblActuals354151923[Team 2],FN$3)</f>
        <v>0</v>
      </c>
      <c r="FO15" s="56">
        <f>SUMIFS(tblActuals354151923[Team 2 Goals],tblActuals354151923[Team 2],$CU15,tblActuals354151923[Team 1],FO$3)+SUMIFS(tblActuals354151923[Team 1 Goals],tblActuals354151923[Team 1],$CU15,tblActuals354151923[Team 2],FO$3)</f>
        <v>0</v>
      </c>
      <c r="FP15" s="56">
        <f>SUMIFS(tblActuals354151923[Team 2 Goals],tblActuals354151923[Team 2],$CU15,tblActuals354151923[Team 1],FP$3)+SUMIFS(tblActuals354151923[Team 1 Goals],tblActuals354151923[Team 1],$CU15,tblActuals354151923[Team 2],FP$3)</f>
        <v>0</v>
      </c>
      <c r="FQ15" s="56">
        <f>SUMIFS(tblActuals354151923[Team 2 Goals],tblActuals354151923[Team 2],$CU15,tblActuals354151923[Team 1],FQ$3)+SUMIFS(tblActuals354151923[Team 1 Goals],tblActuals354151923[Team 1],$CU15,tblActuals354151923[Team 2],FQ$3)</f>
        <v>0</v>
      </c>
      <c r="FR15" s="56">
        <f>SUMIFS(tblActuals354151923[Team 2 Goals],tblActuals354151923[Team 2],$CU15,tblActuals354151923[Team 1],FR$3)+SUMIFS(tblActuals354151923[Team 1 Goals],tblActuals354151923[Team 1],$CU15,tblActuals354151923[Team 2],FR$3)</f>
        <v>0</v>
      </c>
      <c r="FS15" s="56">
        <f>SUMIFS(tblActuals354151923[Team 2 Goals],tblActuals354151923[Team 2],$CU15,tblActuals354151923[Team 1],FS$3)+SUMIFS(tblActuals354151923[Team 1 Goals],tblActuals354151923[Team 1],$CU15,tblActuals354151923[Team 2],FS$3)</f>
        <v>0</v>
      </c>
      <c r="FT15" s="56">
        <f>SUMIFS(tblActuals354151923[Team 2 Goals],tblActuals354151923[Team 2],$CU15,tblActuals354151923[Team 1],FT$3)+SUMIFS(tblActuals354151923[Team 1 Goals],tblActuals354151923[Team 1],$CU15,tblActuals354151923[Team 2],FT$3)</f>
        <v>0</v>
      </c>
      <c r="FU15" s="56">
        <f>SUMIFS(tblActuals354151923[Team 2 Goals],tblActuals354151923[Team 2],$CU15,tblActuals354151923[Team 1],FU$3)+SUMIFS(tblActuals354151923[Team 1 Goals],tblActuals354151923[Team 1],$CU15,tblActuals354151923[Team 2],FU$3)</f>
        <v>0</v>
      </c>
      <c r="FV15" s="56">
        <f>SUMIFS(tblActuals354151923[Team 2 Goals],tblActuals354151923[Team 2],$CU15,tblActuals354151923[Team 1],FV$3)+SUMIFS(tblActuals354151923[Team 1 Goals],tblActuals354151923[Team 1],$CU15,tblActuals354151923[Team 2],FV$3)</f>
        <v>0</v>
      </c>
      <c r="FW15" s="56">
        <f>SUMIFS(tblActuals354151923[Team 2 Goals],tblActuals354151923[Team 2],$CU15,tblActuals354151923[Team 1],FW$3)+SUMIFS(tblActuals354151923[Team 1 Goals],tblActuals354151923[Team 1],$CU15,tblActuals354151923[Team 2],FW$3)</f>
        <v>0</v>
      </c>
      <c r="FX15" s="56">
        <f>SUMIFS(tblActuals354151923[Team 2 Goals],tblActuals354151923[Team 2],$CU15,tblActuals354151923[Team 1],FX$3)+SUMIFS(tblActuals354151923[Team 1 Goals],tblActuals354151923[Team 1],$CU15,tblActuals354151923[Team 2],FX$3)</f>
        <v>0</v>
      </c>
      <c r="FY15" s="56">
        <f>SUMIFS(tblActuals354151923[Team 2 Goals],tblActuals354151923[Team 2],$CU15,tblActuals354151923[Team 1],FY$3)+SUMIFS(tblActuals354151923[Team 1 Goals],tblActuals354151923[Team 1],$CU15,tblActuals354151923[Team 2],FY$3)</f>
        <v>0</v>
      </c>
      <c r="FZ15" s="56">
        <f>SUMIFS(tblActuals354151923[Team 2 Goals],tblActuals354151923[Team 2],$CU15,tblActuals354151923[Team 1],FZ$3)+SUMIFS(tblActuals354151923[Team 1 Goals],tblActuals354151923[Team 1],$CU15,tblActuals354151923[Team 2],FZ$3)</f>
        <v>0</v>
      </c>
      <c r="GA15" s="56">
        <f>SUMIFS(tblActuals354151923[Team 2 Goals],tblActuals354151923[Team 2],$CU15,tblActuals354151923[Team 1],GA$3)+SUMIFS(tblActuals354151923[Team 1 Goals],tblActuals354151923[Team 1],$CU15,tblActuals354151923[Team 2],GA$3)</f>
        <v>0</v>
      </c>
      <c r="GB15" s="56">
        <f>SUMIFS(tblActuals354151923[Team 2 Goals],tblActuals354151923[Team 2],$CU15,tblActuals354151923[Team 1],GB$3)+SUMIFS(tblActuals354151923[Team 1 Goals],tblActuals354151923[Team 1],$CU15,tblActuals354151923[Team 2],GB$3)</f>
        <v>0</v>
      </c>
      <c r="GC15" s="56">
        <f>SUMIFS(tblActuals354151923[Team 2 Goals],tblActuals354151923[Team 2],$CU15,tblActuals354151923[Team 1],GC$3)+SUMIFS(tblActuals354151923[Team 1 Goals],tblActuals354151923[Team 1],$CU15,tblActuals354151923[Team 2],GC$3)</f>
        <v>0</v>
      </c>
      <c r="GD15" s="56">
        <f>SUMIFS(tblActuals354151923[Team 2 Goals],tblActuals354151923[Team 2],$CU15,tblActuals354151923[Team 1],GD$3)+SUMIFS(tblActuals354151923[Team 1 Goals],tblActuals354151923[Team 1],$CU15,tblActuals354151923[Team 2],GD$3)</f>
        <v>0</v>
      </c>
      <c r="GE15" s="56">
        <f>SUMIFS(tblActuals354151923[Team 2 Goals],tblActuals354151923[Team 2],$CU15,tblActuals354151923[Team 1],GE$3)+SUMIFS(tblActuals354151923[Team 1 Goals],tblActuals354151923[Team 1],$CU15,tblActuals354151923[Team 2],GE$3)</f>
        <v>0</v>
      </c>
      <c r="GF15" s="56">
        <f>SUMIFS(tblActuals354151923[Team 2 Goals],tblActuals354151923[Team 2],$CU15,tblActuals354151923[Team 1],GF$3)+SUMIFS(tblActuals354151923[Team 1 Goals],tblActuals354151923[Team 1],$CU15,tblActuals354151923[Team 2],GF$3)</f>
        <v>0</v>
      </c>
      <c r="GG15" s="56">
        <f>SUMIFS(tblActuals354151923[Team 2 Goals],tblActuals354151923[Team 2],$CU15,tblActuals354151923[Team 1],GG$3)+SUMIFS(tblActuals354151923[Team 1 Goals],tblActuals354151923[Team 1],$CU15,tblActuals354151923[Team 2],GG$3)</f>
        <v>0</v>
      </c>
      <c r="GH15" s="56">
        <f>SUMIFS(tblActuals354151923[Team 2 Goals],tblActuals354151923[Team 2],$CU15,tblActuals354151923[Team 1],GH$3)+SUMIFS(tblActuals354151923[Team 1 Goals],tblActuals354151923[Team 1],$CU15,tblActuals354151923[Team 2],GH$3)</f>
        <v>0</v>
      </c>
      <c r="GI15" s="56">
        <f>SUMIFS(tblActuals354151923[Team 2 Goals],tblActuals354151923[Team 2],$CU15,tblActuals354151923[Team 1],GI$3)+SUMIFS(tblActuals354151923[Team 1 Goals],tblActuals354151923[Team 1],$CU15,tblActuals354151923[Team 2],GI$3)</f>
        <v>0</v>
      </c>
      <c r="GJ15" s="57"/>
      <c r="GK15" s="57"/>
      <c r="GL15" s="37"/>
      <c r="GM15" s="37"/>
      <c r="GN15" s="37"/>
      <c r="GO15" s="37"/>
      <c r="GP15" s="37"/>
      <c r="GQ15" s="37"/>
      <c r="GR15" s="75"/>
      <c r="GS15" s="156"/>
      <c r="GT15" s="156"/>
      <c r="GU15" s="75"/>
      <c r="GV15" s="75"/>
      <c r="GW15" s="75"/>
      <c r="GX15" s="75"/>
      <c r="GY15" s="75"/>
      <c r="GZ15" s="75"/>
      <c r="HB15" s="4" t="str">
        <f t="shared" si="12"/>
        <v>BCDE</v>
      </c>
      <c r="HC15" s="45"/>
      <c r="HD15" s="44" t="s">
        <v>5</v>
      </c>
      <c r="HE15" s="44" t="s">
        <v>6</v>
      </c>
      <c r="HF15" s="44" t="s">
        <v>7</v>
      </c>
      <c r="HG15" s="44" t="s">
        <v>12</v>
      </c>
      <c r="HH15" s="45"/>
      <c r="HI15" s="178"/>
      <c r="HJ15" s="45" t="s">
        <v>153</v>
      </c>
      <c r="HK15" s="45" t="s">
        <v>150</v>
      </c>
      <c r="HL15" s="45" t="s">
        <v>151</v>
      </c>
      <c r="HM15" s="45" t="s">
        <v>152</v>
      </c>
    </row>
    <row r="16" spans="1:221" s="11" customFormat="1" ht="30" customHeight="1" thickBot="1" x14ac:dyDescent="0.3">
      <c r="A16" s="20"/>
      <c r="B16" s="122">
        <v>13</v>
      </c>
      <c r="C16" s="122" t="s">
        <v>1</v>
      </c>
      <c r="D16" s="123">
        <v>45462</v>
      </c>
      <c r="E16" s="122" t="s">
        <v>79</v>
      </c>
      <c r="F16" s="124">
        <v>0.875</v>
      </c>
      <c r="G16" s="125">
        <f t="shared" si="11"/>
        <v>45462.625</v>
      </c>
      <c r="H16" s="122" t="s">
        <v>101</v>
      </c>
      <c r="I16" s="126"/>
      <c r="J16" s="118"/>
      <c r="K16" s="118"/>
      <c r="L16" s="174">
        <f>IF(I16="",0,IFERROR(IF(SCORING.RULES!$C$8="No",1,((VLOOKUP($B16,ACTUALS!$B$4:$L$100,7,FALSE)=$H16)+(VLOOKUP($B16,ACTUALS!$B$4:$L$100,7,FALSE)=S16)))*(M16+N16+O16+P16+Q16),0))+$R16</f>
        <v>0</v>
      </c>
      <c r="M16" s="168">
        <f>IFERROR(IF($B16="","",IF(U16=INDEX(ACTUALS!$AA$4:$AA$100,MATCH($B16,ACTUALS!$B$4:$B$100,0),1),CorrectScore,0)),0)</f>
        <v>0</v>
      </c>
      <c r="N16" s="157" t="str">
        <f>IFERROR(IF(I16="","",IF(INDEX(ACTUALS!$AB$4:$AB$100,MATCH($B16,ACTUALS!$B$4:$B$100,0),1)=(AB16+AC16+AH16+AI16),CorrectNumberofGoals,0)),0)</f>
        <v/>
      </c>
      <c r="O16" s="157"/>
      <c r="P16" s="157">
        <f>IFERROR(IF(B16="","",IF(INDEX(ACTUALS!$L$4:$L$100,MATCH($B16,ACTUALS!$B$4:$B$100,0),1)=W16,CorrectResult,0)),0)</f>
        <v>3</v>
      </c>
      <c r="Q16" s="157"/>
      <c r="R16" s="157"/>
      <c r="S16" s="157" t="str">
        <f t="shared" si="0"/>
        <v/>
      </c>
      <c r="T16" s="157"/>
      <c r="U16" s="157" t="str">
        <f t="shared" si="1"/>
        <v/>
      </c>
      <c r="V16" s="157" t="str">
        <f t="shared" si="2"/>
        <v/>
      </c>
      <c r="W16" s="119" t="str">
        <f>IF(tblActuals354151923[[#This Row],[SCORE]]="","",IF(AB16=AC16,"Draw",IF(AB16&gt;AC16,X16,Y16)))</f>
        <v/>
      </c>
      <c r="X16" s="120" t="str">
        <f>IF(tblActuals354151923[[#This Row],[TEAMS]]="","",LEFT(H16,FIND(" -",H16,1)-1))</f>
        <v>Scotland</v>
      </c>
      <c r="Y16" s="120" t="str">
        <f>IF(tblActuals354151923[[#This Row],[TEAMS]]="","",MID(H16,FIND("-",H16,1)+2,LEN(H16)-FIND("-",H16,1)+2))</f>
        <v>Switzerland</v>
      </c>
      <c r="Z16" s="120" t="str">
        <f>IF(tblActuals354151923[[#This Row],[Team 1 Goals]]&gt;tblActuals354151923[[#This Row],[Team 2 Goals]],tblActuals354151923[[#This Row],[Team 1]],IF(tblActuals354151923[[#This Row],[Team 2 Goals]]&gt;tblActuals354151923[[#This Row],[Team 1 Goals]],tblActuals354151923[[#This Row],[Team 2]],""))</f>
        <v/>
      </c>
      <c r="AA16" s="120" t="str">
        <f>IF(tblActuals354151923[[#This Row],[Winner]]=tblActuals354151923[[#This Row],[Team 1]],tblActuals354151923[[#This Row],[Team 2]],IF(tblActuals354151923[[#This Row],[Winner]]=tblActuals354151923[[#This Row],[Team 2]],tblActuals354151923[[#This Row],[Team 1]],""))</f>
        <v/>
      </c>
      <c r="AB16" s="120" t="str">
        <f>IF(tblActuals354151923[[#This Row],[SCORE]]="","",LEFT(I16,FIND(":",I16,1)-1)*1)</f>
        <v/>
      </c>
      <c r="AC16" s="120" t="str">
        <f>IF(tblActuals354151923[[#This Row],[SCORE]]="","",MID(I16,FIND(":",I16,1)+1,LEN(I16)-FIND(":",I16,1)+1)*1)</f>
        <v/>
      </c>
      <c r="AD16" s="120" t="str">
        <f>IF(OR(tblActuals354151923[[#This Row],[Team 1 Goals]]="",tblActuals354151923[[#This Row],[Team 2 Goals]]=""),"",tblActuals354151923[[#This Row],[Team 1 Goals]]-tblActuals354151923[[#This Row],[Team 2 Goals]])</f>
        <v/>
      </c>
      <c r="AE16" s="120" t="str">
        <f>IF(OR(tblActuals354151923[[#This Row],[Team 1 Goals]]="",tblActuals354151923[[#This Row],[Team 2 Goals]]=""),"",tblActuals354151923[[#This Row],[Team 2 Goals]]-tblActuals354151923[[#This Row],[Team 1 Goals]])</f>
        <v/>
      </c>
      <c r="AF16" s="120" t="str">
        <f>IF(tblActuals354151923[[#This Row],[SCORE]]="","",IF(tblActuals354151923[[#This Row],[WINNER / RESULT]]="Draw",1,IF(tblActuals354151923[[#This Row],[WINNER / RESULT]]=tblActuals354151923[[#This Row],[Team 1]],3,0)))</f>
        <v/>
      </c>
      <c r="AG16" s="120" t="str">
        <f>IF(tblActuals354151923[[#This Row],[SCORE]]="","",IF(tblActuals354151923[[#This Row],[WINNER / RESULT]]="Draw",1,IF(tblActuals354151923[[#This Row],[WINNER / RESULT]]=tblActuals354151923[[#This Row],[Team 2]],3,0)))</f>
        <v/>
      </c>
      <c r="AH16" s="121"/>
      <c r="AI16" s="121"/>
      <c r="AJ16" s="121"/>
      <c r="AK16" s="121"/>
      <c r="AL16" s="120" t="e">
        <f>tblActuals354151923[[#This Row],[Team 1 Goals]]+tblActuals354151923[[#This Row],[Team 1 ET Goals]]&amp;":"&amp;tblActuals354151923[[#This Row],[Team 2 Goals]]+tblActuals354151923[[#This Row],[Team 2 ET Goals]]</f>
        <v>#VALUE!</v>
      </c>
      <c r="AM16" s="120" t="e">
        <f>+tblActuals354151923[[#This Row],[Team 1 Goals]]+tblActuals354151923[[#This Row],[Team 2 Goals]]</f>
        <v>#VALUE!</v>
      </c>
      <c r="AN16" s="161">
        <f t="shared" si="3"/>
        <v>45462</v>
      </c>
      <c r="AT16" s="77"/>
      <c r="AU16" s="148"/>
      <c r="AV16" s="148"/>
      <c r="AW16" s="148"/>
      <c r="AX16" s="148"/>
      <c r="AY16" s="148"/>
      <c r="AZ16" s="75"/>
      <c r="BA16" s="4"/>
      <c r="BB16" s="4"/>
      <c r="BC16" s="4" t="s">
        <v>6</v>
      </c>
      <c r="BD16" s="4" t="s">
        <v>34</v>
      </c>
      <c r="BE16" s="4">
        <f>COUNTIF(tblActuals354151923[Winner],BD16)</f>
        <v>0</v>
      </c>
      <c r="BF16" s="4">
        <f>COUNTIFS(tblActuals354151923[Team 2],BD16,tblActuals354151923[WINNER / RESULT],"Draw")+COUNTIFS(tblActuals354151923[Team 1],BD16,tblActuals354151923[WINNER / RESULT],"Draw")</f>
        <v>0</v>
      </c>
      <c r="BG16" s="4">
        <f>COUNTIF(tblActuals354151923[Loser],BD16)</f>
        <v>0</v>
      </c>
      <c r="BH16" s="4">
        <f>BF16+(3*BE16)</f>
        <v>0</v>
      </c>
      <c r="BI16" s="4">
        <f>SUMIFS(tblActuals354151923[Team 1 Goals],tblActuals354151923[Team 1],BD16)+SUMIFS(tblActuals354151923[Team 2 Goals],tblActuals354151923[Team 2],BD16)</f>
        <v>0</v>
      </c>
      <c r="BJ16" s="4">
        <f>SUMIFS(tblActuals354151923[Team 2 Goals],tblActuals354151923[Team 1],BD16)+SUMIFS(tblActuals354151923[Team 1 Goals],tblActuals354151923[Team 2],BD16)</f>
        <v>0</v>
      </c>
      <c r="BK16" s="4">
        <f>BI16-BJ16</f>
        <v>0</v>
      </c>
      <c r="BL16" s="4">
        <f ca="1">RANK(BY16,$BY$14:$BY$17,1)</f>
        <v>3</v>
      </c>
      <c r="BM16" s="4" t="str">
        <f t="shared" si="4"/>
        <v/>
      </c>
      <c r="BN16" s="4" t="str">
        <f ca="1">IF(BM16="",BL16&amp;BC16,BM16&amp;BC16)</f>
        <v>3C</v>
      </c>
      <c r="BO16" s="4">
        <f>RANK(BH16,$BH$14:$BH$17,0)</f>
        <v>1</v>
      </c>
      <c r="BP16" s="4" cm="1">
        <f t="array" aca="1" ref="BP16" ca="1">SUMPRODUCT((OFFSET($CV$3:$EA$3,MATCH($BD16,$CU$4:$CU$35,0),0))*((IF($BO14=$BO16,$CV$3:$EA$3=$BD14,0))+(IF($BO17=$BO16,$CV$3:$EA$3=$BD17,0))+(IF($BO15=$BO16,$CV$3:$EA$3=$BD15,0))))</f>
        <v>0</v>
      </c>
      <c r="BQ16" s="4" cm="1">
        <f t="array" aca="1" ref="BQ16" ca="1">SUMPRODUCT((OFFSET($ED$3:$FI$3,MATCH($BD16,$EC$4:$EC$35,0),0))*((IF($BO14=$BO16,$ED$3:$FI$3=$BD14,0))+(IF($BO17=$BO16,$ED$3:$FI$3=$BD17,0))+(IF($BO15=$BO16,$ED$3:$FI$3=$BD15,0))))</f>
        <v>0</v>
      </c>
      <c r="BR16" s="4" cm="1">
        <f t="array" aca="1" ref="BR16" ca="1">SUMPRODUCT((OFFSET($FL$3:$GQ$3,MATCH($BD16,$FK$4:$FK$35,0),0))*((IF($BO14=$BO16,$FL$3:$GQ$3=$BD14,0))+(IF($BO17=$BO16,$FL$3:$GQ$3=$BD17,0))+(IF($BO15=$BO16,$FL$3:$GQ$3=$BD15,0))))</f>
        <v>0</v>
      </c>
      <c r="BS16" s="4" cm="1">
        <f t="array" aca="1" ref="BS16" ca="1">SUMPRODUCT((OFFSET($CV$3:$EA$3,MATCH($BD16,$CU$4:$CU$35,0),0))*((IF($BO14&lt;&gt;$BO16,$CV$3:$EA$3=$BD14,0))+(IF($BO17&lt;&gt;$BO16,$CV$3:$EA$3=$BD17,0))+(IF($BO15&lt;&gt;$BO16,$CV$3:$EA$3=$BD15,0))))</f>
        <v>0</v>
      </c>
      <c r="BT16" s="4" cm="1">
        <f t="array" aca="1" ref="BT16" ca="1">SUMPRODUCT((OFFSET($ED$3:$FI$3,MATCH($BD16,$EC$4:$EC$35,0),0))*((IF($BO14&lt;&gt;$BO16,$ED$3:$FI$3=$BD14,0))+(IF($BO17&lt;&gt;$BO16,$ED$3:$FI$3=$BD17,0))+(IF($BO15&lt;&gt;$BO16,$ED$3:$FI$3=$BD15,0))))</f>
        <v>0</v>
      </c>
      <c r="BU16" s="4" cm="1">
        <f t="array" aca="1" ref="BU16" ca="1">SUMPRODUCT((OFFSET($FL$3:$GQ$3,MATCH($BD16,$FK$4:$FK$35,0),0))*((IF($BO14&lt;&gt;$BO16,$FL$3:$GQ$3=$BD14,0))+(IF($BO17&lt;&gt;$BO16,$FL$3:$GQ$3=$BD17,0))+(IF($BO15&lt;&gt;$BO16,$FL$3:$GQ$3=$BD15,0))))</f>
        <v>0</v>
      </c>
      <c r="BV16" s="4">
        <f>BK16</f>
        <v>0</v>
      </c>
      <c r="BW16" s="4">
        <f>BI16</f>
        <v>0</v>
      </c>
      <c r="BX16" s="4">
        <f ca="1">(BP16/10)+(BQ16/100)+(BR16/1000)+(BT16/10000)+(BU16/100000)+(BV16/1000000)+(BW16/10000000)+(ROW(BS15)/100000000)</f>
        <v>1.4999999999999999E-7</v>
      </c>
      <c r="BY16" s="4">
        <f ca="1">+BO16-BX16</f>
        <v>0.99999985000000002</v>
      </c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U16" s="4" t="s">
        <v>32</v>
      </c>
      <c r="CV16" s="56">
        <f>SUMIFS(tblActuals354151923[Team 2 Points],tblActuals354151923[Team 2],$CU16,tblActuals354151923[Team 1],CV$3)+SUMIFS(tblActuals354151923[Team 1 Points],tblActuals354151923[Team 1],$CU16,tblActuals354151923[Team 2],CV$3)</f>
        <v>0</v>
      </c>
      <c r="CW16" s="56">
        <f>SUMIFS(tblActuals354151923[Team 2 Points],tblActuals354151923[Team 2],$CU16,tblActuals354151923[Team 1],CW$3)+SUMIFS(tblActuals354151923[Team 1 Points],tblActuals354151923[Team 1],$CU16,tblActuals354151923[Team 2],CW$3)</f>
        <v>0</v>
      </c>
      <c r="CX16" s="56">
        <f>SUMIFS(tblActuals354151923[Team 2 Points],tblActuals354151923[Team 2],$CU16,tblActuals354151923[Team 1],CX$3)+SUMIFS(tblActuals354151923[Team 1 Points],tblActuals354151923[Team 1],$CU16,tblActuals354151923[Team 2],CX$3)</f>
        <v>0</v>
      </c>
      <c r="CY16" s="56">
        <f>SUMIFS(tblActuals354151923[Team 2 Points],tblActuals354151923[Team 2],$CU16,tblActuals354151923[Team 1],CY$3)+SUMIFS(tblActuals354151923[Team 1 Points],tblActuals354151923[Team 1],$CU16,tblActuals354151923[Team 2],CY$3)</f>
        <v>0</v>
      </c>
      <c r="CZ16" s="56">
        <f>SUMIFS(tblActuals354151923[Team 2 Points],tblActuals354151923[Team 2],$CU16,tblActuals354151923[Team 1],CZ$3)+SUMIFS(tblActuals354151923[Team 1 Points],tblActuals354151923[Team 1],$CU16,tblActuals354151923[Team 2],CZ$3)</f>
        <v>0</v>
      </c>
      <c r="DA16" s="56">
        <f>SUMIFS(tblActuals354151923[Team 2 Points],tblActuals354151923[Team 2],$CU16,tblActuals354151923[Team 1],DA$3)+SUMIFS(tblActuals354151923[Team 1 Points],tblActuals354151923[Team 1],$CU16,tblActuals354151923[Team 2],DA$3)</f>
        <v>0</v>
      </c>
      <c r="DB16" s="56">
        <f>SUMIFS(tblActuals354151923[Team 2 Points],tblActuals354151923[Team 2],$CU16,tblActuals354151923[Team 1],DB$3)+SUMIFS(tblActuals354151923[Team 1 Points],tblActuals354151923[Team 1],$CU16,tblActuals354151923[Team 2],DB$3)</f>
        <v>0</v>
      </c>
      <c r="DC16" s="56">
        <f>SUMIFS(tblActuals354151923[Team 2 Points],tblActuals354151923[Team 2],$CU16,tblActuals354151923[Team 1],DC$3)+SUMIFS(tblActuals354151923[Team 1 Points],tblActuals354151923[Team 1],$CU16,tblActuals354151923[Team 2],DC$3)</f>
        <v>0</v>
      </c>
      <c r="DD16" s="56">
        <f>SUMIFS(tblActuals354151923[Team 2 Points],tblActuals354151923[Team 2],$CU16,tblActuals354151923[Team 1],DD$3)+SUMIFS(tblActuals354151923[Team 1 Points],tblActuals354151923[Team 1],$CU16,tblActuals354151923[Team 2],DD$3)</f>
        <v>0</v>
      </c>
      <c r="DE16" s="56">
        <f>SUMIFS(tblActuals354151923[Team 2 Points],tblActuals354151923[Team 2],$CU16,tblActuals354151923[Team 1],DE$3)+SUMIFS(tblActuals354151923[Team 1 Points],tblActuals354151923[Team 1],$CU16,tblActuals354151923[Team 2],DE$3)</f>
        <v>0</v>
      </c>
      <c r="DF16" s="56">
        <f>SUMIFS(tblActuals354151923[Team 2 Points],tblActuals354151923[Team 2],$CU16,tblActuals354151923[Team 1],DF$3)+SUMIFS(tblActuals354151923[Team 1 Points],tblActuals354151923[Team 1],$CU16,tblActuals354151923[Team 2],DF$3)</f>
        <v>0</v>
      </c>
      <c r="DG16" s="56">
        <f>SUMIFS(tblActuals354151923[Team 2 Points],tblActuals354151923[Team 2],$CU16,tblActuals354151923[Team 1],DG$3)+SUMIFS(tblActuals354151923[Team 1 Points],tblActuals354151923[Team 1],$CU16,tblActuals354151923[Team 2],DG$3)</f>
        <v>0</v>
      </c>
      <c r="DH16" s="56">
        <f>SUMIFS(tblActuals354151923[Team 2 Points],tblActuals354151923[Team 2],$CU16,tblActuals354151923[Team 1],DH$3)+SUMIFS(tblActuals354151923[Team 1 Points],tblActuals354151923[Team 1],$CU16,tblActuals354151923[Team 2],DH$3)</f>
        <v>0</v>
      </c>
      <c r="DI16" s="56">
        <f>SUMIFS(tblActuals354151923[Team 2 Points],tblActuals354151923[Team 2],$CU16,tblActuals354151923[Team 1],DI$3)+SUMIFS(tblActuals354151923[Team 1 Points],tblActuals354151923[Team 1],$CU16,tblActuals354151923[Team 2],DI$3)</f>
        <v>0</v>
      </c>
      <c r="DJ16" s="56">
        <f>SUMIFS(tblActuals354151923[Team 2 Points],tblActuals354151923[Team 2],$CU16,tblActuals354151923[Team 1],DJ$3)+SUMIFS(tblActuals354151923[Team 1 Points],tblActuals354151923[Team 1],$CU16,tblActuals354151923[Team 2],DJ$3)</f>
        <v>0</v>
      </c>
      <c r="DK16" s="56">
        <f>SUMIFS(tblActuals354151923[Team 2 Points],tblActuals354151923[Team 2],$CU16,tblActuals354151923[Team 1],DK$3)+SUMIFS(tblActuals354151923[Team 1 Points],tblActuals354151923[Team 1],$CU16,tblActuals354151923[Team 2],DK$3)</f>
        <v>0</v>
      </c>
      <c r="DL16" s="56">
        <f>SUMIFS(tblActuals354151923[Team 2 Points],tblActuals354151923[Team 2],$CU16,tblActuals354151923[Team 1],DL$3)+SUMIFS(tblActuals354151923[Team 1 Points],tblActuals354151923[Team 1],$CU16,tblActuals354151923[Team 2],DL$3)</f>
        <v>0</v>
      </c>
      <c r="DM16" s="56">
        <f>SUMIFS(tblActuals354151923[Team 2 Points],tblActuals354151923[Team 2],$CU16,tblActuals354151923[Team 1],DM$3)+SUMIFS(tblActuals354151923[Team 1 Points],tblActuals354151923[Team 1],$CU16,tblActuals354151923[Team 2],DM$3)</f>
        <v>0</v>
      </c>
      <c r="DN16" s="56">
        <f>SUMIFS(tblActuals354151923[Team 2 Points],tblActuals354151923[Team 2],$CU16,tblActuals354151923[Team 1],DN$3)+SUMIFS(tblActuals354151923[Team 1 Points],tblActuals354151923[Team 1],$CU16,tblActuals354151923[Team 2],DN$3)</f>
        <v>0</v>
      </c>
      <c r="DO16" s="56">
        <f>SUMIFS(tblActuals354151923[Team 2 Points],tblActuals354151923[Team 2],$CU16,tblActuals354151923[Team 1],DO$3)+SUMIFS(tblActuals354151923[Team 1 Points],tblActuals354151923[Team 1],$CU16,tblActuals354151923[Team 2],DO$3)</f>
        <v>0</v>
      </c>
      <c r="DP16" s="56">
        <f>SUMIFS(tblActuals354151923[Team 2 Points],tblActuals354151923[Team 2],$CU16,tblActuals354151923[Team 1],DP$3)+SUMIFS(tblActuals354151923[Team 1 Points],tblActuals354151923[Team 1],$CU16,tblActuals354151923[Team 2],DP$3)</f>
        <v>0</v>
      </c>
      <c r="DQ16" s="56">
        <f>SUMIFS(tblActuals354151923[Team 2 Points],tblActuals354151923[Team 2],$CU16,tblActuals354151923[Team 1],DQ$3)+SUMIFS(tblActuals354151923[Team 1 Points],tblActuals354151923[Team 1],$CU16,tblActuals354151923[Team 2],DQ$3)</f>
        <v>0</v>
      </c>
      <c r="DR16" s="56">
        <f>SUMIFS(tblActuals354151923[Team 2 Points],tblActuals354151923[Team 2],$CU16,tblActuals354151923[Team 1],DR$3)+SUMIFS(tblActuals354151923[Team 1 Points],tblActuals354151923[Team 1],$CU16,tblActuals354151923[Team 2],DR$3)</f>
        <v>0</v>
      </c>
      <c r="DS16" s="56">
        <f>SUMIFS(tblActuals354151923[Team 2 Points],tblActuals354151923[Team 2],$CU16,tblActuals354151923[Team 1],DS$3)+SUMIFS(tblActuals354151923[Team 1 Points],tblActuals354151923[Team 1],$CU16,tblActuals354151923[Team 2],DS$3)</f>
        <v>0</v>
      </c>
      <c r="DT16" s="57"/>
      <c r="DU16" s="57"/>
      <c r="DV16" s="57"/>
      <c r="DW16" s="57"/>
      <c r="DX16" s="57"/>
      <c r="DY16" s="57"/>
      <c r="DZ16" s="57"/>
      <c r="EA16" s="57"/>
      <c r="EB16" s="4"/>
      <c r="EC16" s="4" t="s">
        <v>32</v>
      </c>
      <c r="ED16" s="56">
        <f>SUMIFS(tblActuals354151923[Team 2 GD],tblActuals354151923[Team 2],$CU16,tblActuals354151923[Team 1],ED$3)+SUMIFS(tblActuals354151923[Team 1 GD],tblActuals354151923[Team 1],$CU16,tblActuals354151923[Team 2],ED$3)</f>
        <v>0</v>
      </c>
      <c r="EE16" s="56">
        <f>SUMIFS(tblActuals354151923[Team 2 GD],tblActuals354151923[Team 2],$CU16,tblActuals354151923[Team 1],EE$3)+SUMIFS(tblActuals354151923[Team 1 GD],tblActuals354151923[Team 1],$CU16,tblActuals354151923[Team 2],EE$3)</f>
        <v>0</v>
      </c>
      <c r="EF16" s="56">
        <f>SUMIFS(tblActuals354151923[Team 2 GD],tblActuals354151923[Team 2],$CU16,tblActuals354151923[Team 1],EF$3)+SUMIFS(tblActuals354151923[Team 1 GD],tblActuals354151923[Team 1],$CU16,tblActuals354151923[Team 2],EF$3)</f>
        <v>0</v>
      </c>
      <c r="EG16" s="56">
        <f>SUMIFS(tblActuals354151923[Team 2 GD],tblActuals354151923[Team 2],$CU16,tblActuals354151923[Team 1],EG$3)+SUMIFS(tblActuals354151923[Team 1 GD],tblActuals354151923[Team 1],$CU16,tblActuals354151923[Team 2],EG$3)</f>
        <v>0</v>
      </c>
      <c r="EH16" s="56">
        <f>SUMIFS(tblActuals354151923[Team 2 GD],tblActuals354151923[Team 2],$CU16,tblActuals354151923[Team 1],EH$3)+SUMIFS(tblActuals354151923[Team 1 GD],tblActuals354151923[Team 1],$CU16,tblActuals354151923[Team 2],EH$3)</f>
        <v>0</v>
      </c>
      <c r="EI16" s="56">
        <f>SUMIFS(tblActuals354151923[Team 2 GD],tblActuals354151923[Team 2],$CU16,tblActuals354151923[Team 1],EI$3)+SUMIFS(tblActuals354151923[Team 1 GD],tblActuals354151923[Team 1],$CU16,tblActuals354151923[Team 2],EI$3)</f>
        <v>0</v>
      </c>
      <c r="EJ16" s="56">
        <f>SUMIFS(tblActuals354151923[Team 2 GD],tblActuals354151923[Team 2],$CU16,tblActuals354151923[Team 1],EJ$3)+SUMIFS(tblActuals354151923[Team 1 GD],tblActuals354151923[Team 1],$CU16,tblActuals354151923[Team 2],EJ$3)</f>
        <v>0</v>
      </c>
      <c r="EK16" s="56">
        <f>SUMIFS(tblActuals354151923[Team 2 GD],tblActuals354151923[Team 2],$CU16,tblActuals354151923[Team 1],EK$3)+SUMIFS(tblActuals354151923[Team 1 GD],tblActuals354151923[Team 1],$CU16,tblActuals354151923[Team 2],EK$3)</f>
        <v>0</v>
      </c>
      <c r="EL16" s="56">
        <f>SUMIFS(tblActuals354151923[Team 2 GD],tblActuals354151923[Team 2],$CU16,tblActuals354151923[Team 1],EL$3)+SUMIFS(tblActuals354151923[Team 1 GD],tblActuals354151923[Team 1],$CU16,tblActuals354151923[Team 2],EL$3)</f>
        <v>0</v>
      </c>
      <c r="EM16" s="56">
        <f>SUMIFS(tblActuals354151923[Team 2 GD],tblActuals354151923[Team 2],$CU16,tblActuals354151923[Team 1],EM$3)+SUMIFS(tblActuals354151923[Team 1 GD],tblActuals354151923[Team 1],$CU16,tblActuals354151923[Team 2],EM$3)</f>
        <v>0</v>
      </c>
      <c r="EN16" s="56">
        <f>SUMIFS(tblActuals354151923[Team 2 GD],tblActuals354151923[Team 2],$CU16,tblActuals354151923[Team 1],EN$3)+SUMIFS(tblActuals354151923[Team 1 GD],tblActuals354151923[Team 1],$CU16,tblActuals354151923[Team 2],EN$3)</f>
        <v>0</v>
      </c>
      <c r="EO16" s="56">
        <f>SUMIFS(tblActuals354151923[Team 2 GD],tblActuals354151923[Team 2],$CU16,tblActuals354151923[Team 1],EO$3)+SUMIFS(tblActuals354151923[Team 1 GD],tblActuals354151923[Team 1],$CU16,tblActuals354151923[Team 2],EO$3)</f>
        <v>0</v>
      </c>
      <c r="EP16" s="56">
        <f>SUMIFS(tblActuals354151923[Team 2 GD],tblActuals354151923[Team 2],$CU16,tblActuals354151923[Team 1],EP$3)+SUMIFS(tblActuals354151923[Team 1 GD],tblActuals354151923[Team 1],$CU16,tblActuals354151923[Team 2],EP$3)</f>
        <v>0</v>
      </c>
      <c r="EQ16" s="56">
        <f>SUMIFS(tblActuals354151923[Team 2 GD],tblActuals354151923[Team 2],$CU16,tblActuals354151923[Team 1],EQ$3)+SUMIFS(tblActuals354151923[Team 1 GD],tblActuals354151923[Team 1],$CU16,tblActuals354151923[Team 2],EQ$3)</f>
        <v>0</v>
      </c>
      <c r="ER16" s="56">
        <f>SUMIFS(tblActuals354151923[Team 2 GD],tblActuals354151923[Team 2],$CU16,tblActuals354151923[Team 1],ER$3)+SUMIFS(tblActuals354151923[Team 1 GD],tblActuals354151923[Team 1],$CU16,tblActuals354151923[Team 2],ER$3)</f>
        <v>0</v>
      </c>
      <c r="ES16" s="56">
        <f>SUMIFS(tblActuals354151923[Team 2 GD],tblActuals354151923[Team 2],$CU16,tblActuals354151923[Team 1],ES$3)+SUMIFS(tblActuals354151923[Team 1 GD],tblActuals354151923[Team 1],$CU16,tblActuals354151923[Team 2],ES$3)</f>
        <v>0</v>
      </c>
      <c r="ET16" s="56">
        <f>SUMIFS(tblActuals354151923[Team 2 GD],tblActuals354151923[Team 2],$CU16,tblActuals354151923[Team 1],ET$3)+SUMIFS(tblActuals354151923[Team 1 GD],tblActuals354151923[Team 1],$CU16,tblActuals354151923[Team 2],ET$3)</f>
        <v>0</v>
      </c>
      <c r="EU16" s="56">
        <f>SUMIFS(tblActuals354151923[Team 2 GD],tblActuals354151923[Team 2],$CU16,tblActuals354151923[Team 1],EU$3)+SUMIFS(tblActuals354151923[Team 1 GD],tblActuals354151923[Team 1],$CU16,tblActuals354151923[Team 2],EU$3)</f>
        <v>0</v>
      </c>
      <c r="EV16" s="56">
        <f>SUMIFS(tblActuals354151923[Team 2 GD],tblActuals354151923[Team 2],$CU16,tblActuals354151923[Team 1],EV$3)+SUMIFS(tblActuals354151923[Team 1 GD],tblActuals354151923[Team 1],$CU16,tblActuals354151923[Team 2],EV$3)</f>
        <v>0</v>
      </c>
      <c r="EW16" s="56">
        <f>SUMIFS(tblActuals354151923[Team 2 GD],tblActuals354151923[Team 2],$CU16,tblActuals354151923[Team 1],EW$3)+SUMIFS(tblActuals354151923[Team 1 GD],tblActuals354151923[Team 1],$CU16,tblActuals354151923[Team 2],EW$3)</f>
        <v>0</v>
      </c>
      <c r="EX16" s="56">
        <f>SUMIFS(tblActuals354151923[Team 2 GD],tblActuals354151923[Team 2],$CU16,tblActuals354151923[Team 1],EX$3)+SUMIFS(tblActuals354151923[Team 1 GD],tblActuals354151923[Team 1],$CU16,tblActuals354151923[Team 2],EX$3)</f>
        <v>0</v>
      </c>
      <c r="EY16" s="56">
        <f>SUMIFS(tblActuals354151923[Team 2 GD],tblActuals354151923[Team 2],$CU16,tblActuals354151923[Team 1],EY$3)+SUMIFS(tblActuals354151923[Team 1 GD],tblActuals354151923[Team 1],$CU16,tblActuals354151923[Team 2],EY$3)</f>
        <v>0</v>
      </c>
      <c r="EZ16" s="56">
        <f>SUMIFS(tblActuals354151923[Team 2 GD],tblActuals354151923[Team 2],$CU16,tblActuals354151923[Team 1],EZ$3)+SUMIFS(tblActuals354151923[Team 1 GD],tblActuals354151923[Team 1],$CU16,tblActuals354151923[Team 2],EZ$3)</f>
        <v>0</v>
      </c>
      <c r="FA16" s="56">
        <f>SUMIFS(tblActuals354151923[Team 2 GD],tblActuals354151923[Team 2],$CU16,tblActuals354151923[Team 1],FA$3)+SUMIFS(tblActuals354151923[Team 1 GD],tblActuals354151923[Team 1],$CU16,tblActuals354151923[Team 2],FA$3)</f>
        <v>0</v>
      </c>
      <c r="FB16" s="57"/>
      <c r="FC16" s="57"/>
      <c r="FD16" s="57"/>
      <c r="FE16" s="57"/>
      <c r="FF16" s="57"/>
      <c r="FG16" s="57"/>
      <c r="FH16" s="57"/>
      <c r="FI16" s="57"/>
      <c r="FJ16" s="4"/>
      <c r="FK16" s="4" t="s">
        <v>32</v>
      </c>
      <c r="FL16" s="56">
        <f>SUMIFS(tblActuals354151923[Team 2 Goals],tblActuals354151923[Team 2],$CU16,tblActuals354151923[Team 1],FL$3)+SUMIFS(tblActuals354151923[Team 1 Goals],tblActuals354151923[Team 1],$CU16,tblActuals354151923[Team 2],FL$3)</f>
        <v>0</v>
      </c>
      <c r="FM16" s="56">
        <f>SUMIFS(tblActuals354151923[Team 2 Goals],tblActuals354151923[Team 2],$CU16,tblActuals354151923[Team 1],FM$3)+SUMIFS(tblActuals354151923[Team 1 Goals],tblActuals354151923[Team 1],$CU16,tblActuals354151923[Team 2],FM$3)</f>
        <v>0</v>
      </c>
      <c r="FN16" s="56">
        <f>SUMIFS(tblActuals354151923[Team 2 Goals],tblActuals354151923[Team 2],$CU16,tblActuals354151923[Team 1],FN$3)+SUMIFS(tblActuals354151923[Team 1 Goals],tblActuals354151923[Team 1],$CU16,tblActuals354151923[Team 2],FN$3)</f>
        <v>0</v>
      </c>
      <c r="FO16" s="56">
        <f>SUMIFS(tblActuals354151923[Team 2 Goals],tblActuals354151923[Team 2],$CU16,tblActuals354151923[Team 1],FO$3)+SUMIFS(tblActuals354151923[Team 1 Goals],tblActuals354151923[Team 1],$CU16,tblActuals354151923[Team 2],FO$3)</f>
        <v>0</v>
      </c>
      <c r="FP16" s="56">
        <f>SUMIFS(tblActuals354151923[Team 2 Goals],tblActuals354151923[Team 2],$CU16,tblActuals354151923[Team 1],FP$3)+SUMIFS(tblActuals354151923[Team 1 Goals],tblActuals354151923[Team 1],$CU16,tblActuals354151923[Team 2],FP$3)</f>
        <v>0</v>
      </c>
      <c r="FQ16" s="56">
        <f>SUMIFS(tblActuals354151923[Team 2 Goals],tblActuals354151923[Team 2],$CU16,tblActuals354151923[Team 1],FQ$3)+SUMIFS(tblActuals354151923[Team 1 Goals],tblActuals354151923[Team 1],$CU16,tblActuals354151923[Team 2],FQ$3)</f>
        <v>0</v>
      </c>
      <c r="FR16" s="56">
        <f>SUMIFS(tblActuals354151923[Team 2 Goals],tblActuals354151923[Team 2],$CU16,tblActuals354151923[Team 1],FR$3)+SUMIFS(tblActuals354151923[Team 1 Goals],tblActuals354151923[Team 1],$CU16,tblActuals354151923[Team 2],FR$3)</f>
        <v>0</v>
      </c>
      <c r="FS16" s="56">
        <f>SUMIFS(tblActuals354151923[Team 2 Goals],tblActuals354151923[Team 2],$CU16,tblActuals354151923[Team 1],FS$3)+SUMIFS(tblActuals354151923[Team 1 Goals],tblActuals354151923[Team 1],$CU16,tblActuals354151923[Team 2],FS$3)</f>
        <v>0</v>
      </c>
      <c r="FT16" s="56">
        <f>SUMIFS(tblActuals354151923[Team 2 Goals],tblActuals354151923[Team 2],$CU16,tblActuals354151923[Team 1],FT$3)+SUMIFS(tblActuals354151923[Team 1 Goals],tblActuals354151923[Team 1],$CU16,tblActuals354151923[Team 2],FT$3)</f>
        <v>0</v>
      </c>
      <c r="FU16" s="56">
        <f>SUMIFS(tblActuals354151923[Team 2 Goals],tblActuals354151923[Team 2],$CU16,tblActuals354151923[Team 1],FU$3)+SUMIFS(tblActuals354151923[Team 1 Goals],tblActuals354151923[Team 1],$CU16,tblActuals354151923[Team 2],FU$3)</f>
        <v>0</v>
      </c>
      <c r="FV16" s="56">
        <f>SUMIFS(tblActuals354151923[Team 2 Goals],tblActuals354151923[Team 2],$CU16,tblActuals354151923[Team 1],FV$3)+SUMIFS(tblActuals354151923[Team 1 Goals],tblActuals354151923[Team 1],$CU16,tblActuals354151923[Team 2],FV$3)</f>
        <v>0</v>
      </c>
      <c r="FW16" s="56">
        <f>SUMIFS(tblActuals354151923[Team 2 Goals],tblActuals354151923[Team 2],$CU16,tblActuals354151923[Team 1],FW$3)+SUMIFS(tblActuals354151923[Team 1 Goals],tblActuals354151923[Team 1],$CU16,tblActuals354151923[Team 2],FW$3)</f>
        <v>0</v>
      </c>
      <c r="FX16" s="56">
        <f>SUMIFS(tblActuals354151923[Team 2 Goals],tblActuals354151923[Team 2],$CU16,tblActuals354151923[Team 1],FX$3)+SUMIFS(tblActuals354151923[Team 1 Goals],tblActuals354151923[Team 1],$CU16,tblActuals354151923[Team 2],FX$3)</f>
        <v>0</v>
      </c>
      <c r="FY16" s="56">
        <f>SUMIFS(tblActuals354151923[Team 2 Goals],tblActuals354151923[Team 2],$CU16,tblActuals354151923[Team 1],FY$3)+SUMIFS(tblActuals354151923[Team 1 Goals],tblActuals354151923[Team 1],$CU16,tblActuals354151923[Team 2],FY$3)</f>
        <v>0</v>
      </c>
      <c r="FZ16" s="56">
        <f>SUMIFS(tblActuals354151923[Team 2 Goals],tblActuals354151923[Team 2],$CU16,tblActuals354151923[Team 1],FZ$3)+SUMIFS(tblActuals354151923[Team 1 Goals],tblActuals354151923[Team 1],$CU16,tblActuals354151923[Team 2],FZ$3)</f>
        <v>0</v>
      </c>
      <c r="GA16" s="56">
        <f>SUMIFS(tblActuals354151923[Team 2 Goals],tblActuals354151923[Team 2],$CU16,tblActuals354151923[Team 1],GA$3)+SUMIFS(tblActuals354151923[Team 1 Goals],tblActuals354151923[Team 1],$CU16,tblActuals354151923[Team 2],GA$3)</f>
        <v>0</v>
      </c>
      <c r="GB16" s="56">
        <f>SUMIFS(tblActuals354151923[Team 2 Goals],tblActuals354151923[Team 2],$CU16,tblActuals354151923[Team 1],GB$3)+SUMIFS(tblActuals354151923[Team 1 Goals],tblActuals354151923[Team 1],$CU16,tblActuals354151923[Team 2],GB$3)</f>
        <v>0</v>
      </c>
      <c r="GC16" s="56">
        <f>SUMIFS(tblActuals354151923[Team 2 Goals],tblActuals354151923[Team 2],$CU16,tblActuals354151923[Team 1],GC$3)+SUMIFS(tblActuals354151923[Team 1 Goals],tblActuals354151923[Team 1],$CU16,tblActuals354151923[Team 2],GC$3)</f>
        <v>0</v>
      </c>
      <c r="GD16" s="56">
        <f>SUMIFS(tblActuals354151923[Team 2 Goals],tblActuals354151923[Team 2],$CU16,tblActuals354151923[Team 1],GD$3)+SUMIFS(tblActuals354151923[Team 1 Goals],tblActuals354151923[Team 1],$CU16,tblActuals354151923[Team 2],GD$3)</f>
        <v>0</v>
      </c>
      <c r="GE16" s="56">
        <f>SUMIFS(tblActuals354151923[Team 2 Goals],tblActuals354151923[Team 2],$CU16,tblActuals354151923[Team 1],GE$3)+SUMIFS(tblActuals354151923[Team 1 Goals],tblActuals354151923[Team 1],$CU16,tblActuals354151923[Team 2],GE$3)</f>
        <v>0</v>
      </c>
      <c r="GF16" s="56">
        <f>SUMIFS(tblActuals354151923[Team 2 Goals],tblActuals354151923[Team 2],$CU16,tblActuals354151923[Team 1],GF$3)+SUMIFS(tblActuals354151923[Team 1 Goals],tblActuals354151923[Team 1],$CU16,tblActuals354151923[Team 2],GF$3)</f>
        <v>0</v>
      </c>
      <c r="GG16" s="56">
        <f>SUMIFS(tblActuals354151923[Team 2 Goals],tblActuals354151923[Team 2],$CU16,tblActuals354151923[Team 1],GG$3)+SUMIFS(tblActuals354151923[Team 1 Goals],tblActuals354151923[Team 1],$CU16,tblActuals354151923[Team 2],GG$3)</f>
        <v>0</v>
      </c>
      <c r="GH16" s="56">
        <f>SUMIFS(tblActuals354151923[Team 2 Goals],tblActuals354151923[Team 2],$CU16,tblActuals354151923[Team 1],GH$3)+SUMIFS(tblActuals354151923[Team 1 Goals],tblActuals354151923[Team 1],$CU16,tblActuals354151923[Team 2],GH$3)</f>
        <v>0</v>
      </c>
      <c r="GI16" s="56">
        <f>SUMIFS(tblActuals354151923[Team 2 Goals],tblActuals354151923[Team 2],$CU16,tblActuals354151923[Team 1],GI$3)+SUMIFS(tblActuals354151923[Team 1 Goals],tblActuals354151923[Team 1],$CU16,tblActuals354151923[Team 2],GI$3)</f>
        <v>0</v>
      </c>
      <c r="GJ16" s="57"/>
      <c r="GK16" s="57"/>
      <c r="GL16" s="37"/>
      <c r="GM16" s="37"/>
      <c r="GN16" s="37"/>
      <c r="GO16" s="37"/>
      <c r="GP16" s="37"/>
      <c r="GQ16" s="37"/>
      <c r="GR16" s="75"/>
      <c r="GS16" s="156"/>
      <c r="GT16" s="156"/>
      <c r="GU16" s="75"/>
      <c r="GV16" s="75"/>
      <c r="GW16" s="75"/>
      <c r="GX16" s="75"/>
      <c r="GY16" s="75"/>
      <c r="GZ16" s="75"/>
      <c r="HB16" s="4" t="str">
        <f t="shared" si="12"/>
        <v>BCDF</v>
      </c>
      <c r="HC16" s="45"/>
      <c r="HD16" s="44" t="s">
        <v>5</v>
      </c>
      <c r="HE16" s="44" t="s">
        <v>6</v>
      </c>
      <c r="HF16" s="44" t="s">
        <v>7</v>
      </c>
      <c r="HG16" s="45"/>
      <c r="HH16" s="44" t="s">
        <v>45</v>
      </c>
      <c r="HI16" s="178"/>
      <c r="HJ16" s="45" t="s">
        <v>154</v>
      </c>
      <c r="HK16" s="45" t="s">
        <v>150</v>
      </c>
      <c r="HL16" s="45" t="s">
        <v>152</v>
      </c>
      <c r="HM16" s="45" t="s">
        <v>151</v>
      </c>
    </row>
    <row r="17" spans="1:221" s="11" customFormat="1" ht="30" customHeight="1" thickBot="1" x14ac:dyDescent="0.3">
      <c r="A17" s="20"/>
      <c r="B17" s="122">
        <v>14</v>
      </c>
      <c r="C17" s="122" t="s">
        <v>1</v>
      </c>
      <c r="D17" s="123">
        <v>45462</v>
      </c>
      <c r="E17" s="122" t="s">
        <v>83</v>
      </c>
      <c r="F17" s="124">
        <v>0.75</v>
      </c>
      <c r="G17" s="125">
        <f t="shared" si="11"/>
        <v>45462.5</v>
      </c>
      <c r="H17" s="122" t="s">
        <v>102</v>
      </c>
      <c r="I17" s="126"/>
      <c r="J17" s="118"/>
      <c r="K17" s="118"/>
      <c r="L17" s="174">
        <f>IF(I17="",0,IFERROR(IF(SCORING.RULES!$C$8="No",1,((VLOOKUP($B17,ACTUALS!$B$4:$L$100,7,FALSE)=$H17)+(VLOOKUP($B17,ACTUALS!$B$4:$L$100,7,FALSE)=S17)))*(M17+N17+O17+P17+Q17),0))+$R17</f>
        <v>0</v>
      </c>
      <c r="M17" s="168">
        <f>IFERROR(IF($B17="","",IF(U17=INDEX(ACTUALS!$AA$4:$AA$100,MATCH($B17,ACTUALS!$B$4:$B$100,0),1),CorrectScore,0)),0)</f>
        <v>0</v>
      </c>
      <c r="N17" s="157" t="str">
        <f>IFERROR(IF(I17="","",IF(INDEX(ACTUALS!$AB$4:$AB$100,MATCH($B17,ACTUALS!$B$4:$B$100,0),1)=(AB17+AC17+AH17+AI17),CorrectNumberofGoals,0)),0)</f>
        <v/>
      </c>
      <c r="O17" s="157"/>
      <c r="P17" s="157">
        <f>IFERROR(IF(B17="","",IF(INDEX(ACTUALS!$L$4:$L$100,MATCH($B17,ACTUALS!$B$4:$B$100,0),1)=W17,CorrectResult,0)),0)</f>
        <v>3</v>
      </c>
      <c r="Q17" s="157"/>
      <c r="R17" s="157"/>
      <c r="S17" s="157" t="str">
        <f t="shared" si="0"/>
        <v/>
      </c>
      <c r="T17" s="157"/>
      <c r="U17" s="157" t="str">
        <f t="shared" si="1"/>
        <v/>
      </c>
      <c r="V17" s="157" t="str">
        <f t="shared" si="2"/>
        <v/>
      </c>
      <c r="W17" s="119" t="str">
        <f>IF(tblActuals354151923[[#This Row],[SCORE]]="","",IF(AB17=AC17,"Draw",IF(AB17&gt;AC17,X17,Y17)))</f>
        <v/>
      </c>
      <c r="X17" s="120" t="str">
        <f>IF(tblActuals354151923[[#This Row],[TEAMS]]="","",LEFT(H17,FIND(" -",H17,1)-1))</f>
        <v>Germany</v>
      </c>
      <c r="Y17" s="120" t="str">
        <f>IF(tblActuals354151923[[#This Row],[TEAMS]]="","",MID(H17,FIND("-",H17,1)+2,LEN(H17)-FIND("-",H17,1)+2))</f>
        <v>Hungary</v>
      </c>
      <c r="Z17" s="120" t="str">
        <f>IF(tblActuals354151923[[#This Row],[Team 1 Goals]]&gt;tblActuals354151923[[#This Row],[Team 2 Goals]],tblActuals354151923[[#This Row],[Team 1]],IF(tblActuals354151923[[#This Row],[Team 2 Goals]]&gt;tblActuals354151923[[#This Row],[Team 1 Goals]],tblActuals354151923[[#This Row],[Team 2]],""))</f>
        <v/>
      </c>
      <c r="AA17" s="120" t="str">
        <f>IF(tblActuals354151923[[#This Row],[Winner]]=tblActuals354151923[[#This Row],[Team 1]],tblActuals354151923[[#This Row],[Team 2]],IF(tblActuals354151923[[#This Row],[Winner]]=tblActuals354151923[[#This Row],[Team 2]],tblActuals354151923[[#This Row],[Team 1]],""))</f>
        <v/>
      </c>
      <c r="AB17" s="120" t="str">
        <f>IF(tblActuals354151923[[#This Row],[SCORE]]="","",LEFT(I17,FIND(":",I17,1)-1)*1)</f>
        <v/>
      </c>
      <c r="AC17" s="120" t="str">
        <f>IF(tblActuals354151923[[#This Row],[SCORE]]="","",MID(I17,FIND(":",I17,1)+1,LEN(I17)-FIND(":",I17,1)+1)*1)</f>
        <v/>
      </c>
      <c r="AD17" s="120" t="str">
        <f>IF(OR(tblActuals354151923[[#This Row],[Team 1 Goals]]="",tblActuals354151923[[#This Row],[Team 2 Goals]]=""),"",tblActuals354151923[[#This Row],[Team 1 Goals]]-tblActuals354151923[[#This Row],[Team 2 Goals]])</f>
        <v/>
      </c>
      <c r="AE17" s="120" t="str">
        <f>IF(OR(tblActuals354151923[[#This Row],[Team 1 Goals]]="",tblActuals354151923[[#This Row],[Team 2 Goals]]=""),"",tblActuals354151923[[#This Row],[Team 2 Goals]]-tblActuals354151923[[#This Row],[Team 1 Goals]])</f>
        <v/>
      </c>
      <c r="AF17" s="120" t="str">
        <f>IF(tblActuals354151923[[#This Row],[SCORE]]="","",IF(tblActuals354151923[[#This Row],[WINNER / RESULT]]="Draw",1,IF(tblActuals354151923[[#This Row],[WINNER / RESULT]]=tblActuals354151923[[#This Row],[Team 1]],3,0)))</f>
        <v/>
      </c>
      <c r="AG17" s="120" t="str">
        <f>IF(tblActuals354151923[[#This Row],[SCORE]]="","",IF(tblActuals354151923[[#This Row],[WINNER / RESULT]]="Draw",1,IF(tblActuals354151923[[#This Row],[WINNER / RESULT]]=tblActuals354151923[[#This Row],[Team 2]],3,0)))</f>
        <v/>
      </c>
      <c r="AH17" s="121"/>
      <c r="AI17" s="121"/>
      <c r="AJ17" s="121"/>
      <c r="AK17" s="121"/>
      <c r="AL17" s="120" t="e">
        <f>tblActuals354151923[[#This Row],[Team 1 Goals]]+tblActuals354151923[[#This Row],[Team 1 ET Goals]]&amp;":"&amp;tblActuals354151923[[#This Row],[Team 2 Goals]]+tblActuals354151923[[#This Row],[Team 2 ET Goals]]</f>
        <v>#VALUE!</v>
      </c>
      <c r="AM17" s="120" t="e">
        <f>+tblActuals354151923[[#This Row],[Team 1 Goals]]+tblActuals354151923[[#This Row],[Team 2 Goals]]</f>
        <v>#VALUE!</v>
      </c>
      <c r="AN17" s="161">
        <f t="shared" si="3"/>
        <v>45462</v>
      </c>
      <c r="AT17" s="78"/>
      <c r="AU17" s="179" t="s">
        <v>53</v>
      </c>
      <c r="AV17" s="180"/>
      <c r="AW17" s="133" t="s">
        <v>46</v>
      </c>
      <c r="AX17" s="134" t="s">
        <v>57</v>
      </c>
      <c r="AY17" s="135" t="s">
        <v>11</v>
      </c>
      <c r="AZ17" s="75"/>
      <c r="BA17" s="4"/>
      <c r="BB17" s="4"/>
      <c r="BC17" s="4" t="s">
        <v>6</v>
      </c>
      <c r="BD17" s="4" t="s">
        <v>128</v>
      </c>
      <c r="BE17" s="4">
        <f>COUNTIF(tblActuals354151923[Winner],BD17)</f>
        <v>0</v>
      </c>
      <c r="BF17" s="4">
        <f>COUNTIFS(tblActuals354151923[Team 2],BD17,tblActuals354151923[WINNER / RESULT],"Draw")+COUNTIFS(tblActuals354151923[Team 1],BD17,tblActuals354151923[WINNER / RESULT],"Draw")</f>
        <v>0</v>
      </c>
      <c r="BG17" s="4">
        <f>COUNTIF(tblActuals354151923[Loser],BD17)</f>
        <v>0</v>
      </c>
      <c r="BH17" s="4">
        <f>BF17+(3*BE17)</f>
        <v>0</v>
      </c>
      <c r="BI17" s="4">
        <f>SUMIFS(tblActuals354151923[Team 1 Goals],tblActuals354151923[Team 1],BD17)+SUMIFS(tblActuals354151923[Team 2 Goals],tblActuals354151923[Team 2],BD17)</f>
        <v>0</v>
      </c>
      <c r="BJ17" s="4">
        <f>SUMIFS(tblActuals354151923[Team 2 Goals],tblActuals354151923[Team 1],BD17)+SUMIFS(tblActuals354151923[Team 1 Goals],tblActuals354151923[Team 2],BD17)</f>
        <v>0</v>
      </c>
      <c r="BK17" s="4">
        <f>BI17-BJ17</f>
        <v>0</v>
      </c>
      <c r="BL17" s="4">
        <f ca="1">RANK(BY17,$BY$14:$BY$17,1)</f>
        <v>4</v>
      </c>
      <c r="BM17" s="4" t="str">
        <f t="shared" si="4"/>
        <v/>
      </c>
      <c r="BN17" s="4" t="str">
        <f ca="1">IF(BM17="",BL17&amp;BC17,BM17&amp;BC17)</f>
        <v>4C</v>
      </c>
      <c r="BO17" s="4">
        <f>RANK(BH17,$BH$14:$BH$17,0)</f>
        <v>1</v>
      </c>
      <c r="BP17" s="4" cm="1">
        <f t="array" aca="1" ref="BP17" ca="1">SUMPRODUCT((OFFSET($CV$3:$EA$3,MATCH($BD17,$CU$4:$CU$35,0),0))*((IF($BO15=$BO17,$CV$3:$EA$3=$BD15,0))+(IF($BO14=$BO17,$CV$3:$EA$3=$BD14,0))+(IF($BO16=$BO17,$CV$3:$EA$3=$BD16,0))))</f>
        <v>0</v>
      </c>
      <c r="BQ17" s="4" cm="1">
        <f t="array" aca="1" ref="BQ17" ca="1">SUMPRODUCT((OFFSET($ED$3:$FI$3,MATCH($BD17,$EC$4:$EC$35,0),0))*((IF($BO15=$BO17,$ED$3:$FI$3=$BD15,0))+(IF($BO14=$BO17,$ED$3:$FI$3=$BD14,0))+(IF($BO16=$BO17,$ED$3:$FI$3=$BD16,0))))</f>
        <v>0</v>
      </c>
      <c r="BR17" s="4" cm="1">
        <f t="array" aca="1" ref="BR17" ca="1">SUMPRODUCT((OFFSET($FL$3:$GQ$3,MATCH($BD17,$FK$4:$FK$35,0),0))*((IF($BO15=$BO17,$FL$3:$GQ$3=$BD15,0))+(IF($BO14=$BO17,$FL$3:$GQ$3=$BD14,0))+(IF($BO16=$BO17,$FL$3:$GQ$3=$BD16,0))))</f>
        <v>0</v>
      </c>
      <c r="BS17" s="4" cm="1">
        <f t="array" aca="1" ref="BS17" ca="1">SUMPRODUCT((OFFSET($CV$3:$EA$3,MATCH($BD17,$CU$4:$CU$35,0),0))*((IF($BO15&lt;&gt;$BO17,$CV$3:$EA$3=$BD15,0))+(IF($BO14&lt;&gt;$BO17,$CV$3:$EA$3=$BD14,0))+(IF($BO16&lt;&gt;$BO17,$CV$3:$EA$3=$BD16,0))))</f>
        <v>0</v>
      </c>
      <c r="BT17" s="4" cm="1">
        <f t="array" aca="1" ref="BT17" ca="1">SUMPRODUCT((OFFSET($ED$3:$FI$3,MATCH($BD17,$EC$4:$EC$35,0),0))*((IF($BO15&lt;&gt;$BO17,$ED$3:$FI$3=$BD15,0))+(IF($BO14&lt;&gt;$BO17,$ED$3:$FI$3=$BD14,0))+(IF($BO16&lt;&gt;$BO17,$ED$3:$FI$3=$BD16,0))))</f>
        <v>0</v>
      </c>
      <c r="BU17" s="4" cm="1">
        <f t="array" aca="1" ref="BU17" ca="1">SUMPRODUCT((OFFSET($FL$3:$GQ$3,MATCH($BD17,$FK$4:$FK$35,0),0))*((IF($BO15&lt;&gt;$BO17,$FL$3:$GQ$3=$BD15,0))+(IF($BO14&lt;&gt;$BO17,$FL$3:$GQ$3=$BD14,0))+(IF($BO16&lt;&gt;$BO17,$FL$3:$GQ$3=$BD16,0))))</f>
        <v>0</v>
      </c>
      <c r="BV17" s="4">
        <f>BK17</f>
        <v>0</v>
      </c>
      <c r="BW17" s="4">
        <f>BI17</f>
        <v>0</v>
      </c>
      <c r="BX17" s="4">
        <f ca="1">(BP17/10)+(BQ17/100)+(BR17/1000)+(BT17/10000)+(BU17/100000)+(BV17/1000000)+(BW17/10000000)+(ROW(BS14)/100000000)</f>
        <v>1.4000000000000001E-7</v>
      </c>
      <c r="BY17" s="4">
        <f ca="1">+BO17-BX17</f>
        <v>0.99999985999999996</v>
      </c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U17" s="4" t="s">
        <v>8</v>
      </c>
      <c r="CV17" s="56">
        <f>SUMIFS(tblActuals354151923[Team 2 Points],tblActuals354151923[Team 2],$CU17,tblActuals354151923[Team 1],CV$3)+SUMIFS(tblActuals354151923[Team 1 Points],tblActuals354151923[Team 1],$CU17,tblActuals354151923[Team 2],CV$3)</f>
        <v>0</v>
      </c>
      <c r="CW17" s="56">
        <f>SUMIFS(tblActuals354151923[Team 2 Points],tblActuals354151923[Team 2],$CU17,tblActuals354151923[Team 1],CW$3)+SUMIFS(tblActuals354151923[Team 1 Points],tblActuals354151923[Team 1],$CU17,tblActuals354151923[Team 2],CW$3)</f>
        <v>0</v>
      </c>
      <c r="CX17" s="56">
        <f>SUMIFS(tblActuals354151923[Team 2 Points],tblActuals354151923[Team 2],$CU17,tblActuals354151923[Team 1],CX$3)+SUMIFS(tblActuals354151923[Team 1 Points],tblActuals354151923[Team 1],$CU17,tblActuals354151923[Team 2],CX$3)</f>
        <v>0</v>
      </c>
      <c r="CY17" s="56">
        <f>SUMIFS(tblActuals354151923[Team 2 Points],tblActuals354151923[Team 2],$CU17,tblActuals354151923[Team 1],CY$3)+SUMIFS(tblActuals354151923[Team 1 Points],tblActuals354151923[Team 1],$CU17,tblActuals354151923[Team 2],CY$3)</f>
        <v>0</v>
      </c>
      <c r="CZ17" s="56">
        <f>SUMIFS(tblActuals354151923[Team 2 Points],tblActuals354151923[Team 2],$CU17,tblActuals354151923[Team 1],CZ$3)+SUMIFS(tblActuals354151923[Team 1 Points],tblActuals354151923[Team 1],$CU17,tblActuals354151923[Team 2],CZ$3)</f>
        <v>0</v>
      </c>
      <c r="DA17" s="56">
        <f>SUMIFS(tblActuals354151923[Team 2 Points],tblActuals354151923[Team 2],$CU17,tblActuals354151923[Team 1],DA$3)+SUMIFS(tblActuals354151923[Team 1 Points],tblActuals354151923[Team 1],$CU17,tblActuals354151923[Team 2],DA$3)</f>
        <v>0</v>
      </c>
      <c r="DB17" s="56">
        <f>SUMIFS(tblActuals354151923[Team 2 Points],tblActuals354151923[Team 2],$CU17,tblActuals354151923[Team 1],DB$3)+SUMIFS(tblActuals354151923[Team 1 Points],tblActuals354151923[Team 1],$CU17,tblActuals354151923[Team 2],DB$3)</f>
        <v>0</v>
      </c>
      <c r="DC17" s="56">
        <f>SUMIFS(tblActuals354151923[Team 2 Points],tblActuals354151923[Team 2],$CU17,tblActuals354151923[Team 1],DC$3)+SUMIFS(tblActuals354151923[Team 1 Points],tblActuals354151923[Team 1],$CU17,tblActuals354151923[Team 2],DC$3)</f>
        <v>0</v>
      </c>
      <c r="DD17" s="56">
        <f>SUMIFS(tblActuals354151923[Team 2 Points],tblActuals354151923[Team 2],$CU17,tblActuals354151923[Team 1],DD$3)+SUMIFS(tblActuals354151923[Team 1 Points],tblActuals354151923[Team 1],$CU17,tblActuals354151923[Team 2],DD$3)</f>
        <v>0</v>
      </c>
      <c r="DE17" s="56">
        <f>SUMIFS(tblActuals354151923[Team 2 Points],tblActuals354151923[Team 2],$CU17,tblActuals354151923[Team 1],DE$3)+SUMIFS(tblActuals354151923[Team 1 Points],tblActuals354151923[Team 1],$CU17,tblActuals354151923[Team 2],DE$3)</f>
        <v>0</v>
      </c>
      <c r="DF17" s="56">
        <f>SUMIFS(tblActuals354151923[Team 2 Points],tblActuals354151923[Team 2],$CU17,tblActuals354151923[Team 1],DF$3)+SUMIFS(tblActuals354151923[Team 1 Points],tblActuals354151923[Team 1],$CU17,tblActuals354151923[Team 2],DF$3)</f>
        <v>0</v>
      </c>
      <c r="DG17" s="56">
        <f>SUMIFS(tblActuals354151923[Team 2 Points],tblActuals354151923[Team 2],$CU17,tblActuals354151923[Team 1],DG$3)+SUMIFS(tblActuals354151923[Team 1 Points],tblActuals354151923[Team 1],$CU17,tblActuals354151923[Team 2],DG$3)</f>
        <v>0</v>
      </c>
      <c r="DH17" s="56">
        <f>SUMIFS(tblActuals354151923[Team 2 Points],tblActuals354151923[Team 2],$CU17,tblActuals354151923[Team 1],DH$3)+SUMIFS(tblActuals354151923[Team 1 Points],tblActuals354151923[Team 1],$CU17,tblActuals354151923[Team 2],DH$3)</f>
        <v>0</v>
      </c>
      <c r="DI17" s="56">
        <f>SUMIFS(tblActuals354151923[Team 2 Points],tblActuals354151923[Team 2],$CU17,tblActuals354151923[Team 1],DI$3)+SUMIFS(tblActuals354151923[Team 1 Points],tblActuals354151923[Team 1],$CU17,tblActuals354151923[Team 2],DI$3)</f>
        <v>0</v>
      </c>
      <c r="DJ17" s="56">
        <f>SUMIFS(tblActuals354151923[Team 2 Points],tblActuals354151923[Team 2],$CU17,tblActuals354151923[Team 1],DJ$3)+SUMIFS(tblActuals354151923[Team 1 Points],tblActuals354151923[Team 1],$CU17,tblActuals354151923[Team 2],DJ$3)</f>
        <v>0</v>
      </c>
      <c r="DK17" s="56">
        <f>SUMIFS(tblActuals354151923[Team 2 Points],tblActuals354151923[Team 2],$CU17,tblActuals354151923[Team 1],DK$3)+SUMIFS(tblActuals354151923[Team 1 Points],tblActuals354151923[Team 1],$CU17,tblActuals354151923[Team 2],DK$3)</f>
        <v>0</v>
      </c>
      <c r="DL17" s="56">
        <f>SUMIFS(tblActuals354151923[Team 2 Points],tblActuals354151923[Team 2],$CU17,tblActuals354151923[Team 1],DL$3)+SUMIFS(tblActuals354151923[Team 1 Points],tblActuals354151923[Team 1],$CU17,tblActuals354151923[Team 2],DL$3)</f>
        <v>0</v>
      </c>
      <c r="DM17" s="56">
        <f>SUMIFS(tblActuals354151923[Team 2 Points],tblActuals354151923[Team 2],$CU17,tblActuals354151923[Team 1],DM$3)+SUMIFS(tblActuals354151923[Team 1 Points],tblActuals354151923[Team 1],$CU17,tblActuals354151923[Team 2],DM$3)</f>
        <v>0</v>
      </c>
      <c r="DN17" s="56">
        <f>SUMIFS(tblActuals354151923[Team 2 Points],tblActuals354151923[Team 2],$CU17,tblActuals354151923[Team 1],DN$3)+SUMIFS(tblActuals354151923[Team 1 Points],tblActuals354151923[Team 1],$CU17,tblActuals354151923[Team 2],DN$3)</f>
        <v>0</v>
      </c>
      <c r="DO17" s="56">
        <f>SUMIFS(tblActuals354151923[Team 2 Points],tblActuals354151923[Team 2],$CU17,tblActuals354151923[Team 1],DO$3)+SUMIFS(tblActuals354151923[Team 1 Points],tblActuals354151923[Team 1],$CU17,tblActuals354151923[Team 2],DO$3)</f>
        <v>0</v>
      </c>
      <c r="DP17" s="56">
        <f>SUMIFS(tblActuals354151923[Team 2 Points],tblActuals354151923[Team 2],$CU17,tblActuals354151923[Team 1],DP$3)+SUMIFS(tblActuals354151923[Team 1 Points],tblActuals354151923[Team 1],$CU17,tblActuals354151923[Team 2],DP$3)</f>
        <v>0</v>
      </c>
      <c r="DQ17" s="56">
        <f>SUMIFS(tblActuals354151923[Team 2 Points],tblActuals354151923[Team 2],$CU17,tblActuals354151923[Team 1],DQ$3)+SUMIFS(tblActuals354151923[Team 1 Points],tblActuals354151923[Team 1],$CU17,tblActuals354151923[Team 2],DQ$3)</f>
        <v>0</v>
      </c>
      <c r="DR17" s="56">
        <f>SUMIFS(tblActuals354151923[Team 2 Points],tblActuals354151923[Team 2],$CU17,tblActuals354151923[Team 1],DR$3)+SUMIFS(tblActuals354151923[Team 1 Points],tblActuals354151923[Team 1],$CU17,tblActuals354151923[Team 2],DR$3)</f>
        <v>0</v>
      </c>
      <c r="DS17" s="56">
        <f>SUMIFS(tblActuals354151923[Team 2 Points],tblActuals354151923[Team 2],$CU17,tblActuals354151923[Team 1],DS$3)+SUMIFS(tblActuals354151923[Team 1 Points],tblActuals354151923[Team 1],$CU17,tblActuals354151923[Team 2],DS$3)</f>
        <v>0</v>
      </c>
      <c r="DT17" s="57"/>
      <c r="DU17" s="57"/>
      <c r="DV17" s="57"/>
      <c r="DW17" s="57"/>
      <c r="DX17" s="57"/>
      <c r="DY17" s="57"/>
      <c r="DZ17" s="57"/>
      <c r="EA17" s="57"/>
      <c r="EB17" s="4"/>
      <c r="EC17" s="4" t="s">
        <v>8</v>
      </c>
      <c r="ED17" s="56">
        <f>SUMIFS(tblActuals354151923[Team 2 GD],tblActuals354151923[Team 2],$CU17,tblActuals354151923[Team 1],ED$3)+SUMIFS(tblActuals354151923[Team 1 GD],tblActuals354151923[Team 1],$CU17,tblActuals354151923[Team 2],ED$3)</f>
        <v>0</v>
      </c>
      <c r="EE17" s="56">
        <f>SUMIFS(tblActuals354151923[Team 2 GD],tblActuals354151923[Team 2],$CU17,tblActuals354151923[Team 1],EE$3)+SUMIFS(tblActuals354151923[Team 1 GD],tblActuals354151923[Team 1],$CU17,tblActuals354151923[Team 2],EE$3)</f>
        <v>0</v>
      </c>
      <c r="EF17" s="56">
        <f>SUMIFS(tblActuals354151923[Team 2 GD],tblActuals354151923[Team 2],$CU17,tblActuals354151923[Team 1],EF$3)+SUMIFS(tblActuals354151923[Team 1 GD],tblActuals354151923[Team 1],$CU17,tblActuals354151923[Team 2],EF$3)</f>
        <v>0</v>
      </c>
      <c r="EG17" s="56">
        <f>SUMIFS(tblActuals354151923[Team 2 GD],tblActuals354151923[Team 2],$CU17,tblActuals354151923[Team 1],EG$3)+SUMIFS(tblActuals354151923[Team 1 GD],tblActuals354151923[Team 1],$CU17,tblActuals354151923[Team 2],EG$3)</f>
        <v>0</v>
      </c>
      <c r="EH17" s="56">
        <f>SUMIFS(tblActuals354151923[Team 2 GD],tblActuals354151923[Team 2],$CU17,tblActuals354151923[Team 1],EH$3)+SUMIFS(tblActuals354151923[Team 1 GD],tblActuals354151923[Team 1],$CU17,tblActuals354151923[Team 2],EH$3)</f>
        <v>0</v>
      </c>
      <c r="EI17" s="56">
        <f>SUMIFS(tblActuals354151923[Team 2 GD],tblActuals354151923[Team 2],$CU17,tblActuals354151923[Team 1],EI$3)+SUMIFS(tblActuals354151923[Team 1 GD],tblActuals354151923[Team 1],$CU17,tblActuals354151923[Team 2],EI$3)</f>
        <v>0</v>
      </c>
      <c r="EJ17" s="56">
        <f>SUMIFS(tblActuals354151923[Team 2 GD],tblActuals354151923[Team 2],$CU17,tblActuals354151923[Team 1],EJ$3)+SUMIFS(tblActuals354151923[Team 1 GD],tblActuals354151923[Team 1],$CU17,tblActuals354151923[Team 2],EJ$3)</f>
        <v>0</v>
      </c>
      <c r="EK17" s="56">
        <f>SUMIFS(tblActuals354151923[Team 2 GD],tblActuals354151923[Team 2],$CU17,tblActuals354151923[Team 1],EK$3)+SUMIFS(tblActuals354151923[Team 1 GD],tblActuals354151923[Team 1],$CU17,tblActuals354151923[Team 2],EK$3)</f>
        <v>0</v>
      </c>
      <c r="EL17" s="56">
        <f>SUMIFS(tblActuals354151923[Team 2 GD],tblActuals354151923[Team 2],$CU17,tblActuals354151923[Team 1],EL$3)+SUMIFS(tblActuals354151923[Team 1 GD],tblActuals354151923[Team 1],$CU17,tblActuals354151923[Team 2],EL$3)</f>
        <v>0</v>
      </c>
      <c r="EM17" s="56">
        <f>SUMIFS(tblActuals354151923[Team 2 GD],tblActuals354151923[Team 2],$CU17,tblActuals354151923[Team 1],EM$3)+SUMIFS(tblActuals354151923[Team 1 GD],tblActuals354151923[Team 1],$CU17,tblActuals354151923[Team 2],EM$3)</f>
        <v>0</v>
      </c>
      <c r="EN17" s="56">
        <f>SUMIFS(tblActuals354151923[Team 2 GD],tblActuals354151923[Team 2],$CU17,tblActuals354151923[Team 1],EN$3)+SUMIFS(tblActuals354151923[Team 1 GD],tblActuals354151923[Team 1],$CU17,tblActuals354151923[Team 2],EN$3)</f>
        <v>0</v>
      </c>
      <c r="EO17" s="56">
        <f>SUMIFS(tblActuals354151923[Team 2 GD],tblActuals354151923[Team 2],$CU17,tblActuals354151923[Team 1],EO$3)+SUMIFS(tblActuals354151923[Team 1 GD],tblActuals354151923[Team 1],$CU17,tblActuals354151923[Team 2],EO$3)</f>
        <v>0</v>
      </c>
      <c r="EP17" s="56">
        <f>SUMIFS(tblActuals354151923[Team 2 GD],tblActuals354151923[Team 2],$CU17,tblActuals354151923[Team 1],EP$3)+SUMIFS(tblActuals354151923[Team 1 GD],tblActuals354151923[Team 1],$CU17,tblActuals354151923[Team 2],EP$3)</f>
        <v>0</v>
      </c>
      <c r="EQ17" s="56">
        <f>SUMIFS(tblActuals354151923[Team 2 GD],tblActuals354151923[Team 2],$CU17,tblActuals354151923[Team 1],EQ$3)+SUMIFS(tblActuals354151923[Team 1 GD],tblActuals354151923[Team 1],$CU17,tblActuals354151923[Team 2],EQ$3)</f>
        <v>0</v>
      </c>
      <c r="ER17" s="56">
        <f>SUMIFS(tblActuals354151923[Team 2 GD],tblActuals354151923[Team 2],$CU17,tblActuals354151923[Team 1],ER$3)+SUMIFS(tblActuals354151923[Team 1 GD],tblActuals354151923[Team 1],$CU17,tblActuals354151923[Team 2],ER$3)</f>
        <v>0</v>
      </c>
      <c r="ES17" s="56">
        <f>SUMIFS(tblActuals354151923[Team 2 GD],tblActuals354151923[Team 2],$CU17,tblActuals354151923[Team 1],ES$3)+SUMIFS(tblActuals354151923[Team 1 GD],tblActuals354151923[Team 1],$CU17,tblActuals354151923[Team 2],ES$3)</f>
        <v>0</v>
      </c>
      <c r="ET17" s="56">
        <f>SUMIFS(tblActuals354151923[Team 2 GD],tblActuals354151923[Team 2],$CU17,tblActuals354151923[Team 1],ET$3)+SUMIFS(tblActuals354151923[Team 1 GD],tblActuals354151923[Team 1],$CU17,tblActuals354151923[Team 2],ET$3)</f>
        <v>0</v>
      </c>
      <c r="EU17" s="56">
        <f>SUMIFS(tblActuals354151923[Team 2 GD],tblActuals354151923[Team 2],$CU17,tblActuals354151923[Team 1],EU$3)+SUMIFS(tblActuals354151923[Team 1 GD],tblActuals354151923[Team 1],$CU17,tblActuals354151923[Team 2],EU$3)</f>
        <v>0</v>
      </c>
      <c r="EV17" s="56">
        <f>SUMIFS(tblActuals354151923[Team 2 GD],tblActuals354151923[Team 2],$CU17,tblActuals354151923[Team 1],EV$3)+SUMIFS(tblActuals354151923[Team 1 GD],tblActuals354151923[Team 1],$CU17,tblActuals354151923[Team 2],EV$3)</f>
        <v>0</v>
      </c>
      <c r="EW17" s="56">
        <f>SUMIFS(tblActuals354151923[Team 2 GD],tblActuals354151923[Team 2],$CU17,tblActuals354151923[Team 1],EW$3)+SUMIFS(tblActuals354151923[Team 1 GD],tblActuals354151923[Team 1],$CU17,tblActuals354151923[Team 2],EW$3)</f>
        <v>0</v>
      </c>
      <c r="EX17" s="56">
        <f>SUMIFS(tblActuals354151923[Team 2 GD],tblActuals354151923[Team 2],$CU17,tblActuals354151923[Team 1],EX$3)+SUMIFS(tblActuals354151923[Team 1 GD],tblActuals354151923[Team 1],$CU17,tblActuals354151923[Team 2],EX$3)</f>
        <v>0</v>
      </c>
      <c r="EY17" s="56">
        <f>SUMIFS(tblActuals354151923[Team 2 GD],tblActuals354151923[Team 2],$CU17,tblActuals354151923[Team 1],EY$3)+SUMIFS(tblActuals354151923[Team 1 GD],tblActuals354151923[Team 1],$CU17,tblActuals354151923[Team 2],EY$3)</f>
        <v>0</v>
      </c>
      <c r="EZ17" s="56">
        <f>SUMIFS(tblActuals354151923[Team 2 GD],tblActuals354151923[Team 2],$CU17,tblActuals354151923[Team 1],EZ$3)+SUMIFS(tblActuals354151923[Team 1 GD],tblActuals354151923[Team 1],$CU17,tblActuals354151923[Team 2],EZ$3)</f>
        <v>0</v>
      </c>
      <c r="FA17" s="56">
        <f>SUMIFS(tblActuals354151923[Team 2 GD],tblActuals354151923[Team 2],$CU17,tblActuals354151923[Team 1],FA$3)+SUMIFS(tblActuals354151923[Team 1 GD],tblActuals354151923[Team 1],$CU17,tblActuals354151923[Team 2],FA$3)</f>
        <v>0</v>
      </c>
      <c r="FB17" s="57"/>
      <c r="FC17" s="57"/>
      <c r="FD17" s="57"/>
      <c r="FE17" s="57"/>
      <c r="FF17" s="57"/>
      <c r="FG17" s="57"/>
      <c r="FH17" s="57"/>
      <c r="FI17" s="57"/>
      <c r="FJ17" s="4"/>
      <c r="FK17" s="4" t="s">
        <v>8</v>
      </c>
      <c r="FL17" s="56">
        <f>SUMIFS(tblActuals354151923[Team 2 Goals],tblActuals354151923[Team 2],$CU17,tblActuals354151923[Team 1],FL$3)+SUMIFS(tblActuals354151923[Team 1 Goals],tblActuals354151923[Team 1],$CU17,tblActuals354151923[Team 2],FL$3)</f>
        <v>0</v>
      </c>
      <c r="FM17" s="56">
        <f>SUMIFS(tblActuals354151923[Team 2 Goals],tblActuals354151923[Team 2],$CU17,tblActuals354151923[Team 1],FM$3)+SUMIFS(tblActuals354151923[Team 1 Goals],tblActuals354151923[Team 1],$CU17,tblActuals354151923[Team 2],FM$3)</f>
        <v>0</v>
      </c>
      <c r="FN17" s="56">
        <f>SUMIFS(tblActuals354151923[Team 2 Goals],tblActuals354151923[Team 2],$CU17,tblActuals354151923[Team 1],FN$3)+SUMIFS(tblActuals354151923[Team 1 Goals],tblActuals354151923[Team 1],$CU17,tblActuals354151923[Team 2],FN$3)</f>
        <v>0</v>
      </c>
      <c r="FO17" s="56">
        <f>SUMIFS(tblActuals354151923[Team 2 Goals],tblActuals354151923[Team 2],$CU17,tblActuals354151923[Team 1],FO$3)+SUMIFS(tblActuals354151923[Team 1 Goals],tblActuals354151923[Team 1],$CU17,tblActuals354151923[Team 2],FO$3)</f>
        <v>0</v>
      </c>
      <c r="FP17" s="56">
        <f>SUMIFS(tblActuals354151923[Team 2 Goals],tblActuals354151923[Team 2],$CU17,tblActuals354151923[Team 1],FP$3)+SUMIFS(tblActuals354151923[Team 1 Goals],tblActuals354151923[Team 1],$CU17,tblActuals354151923[Team 2],FP$3)</f>
        <v>0</v>
      </c>
      <c r="FQ17" s="56">
        <f>SUMIFS(tblActuals354151923[Team 2 Goals],tblActuals354151923[Team 2],$CU17,tblActuals354151923[Team 1],FQ$3)+SUMIFS(tblActuals354151923[Team 1 Goals],tblActuals354151923[Team 1],$CU17,tblActuals354151923[Team 2],FQ$3)</f>
        <v>0</v>
      </c>
      <c r="FR17" s="56">
        <f>SUMIFS(tblActuals354151923[Team 2 Goals],tblActuals354151923[Team 2],$CU17,tblActuals354151923[Team 1],FR$3)+SUMIFS(tblActuals354151923[Team 1 Goals],tblActuals354151923[Team 1],$CU17,tblActuals354151923[Team 2],FR$3)</f>
        <v>0</v>
      </c>
      <c r="FS17" s="56">
        <f>SUMIFS(tblActuals354151923[Team 2 Goals],tblActuals354151923[Team 2],$CU17,tblActuals354151923[Team 1],FS$3)+SUMIFS(tblActuals354151923[Team 1 Goals],tblActuals354151923[Team 1],$CU17,tblActuals354151923[Team 2],FS$3)</f>
        <v>0</v>
      </c>
      <c r="FT17" s="56">
        <f>SUMIFS(tblActuals354151923[Team 2 Goals],tblActuals354151923[Team 2],$CU17,tblActuals354151923[Team 1],FT$3)+SUMIFS(tblActuals354151923[Team 1 Goals],tblActuals354151923[Team 1],$CU17,tblActuals354151923[Team 2],FT$3)</f>
        <v>0</v>
      </c>
      <c r="FU17" s="56">
        <f>SUMIFS(tblActuals354151923[Team 2 Goals],tblActuals354151923[Team 2],$CU17,tblActuals354151923[Team 1],FU$3)+SUMIFS(tblActuals354151923[Team 1 Goals],tblActuals354151923[Team 1],$CU17,tblActuals354151923[Team 2],FU$3)</f>
        <v>0</v>
      </c>
      <c r="FV17" s="56">
        <f>SUMIFS(tblActuals354151923[Team 2 Goals],tblActuals354151923[Team 2],$CU17,tblActuals354151923[Team 1],FV$3)+SUMIFS(tblActuals354151923[Team 1 Goals],tblActuals354151923[Team 1],$CU17,tblActuals354151923[Team 2],FV$3)</f>
        <v>0</v>
      </c>
      <c r="FW17" s="56">
        <f>SUMIFS(tblActuals354151923[Team 2 Goals],tblActuals354151923[Team 2],$CU17,tblActuals354151923[Team 1],FW$3)+SUMIFS(tblActuals354151923[Team 1 Goals],tblActuals354151923[Team 1],$CU17,tblActuals354151923[Team 2],FW$3)</f>
        <v>0</v>
      </c>
      <c r="FX17" s="56">
        <f>SUMIFS(tblActuals354151923[Team 2 Goals],tblActuals354151923[Team 2],$CU17,tblActuals354151923[Team 1],FX$3)+SUMIFS(tblActuals354151923[Team 1 Goals],tblActuals354151923[Team 1],$CU17,tblActuals354151923[Team 2],FX$3)</f>
        <v>0</v>
      </c>
      <c r="FY17" s="56">
        <f>SUMIFS(tblActuals354151923[Team 2 Goals],tblActuals354151923[Team 2],$CU17,tblActuals354151923[Team 1],FY$3)+SUMIFS(tblActuals354151923[Team 1 Goals],tblActuals354151923[Team 1],$CU17,tblActuals354151923[Team 2],FY$3)</f>
        <v>0</v>
      </c>
      <c r="FZ17" s="56">
        <f>SUMIFS(tblActuals354151923[Team 2 Goals],tblActuals354151923[Team 2],$CU17,tblActuals354151923[Team 1],FZ$3)+SUMIFS(tblActuals354151923[Team 1 Goals],tblActuals354151923[Team 1],$CU17,tblActuals354151923[Team 2],FZ$3)</f>
        <v>0</v>
      </c>
      <c r="GA17" s="56">
        <f>SUMIFS(tblActuals354151923[Team 2 Goals],tblActuals354151923[Team 2],$CU17,tblActuals354151923[Team 1],GA$3)+SUMIFS(tblActuals354151923[Team 1 Goals],tblActuals354151923[Team 1],$CU17,tblActuals354151923[Team 2],GA$3)</f>
        <v>0</v>
      </c>
      <c r="GB17" s="56">
        <f>SUMIFS(tblActuals354151923[Team 2 Goals],tblActuals354151923[Team 2],$CU17,tblActuals354151923[Team 1],GB$3)+SUMIFS(tblActuals354151923[Team 1 Goals],tblActuals354151923[Team 1],$CU17,tblActuals354151923[Team 2],GB$3)</f>
        <v>0</v>
      </c>
      <c r="GC17" s="56">
        <f>SUMIFS(tblActuals354151923[Team 2 Goals],tblActuals354151923[Team 2],$CU17,tblActuals354151923[Team 1],GC$3)+SUMIFS(tblActuals354151923[Team 1 Goals],tblActuals354151923[Team 1],$CU17,tblActuals354151923[Team 2],GC$3)</f>
        <v>0</v>
      </c>
      <c r="GD17" s="56">
        <f>SUMIFS(tblActuals354151923[Team 2 Goals],tblActuals354151923[Team 2],$CU17,tblActuals354151923[Team 1],GD$3)+SUMIFS(tblActuals354151923[Team 1 Goals],tblActuals354151923[Team 1],$CU17,tblActuals354151923[Team 2],GD$3)</f>
        <v>0</v>
      </c>
      <c r="GE17" s="56">
        <f>SUMIFS(tblActuals354151923[Team 2 Goals],tblActuals354151923[Team 2],$CU17,tblActuals354151923[Team 1],GE$3)+SUMIFS(tblActuals354151923[Team 1 Goals],tblActuals354151923[Team 1],$CU17,tblActuals354151923[Team 2],GE$3)</f>
        <v>0</v>
      </c>
      <c r="GF17" s="56">
        <f>SUMIFS(tblActuals354151923[Team 2 Goals],tblActuals354151923[Team 2],$CU17,tblActuals354151923[Team 1],GF$3)+SUMIFS(tblActuals354151923[Team 1 Goals],tblActuals354151923[Team 1],$CU17,tblActuals354151923[Team 2],GF$3)</f>
        <v>0</v>
      </c>
      <c r="GG17" s="56">
        <f>SUMIFS(tblActuals354151923[Team 2 Goals],tblActuals354151923[Team 2],$CU17,tblActuals354151923[Team 1],GG$3)+SUMIFS(tblActuals354151923[Team 1 Goals],tblActuals354151923[Team 1],$CU17,tblActuals354151923[Team 2],GG$3)</f>
        <v>0</v>
      </c>
      <c r="GH17" s="56">
        <f>SUMIFS(tblActuals354151923[Team 2 Goals],tblActuals354151923[Team 2],$CU17,tblActuals354151923[Team 1],GH$3)+SUMIFS(tblActuals354151923[Team 1 Goals],tblActuals354151923[Team 1],$CU17,tblActuals354151923[Team 2],GH$3)</f>
        <v>0</v>
      </c>
      <c r="GI17" s="56">
        <f>SUMIFS(tblActuals354151923[Team 2 Goals],tblActuals354151923[Team 2],$CU17,tblActuals354151923[Team 1],GI$3)+SUMIFS(tblActuals354151923[Team 1 Goals],tblActuals354151923[Team 1],$CU17,tblActuals354151923[Team 2],GI$3)</f>
        <v>0</v>
      </c>
      <c r="GJ17" s="57"/>
      <c r="GK17" s="57"/>
      <c r="GL17" s="37"/>
      <c r="GM17" s="37"/>
      <c r="GN17" s="37"/>
      <c r="GO17" s="37"/>
      <c r="GP17" s="37"/>
      <c r="GQ17" s="37"/>
      <c r="GR17" s="75"/>
      <c r="GS17" s="156"/>
      <c r="GT17" s="156"/>
      <c r="GU17" s="75"/>
      <c r="GV17" s="75"/>
      <c r="GW17" s="75"/>
      <c r="GX17" s="75"/>
      <c r="GY17" s="75"/>
      <c r="GZ17" s="75"/>
      <c r="HB17" s="4" t="str">
        <f t="shared" si="12"/>
        <v>BCEF</v>
      </c>
      <c r="HC17" s="45"/>
      <c r="HD17" s="44" t="s">
        <v>5</v>
      </c>
      <c r="HE17" s="44" t="s">
        <v>6</v>
      </c>
      <c r="HF17" s="45"/>
      <c r="HG17" s="44" t="s">
        <v>12</v>
      </c>
      <c r="HH17" s="44" t="s">
        <v>45</v>
      </c>
      <c r="HI17" s="178"/>
      <c r="HJ17" s="45" t="s">
        <v>154</v>
      </c>
      <c r="HK17" s="45" t="s">
        <v>153</v>
      </c>
      <c r="HL17" s="45" t="s">
        <v>152</v>
      </c>
      <c r="HM17" s="45" t="s">
        <v>151</v>
      </c>
    </row>
    <row r="18" spans="1:221" s="11" customFormat="1" ht="30" customHeight="1" x14ac:dyDescent="0.25">
      <c r="A18" s="20"/>
      <c r="B18" s="122">
        <v>15</v>
      </c>
      <c r="C18" s="122" t="s">
        <v>5</v>
      </c>
      <c r="D18" s="123">
        <v>45462</v>
      </c>
      <c r="E18" s="122" t="s">
        <v>84</v>
      </c>
      <c r="F18" s="124">
        <v>0.625</v>
      </c>
      <c r="G18" s="125">
        <f t="shared" si="11"/>
        <v>45462.375</v>
      </c>
      <c r="H18" s="122" t="s">
        <v>103</v>
      </c>
      <c r="I18" s="126"/>
      <c r="J18" s="118"/>
      <c r="K18" s="118"/>
      <c r="L18" s="174">
        <f>IF(I18="",0,IFERROR(IF(SCORING.RULES!$C$8="No",1,((VLOOKUP($B18,ACTUALS!$B$4:$L$100,7,FALSE)=$H18)+(VLOOKUP($B18,ACTUALS!$B$4:$L$100,7,FALSE)=S18)))*(M18+N18+O18+P18+Q18),0))+$R18</f>
        <v>0</v>
      </c>
      <c r="M18" s="168">
        <f>IFERROR(IF($B18="","",IF(U18=INDEX(ACTUALS!$AA$4:$AA$100,MATCH($B18,ACTUALS!$B$4:$B$100,0),1),CorrectScore,0)),0)</f>
        <v>0</v>
      </c>
      <c r="N18" s="157" t="str">
        <f>IFERROR(IF(I18="","",IF(INDEX(ACTUALS!$AB$4:$AB$100,MATCH($B18,ACTUALS!$B$4:$B$100,0),1)=(AB18+AC18+AH18+AI18),CorrectNumberofGoals,0)),0)</f>
        <v/>
      </c>
      <c r="O18" s="157"/>
      <c r="P18" s="157">
        <f>IFERROR(IF(B18="","",IF(INDEX(ACTUALS!$L$4:$L$100,MATCH($B18,ACTUALS!$B$4:$B$100,0),1)=W18,CorrectResult,0)),0)</f>
        <v>3</v>
      </c>
      <c r="Q18" s="157"/>
      <c r="R18" s="157"/>
      <c r="S18" s="157" t="str">
        <f t="shared" si="0"/>
        <v/>
      </c>
      <c r="T18" s="157"/>
      <c r="U18" s="157" t="str">
        <f t="shared" si="1"/>
        <v/>
      </c>
      <c r="V18" s="157" t="str">
        <f t="shared" si="2"/>
        <v/>
      </c>
      <c r="W18" s="119" t="str">
        <f>IF(tblActuals354151923[[#This Row],[SCORE]]="","",IF(AB18=AC18,"Draw",IF(AB18&gt;AC18,X18,Y18)))</f>
        <v/>
      </c>
      <c r="X18" s="120" t="str">
        <f>IF(tblActuals354151923[[#This Row],[TEAMS]]="","",LEFT(H18,FIND(" -",H18,1)-1))</f>
        <v>Croatia</v>
      </c>
      <c r="Y18" s="120" t="str">
        <f>IF(tblActuals354151923[[#This Row],[TEAMS]]="","",MID(H18,FIND("-",H18,1)+2,LEN(H18)-FIND("-",H18,1)+2))</f>
        <v>Albania</v>
      </c>
      <c r="Z18" s="120" t="str">
        <f>IF(tblActuals354151923[[#This Row],[Team 1 Goals]]&gt;tblActuals354151923[[#This Row],[Team 2 Goals]],tblActuals354151923[[#This Row],[Team 1]],IF(tblActuals354151923[[#This Row],[Team 2 Goals]]&gt;tblActuals354151923[[#This Row],[Team 1 Goals]],tblActuals354151923[[#This Row],[Team 2]],""))</f>
        <v/>
      </c>
      <c r="AA18" s="120" t="str">
        <f>IF(tblActuals354151923[[#This Row],[Winner]]=tblActuals354151923[[#This Row],[Team 1]],tblActuals354151923[[#This Row],[Team 2]],IF(tblActuals354151923[[#This Row],[Winner]]=tblActuals354151923[[#This Row],[Team 2]],tblActuals354151923[[#This Row],[Team 1]],""))</f>
        <v/>
      </c>
      <c r="AB18" s="120" t="str">
        <f>IF(tblActuals354151923[[#This Row],[SCORE]]="","",LEFT(I18,FIND(":",I18,1)-1)*1)</f>
        <v/>
      </c>
      <c r="AC18" s="120" t="str">
        <f>IF(tblActuals354151923[[#This Row],[SCORE]]="","",MID(I18,FIND(":",I18,1)+1,LEN(I18)-FIND(":",I18,1)+1)*1)</f>
        <v/>
      </c>
      <c r="AD18" s="120" t="str">
        <f>IF(OR(tblActuals354151923[[#This Row],[Team 1 Goals]]="",tblActuals354151923[[#This Row],[Team 2 Goals]]=""),"",tblActuals354151923[[#This Row],[Team 1 Goals]]-tblActuals354151923[[#This Row],[Team 2 Goals]])</f>
        <v/>
      </c>
      <c r="AE18" s="120" t="str">
        <f>IF(OR(tblActuals354151923[[#This Row],[Team 1 Goals]]="",tblActuals354151923[[#This Row],[Team 2 Goals]]=""),"",tblActuals354151923[[#This Row],[Team 2 Goals]]-tblActuals354151923[[#This Row],[Team 1 Goals]])</f>
        <v/>
      </c>
      <c r="AF18" s="120" t="str">
        <f>IF(tblActuals354151923[[#This Row],[SCORE]]="","",IF(tblActuals354151923[[#This Row],[WINNER / RESULT]]="Draw",1,IF(tblActuals354151923[[#This Row],[WINNER / RESULT]]=tblActuals354151923[[#This Row],[Team 1]],3,0)))</f>
        <v/>
      </c>
      <c r="AG18" s="120" t="str">
        <f>IF(tblActuals354151923[[#This Row],[SCORE]]="","",IF(tblActuals354151923[[#This Row],[WINNER / RESULT]]="Draw",1,IF(tblActuals354151923[[#This Row],[WINNER / RESULT]]=tblActuals354151923[[#This Row],[Team 2]],3,0)))</f>
        <v/>
      </c>
      <c r="AH18" s="121"/>
      <c r="AI18" s="121"/>
      <c r="AJ18" s="121"/>
      <c r="AK18" s="121"/>
      <c r="AL18" s="120" t="e">
        <f>tblActuals354151923[[#This Row],[Team 1 Goals]]+tblActuals354151923[[#This Row],[Team 1 ET Goals]]&amp;":"&amp;tblActuals354151923[[#This Row],[Team 2 Goals]]+tblActuals354151923[[#This Row],[Team 2 ET Goals]]</f>
        <v>#VALUE!</v>
      </c>
      <c r="AM18" s="120" t="e">
        <f>+tblActuals354151923[[#This Row],[Team 1 Goals]]+tblActuals354151923[[#This Row],[Team 2 Goals]]</f>
        <v>#VALUE!</v>
      </c>
      <c r="AN18" s="161">
        <f t="shared" si="3"/>
        <v>45462</v>
      </c>
      <c r="AT18" s="77" t="s">
        <v>6</v>
      </c>
      <c r="AU18" s="136">
        <v>1</v>
      </c>
      <c r="AV18" s="137" t="str">
        <f ca="1">IFERROR(INDEX(BD:BD,MATCH("1"&amp;AT18,BN:BN,0),1),"")</f>
        <v>Denmark</v>
      </c>
      <c r="AW18" s="137" t="str">
        <f ca="1">IF(AV18="","",VLOOKUP(AV18,BD:BI,2,FALSE)&amp;"-"&amp;VLOOKUP(AV18,BD:BI,3,FALSE)&amp;"-"&amp;VLOOKUP(AV18,BD:BI,4,FALSE))</f>
        <v>0-0-0</v>
      </c>
      <c r="AX18" s="137">
        <f ca="1">IF(AV18="","",VLOOKUP(AV18,BD:BK,8,FALSE))</f>
        <v>0</v>
      </c>
      <c r="AY18" s="138">
        <f ca="1">IF(AV18="","",VLOOKUP(AV18,BD:BN,5,FALSE))</f>
        <v>0</v>
      </c>
      <c r="AZ18" s="75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 t="str">
        <f t="shared" si="4"/>
        <v/>
      </c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U18" s="4" t="s">
        <v>129</v>
      </c>
      <c r="CV18" s="56">
        <f>SUMIFS(tblActuals354151923[Team 2 Points],tblActuals354151923[Team 2],$CU18,tblActuals354151923[Team 1],CV$3)+SUMIFS(tblActuals354151923[Team 1 Points],tblActuals354151923[Team 1],$CU18,tblActuals354151923[Team 2],CV$3)</f>
        <v>0</v>
      </c>
      <c r="CW18" s="56">
        <f>SUMIFS(tblActuals354151923[Team 2 Points],tblActuals354151923[Team 2],$CU18,tblActuals354151923[Team 1],CW$3)+SUMIFS(tblActuals354151923[Team 1 Points],tblActuals354151923[Team 1],$CU18,tblActuals354151923[Team 2],CW$3)</f>
        <v>0</v>
      </c>
      <c r="CX18" s="56">
        <f>SUMIFS(tblActuals354151923[Team 2 Points],tblActuals354151923[Team 2],$CU18,tblActuals354151923[Team 1],CX$3)+SUMIFS(tblActuals354151923[Team 1 Points],tblActuals354151923[Team 1],$CU18,tblActuals354151923[Team 2],CX$3)</f>
        <v>0</v>
      </c>
      <c r="CY18" s="56">
        <f>SUMIFS(tblActuals354151923[Team 2 Points],tblActuals354151923[Team 2],$CU18,tblActuals354151923[Team 1],CY$3)+SUMIFS(tblActuals354151923[Team 1 Points],tblActuals354151923[Team 1],$CU18,tblActuals354151923[Team 2],CY$3)</f>
        <v>0</v>
      </c>
      <c r="CZ18" s="56">
        <f>SUMIFS(tblActuals354151923[Team 2 Points],tblActuals354151923[Team 2],$CU18,tblActuals354151923[Team 1],CZ$3)+SUMIFS(tblActuals354151923[Team 1 Points],tblActuals354151923[Team 1],$CU18,tblActuals354151923[Team 2],CZ$3)</f>
        <v>0</v>
      </c>
      <c r="DA18" s="56">
        <f>SUMIFS(tblActuals354151923[Team 2 Points],tblActuals354151923[Team 2],$CU18,tblActuals354151923[Team 1],DA$3)+SUMIFS(tblActuals354151923[Team 1 Points],tblActuals354151923[Team 1],$CU18,tblActuals354151923[Team 2],DA$3)</f>
        <v>0</v>
      </c>
      <c r="DB18" s="56">
        <f>SUMIFS(tblActuals354151923[Team 2 Points],tblActuals354151923[Team 2],$CU18,tblActuals354151923[Team 1],DB$3)+SUMIFS(tblActuals354151923[Team 1 Points],tblActuals354151923[Team 1],$CU18,tblActuals354151923[Team 2],DB$3)</f>
        <v>0</v>
      </c>
      <c r="DC18" s="56">
        <f>SUMIFS(tblActuals354151923[Team 2 Points],tblActuals354151923[Team 2],$CU18,tblActuals354151923[Team 1],DC$3)+SUMIFS(tblActuals354151923[Team 1 Points],tblActuals354151923[Team 1],$CU18,tblActuals354151923[Team 2],DC$3)</f>
        <v>0</v>
      </c>
      <c r="DD18" s="56">
        <f>SUMIFS(tblActuals354151923[Team 2 Points],tblActuals354151923[Team 2],$CU18,tblActuals354151923[Team 1],DD$3)+SUMIFS(tblActuals354151923[Team 1 Points],tblActuals354151923[Team 1],$CU18,tblActuals354151923[Team 2],DD$3)</f>
        <v>0</v>
      </c>
      <c r="DE18" s="56">
        <f>SUMIFS(tblActuals354151923[Team 2 Points],tblActuals354151923[Team 2],$CU18,tblActuals354151923[Team 1],DE$3)+SUMIFS(tblActuals354151923[Team 1 Points],tblActuals354151923[Team 1],$CU18,tblActuals354151923[Team 2],DE$3)</f>
        <v>0</v>
      </c>
      <c r="DF18" s="56">
        <f>SUMIFS(tblActuals354151923[Team 2 Points],tblActuals354151923[Team 2],$CU18,tblActuals354151923[Team 1],DF$3)+SUMIFS(tblActuals354151923[Team 1 Points],tblActuals354151923[Team 1],$CU18,tblActuals354151923[Team 2],DF$3)</f>
        <v>0</v>
      </c>
      <c r="DG18" s="56">
        <f>SUMIFS(tblActuals354151923[Team 2 Points],tblActuals354151923[Team 2],$CU18,tblActuals354151923[Team 1],DG$3)+SUMIFS(tblActuals354151923[Team 1 Points],tblActuals354151923[Team 1],$CU18,tblActuals354151923[Team 2],DG$3)</f>
        <v>0</v>
      </c>
      <c r="DH18" s="56">
        <f>SUMIFS(tblActuals354151923[Team 2 Points],tblActuals354151923[Team 2],$CU18,tblActuals354151923[Team 1],DH$3)+SUMIFS(tblActuals354151923[Team 1 Points],tblActuals354151923[Team 1],$CU18,tblActuals354151923[Team 2],DH$3)</f>
        <v>0</v>
      </c>
      <c r="DI18" s="56">
        <f>SUMIFS(tblActuals354151923[Team 2 Points],tblActuals354151923[Team 2],$CU18,tblActuals354151923[Team 1],DI$3)+SUMIFS(tblActuals354151923[Team 1 Points],tblActuals354151923[Team 1],$CU18,tblActuals354151923[Team 2],DI$3)</f>
        <v>0</v>
      </c>
      <c r="DJ18" s="56">
        <f>SUMIFS(tblActuals354151923[Team 2 Points],tblActuals354151923[Team 2],$CU18,tblActuals354151923[Team 1],DJ$3)+SUMIFS(tblActuals354151923[Team 1 Points],tblActuals354151923[Team 1],$CU18,tblActuals354151923[Team 2],DJ$3)</f>
        <v>0</v>
      </c>
      <c r="DK18" s="56">
        <f>SUMIFS(tblActuals354151923[Team 2 Points],tblActuals354151923[Team 2],$CU18,tblActuals354151923[Team 1],DK$3)+SUMIFS(tblActuals354151923[Team 1 Points],tblActuals354151923[Team 1],$CU18,tblActuals354151923[Team 2],DK$3)</f>
        <v>0</v>
      </c>
      <c r="DL18" s="56">
        <f>SUMIFS(tblActuals354151923[Team 2 Points],tblActuals354151923[Team 2],$CU18,tblActuals354151923[Team 1],DL$3)+SUMIFS(tblActuals354151923[Team 1 Points],tblActuals354151923[Team 1],$CU18,tblActuals354151923[Team 2],DL$3)</f>
        <v>0</v>
      </c>
      <c r="DM18" s="56">
        <f>SUMIFS(tblActuals354151923[Team 2 Points],tblActuals354151923[Team 2],$CU18,tblActuals354151923[Team 1],DM$3)+SUMIFS(tblActuals354151923[Team 1 Points],tblActuals354151923[Team 1],$CU18,tblActuals354151923[Team 2],DM$3)</f>
        <v>0</v>
      </c>
      <c r="DN18" s="56">
        <f>SUMIFS(tblActuals354151923[Team 2 Points],tblActuals354151923[Team 2],$CU18,tblActuals354151923[Team 1],DN$3)+SUMIFS(tblActuals354151923[Team 1 Points],tblActuals354151923[Team 1],$CU18,tblActuals354151923[Team 2],DN$3)</f>
        <v>0</v>
      </c>
      <c r="DO18" s="56">
        <f>SUMIFS(tblActuals354151923[Team 2 Points],tblActuals354151923[Team 2],$CU18,tblActuals354151923[Team 1],DO$3)+SUMIFS(tblActuals354151923[Team 1 Points],tblActuals354151923[Team 1],$CU18,tblActuals354151923[Team 2],DO$3)</f>
        <v>0</v>
      </c>
      <c r="DP18" s="56">
        <f>SUMIFS(tblActuals354151923[Team 2 Points],tblActuals354151923[Team 2],$CU18,tblActuals354151923[Team 1],DP$3)+SUMIFS(tblActuals354151923[Team 1 Points],tblActuals354151923[Team 1],$CU18,tblActuals354151923[Team 2],DP$3)</f>
        <v>0</v>
      </c>
      <c r="DQ18" s="56">
        <f>SUMIFS(tblActuals354151923[Team 2 Points],tblActuals354151923[Team 2],$CU18,tblActuals354151923[Team 1],DQ$3)+SUMIFS(tblActuals354151923[Team 1 Points],tblActuals354151923[Team 1],$CU18,tblActuals354151923[Team 2],DQ$3)</f>
        <v>0</v>
      </c>
      <c r="DR18" s="56">
        <f>SUMIFS(tblActuals354151923[Team 2 Points],tblActuals354151923[Team 2],$CU18,tblActuals354151923[Team 1],DR$3)+SUMIFS(tblActuals354151923[Team 1 Points],tblActuals354151923[Team 1],$CU18,tblActuals354151923[Team 2],DR$3)</f>
        <v>0</v>
      </c>
      <c r="DS18" s="56">
        <f>SUMIFS(tblActuals354151923[Team 2 Points],tblActuals354151923[Team 2],$CU18,tblActuals354151923[Team 1],DS$3)+SUMIFS(tblActuals354151923[Team 1 Points],tblActuals354151923[Team 1],$CU18,tblActuals354151923[Team 2],DS$3)</f>
        <v>0</v>
      </c>
      <c r="DT18" s="57"/>
      <c r="DU18" s="57"/>
      <c r="DV18" s="57"/>
      <c r="DW18" s="57"/>
      <c r="DX18" s="57"/>
      <c r="DY18" s="57"/>
      <c r="DZ18" s="57"/>
      <c r="EA18" s="57"/>
      <c r="EB18" s="4"/>
      <c r="EC18" s="4" t="s">
        <v>129</v>
      </c>
      <c r="ED18" s="56">
        <f>SUMIFS(tblActuals354151923[Team 2 GD],tblActuals354151923[Team 2],$CU18,tblActuals354151923[Team 1],ED$3)+SUMIFS(tblActuals354151923[Team 1 GD],tblActuals354151923[Team 1],$CU18,tblActuals354151923[Team 2],ED$3)</f>
        <v>0</v>
      </c>
      <c r="EE18" s="56">
        <f>SUMIFS(tblActuals354151923[Team 2 GD],tblActuals354151923[Team 2],$CU18,tblActuals354151923[Team 1],EE$3)+SUMIFS(tblActuals354151923[Team 1 GD],tblActuals354151923[Team 1],$CU18,tblActuals354151923[Team 2],EE$3)</f>
        <v>0</v>
      </c>
      <c r="EF18" s="56">
        <f>SUMIFS(tblActuals354151923[Team 2 GD],tblActuals354151923[Team 2],$CU18,tblActuals354151923[Team 1],EF$3)+SUMIFS(tblActuals354151923[Team 1 GD],tblActuals354151923[Team 1],$CU18,tblActuals354151923[Team 2],EF$3)</f>
        <v>0</v>
      </c>
      <c r="EG18" s="56">
        <f>SUMIFS(tblActuals354151923[Team 2 GD],tblActuals354151923[Team 2],$CU18,tblActuals354151923[Team 1],EG$3)+SUMIFS(tblActuals354151923[Team 1 GD],tblActuals354151923[Team 1],$CU18,tblActuals354151923[Team 2],EG$3)</f>
        <v>0</v>
      </c>
      <c r="EH18" s="56">
        <f>SUMIFS(tblActuals354151923[Team 2 GD],tblActuals354151923[Team 2],$CU18,tblActuals354151923[Team 1],EH$3)+SUMIFS(tblActuals354151923[Team 1 GD],tblActuals354151923[Team 1],$CU18,tblActuals354151923[Team 2],EH$3)</f>
        <v>0</v>
      </c>
      <c r="EI18" s="56">
        <f>SUMIFS(tblActuals354151923[Team 2 GD],tblActuals354151923[Team 2],$CU18,tblActuals354151923[Team 1],EI$3)+SUMIFS(tblActuals354151923[Team 1 GD],tblActuals354151923[Team 1],$CU18,tblActuals354151923[Team 2],EI$3)</f>
        <v>0</v>
      </c>
      <c r="EJ18" s="56">
        <f>SUMIFS(tblActuals354151923[Team 2 GD],tblActuals354151923[Team 2],$CU18,tblActuals354151923[Team 1],EJ$3)+SUMIFS(tblActuals354151923[Team 1 GD],tblActuals354151923[Team 1],$CU18,tblActuals354151923[Team 2],EJ$3)</f>
        <v>0</v>
      </c>
      <c r="EK18" s="56">
        <f>SUMIFS(tblActuals354151923[Team 2 GD],tblActuals354151923[Team 2],$CU18,tblActuals354151923[Team 1],EK$3)+SUMIFS(tblActuals354151923[Team 1 GD],tblActuals354151923[Team 1],$CU18,tblActuals354151923[Team 2],EK$3)</f>
        <v>0</v>
      </c>
      <c r="EL18" s="56">
        <f>SUMIFS(tblActuals354151923[Team 2 GD],tblActuals354151923[Team 2],$CU18,tblActuals354151923[Team 1],EL$3)+SUMIFS(tblActuals354151923[Team 1 GD],tblActuals354151923[Team 1],$CU18,tblActuals354151923[Team 2],EL$3)</f>
        <v>0</v>
      </c>
      <c r="EM18" s="56">
        <f>SUMIFS(tblActuals354151923[Team 2 GD],tblActuals354151923[Team 2],$CU18,tblActuals354151923[Team 1],EM$3)+SUMIFS(tblActuals354151923[Team 1 GD],tblActuals354151923[Team 1],$CU18,tblActuals354151923[Team 2],EM$3)</f>
        <v>0</v>
      </c>
      <c r="EN18" s="56">
        <f>SUMIFS(tblActuals354151923[Team 2 GD],tblActuals354151923[Team 2],$CU18,tblActuals354151923[Team 1],EN$3)+SUMIFS(tblActuals354151923[Team 1 GD],tblActuals354151923[Team 1],$CU18,tblActuals354151923[Team 2],EN$3)</f>
        <v>0</v>
      </c>
      <c r="EO18" s="56">
        <f>SUMIFS(tblActuals354151923[Team 2 GD],tblActuals354151923[Team 2],$CU18,tblActuals354151923[Team 1],EO$3)+SUMIFS(tblActuals354151923[Team 1 GD],tblActuals354151923[Team 1],$CU18,tblActuals354151923[Team 2],EO$3)</f>
        <v>0</v>
      </c>
      <c r="EP18" s="56">
        <f>SUMIFS(tblActuals354151923[Team 2 GD],tblActuals354151923[Team 2],$CU18,tblActuals354151923[Team 1],EP$3)+SUMIFS(tblActuals354151923[Team 1 GD],tblActuals354151923[Team 1],$CU18,tblActuals354151923[Team 2],EP$3)</f>
        <v>0</v>
      </c>
      <c r="EQ18" s="56">
        <f>SUMIFS(tblActuals354151923[Team 2 GD],tblActuals354151923[Team 2],$CU18,tblActuals354151923[Team 1],EQ$3)+SUMIFS(tblActuals354151923[Team 1 GD],tblActuals354151923[Team 1],$CU18,tblActuals354151923[Team 2],EQ$3)</f>
        <v>0</v>
      </c>
      <c r="ER18" s="56">
        <f>SUMIFS(tblActuals354151923[Team 2 GD],tblActuals354151923[Team 2],$CU18,tblActuals354151923[Team 1],ER$3)+SUMIFS(tblActuals354151923[Team 1 GD],tblActuals354151923[Team 1],$CU18,tblActuals354151923[Team 2],ER$3)</f>
        <v>0</v>
      </c>
      <c r="ES18" s="56">
        <f>SUMIFS(tblActuals354151923[Team 2 GD],tblActuals354151923[Team 2],$CU18,tblActuals354151923[Team 1],ES$3)+SUMIFS(tblActuals354151923[Team 1 GD],tblActuals354151923[Team 1],$CU18,tblActuals354151923[Team 2],ES$3)</f>
        <v>0</v>
      </c>
      <c r="ET18" s="56">
        <f>SUMIFS(tblActuals354151923[Team 2 GD],tblActuals354151923[Team 2],$CU18,tblActuals354151923[Team 1],ET$3)+SUMIFS(tblActuals354151923[Team 1 GD],tblActuals354151923[Team 1],$CU18,tblActuals354151923[Team 2],ET$3)</f>
        <v>0</v>
      </c>
      <c r="EU18" s="56">
        <f>SUMIFS(tblActuals354151923[Team 2 GD],tblActuals354151923[Team 2],$CU18,tblActuals354151923[Team 1],EU$3)+SUMIFS(tblActuals354151923[Team 1 GD],tblActuals354151923[Team 1],$CU18,tblActuals354151923[Team 2],EU$3)</f>
        <v>0</v>
      </c>
      <c r="EV18" s="56">
        <f>SUMIFS(tblActuals354151923[Team 2 GD],tblActuals354151923[Team 2],$CU18,tblActuals354151923[Team 1],EV$3)+SUMIFS(tblActuals354151923[Team 1 GD],tblActuals354151923[Team 1],$CU18,tblActuals354151923[Team 2],EV$3)</f>
        <v>0</v>
      </c>
      <c r="EW18" s="56">
        <f>SUMIFS(tblActuals354151923[Team 2 GD],tblActuals354151923[Team 2],$CU18,tblActuals354151923[Team 1],EW$3)+SUMIFS(tblActuals354151923[Team 1 GD],tblActuals354151923[Team 1],$CU18,tblActuals354151923[Team 2],EW$3)</f>
        <v>0</v>
      </c>
      <c r="EX18" s="56">
        <f>SUMIFS(tblActuals354151923[Team 2 GD],tblActuals354151923[Team 2],$CU18,tblActuals354151923[Team 1],EX$3)+SUMIFS(tblActuals354151923[Team 1 GD],tblActuals354151923[Team 1],$CU18,tblActuals354151923[Team 2],EX$3)</f>
        <v>0</v>
      </c>
      <c r="EY18" s="56">
        <f>SUMIFS(tblActuals354151923[Team 2 GD],tblActuals354151923[Team 2],$CU18,tblActuals354151923[Team 1],EY$3)+SUMIFS(tblActuals354151923[Team 1 GD],tblActuals354151923[Team 1],$CU18,tblActuals354151923[Team 2],EY$3)</f>
        <v>0</v>
      </c>
      <c r="EZ18" s="56">
        <f>SUMIFS(tblActuals354151923[Team 2 GD],tblActuals354151923[Team 2],$CU18,tblActuals354151923[Team 1],EZ$3)+SUMIFS(tblActuals354151923[Team 1 GD],tblActuals354151923[Team 1],$CU18,tblActuals354151923[Team 2],EZ$3)</f>
        <v>0</v>
      </c>
      <c r="FA18" s="56">
        <f>SUMIFS(tblActuals354151923[Team 2 GD],tblActuals354151923[Team 2],$CU18,tblActuals354151923[Team 1],FA$3)+SUMIFS(tblActuals354151923[Team 1 GD],tblActuals354151923[Team 1],$CU18,tblActuals354151923[Team 2],FA$3)</f>
        <v>0</v>
      </c>
      <c r="FB18" s="57"/>
      <c r="FC18" s="57"/>
      <c r="FD18" s="57"/>
      <c r="FE18" s="57"/>
      <c r="FF18" s="57"/>
      <c r="FG18" s="57"/>
      <c r="FH18" s="57"/>
      <c r="FI18" s="57"/>
      <c r="FJ18" s="4"/>
      <c r="FK18" s="4" t="s">
        <v>129</v>
      </c>
      <c r="FL18" s="56">
        <f>SUMIFS(tblActuals354151923[Team 2 Goals],tblActuals354151923[Team 2],$CU18,tblActuals354151923[Team 1],FL$3)+SUMIFS(tblActuals354151923[Team 1 Goals],tblActuals354151923[Team 1],$CU18,tblActuals354151923[Team 2],FL$3)</f>
        <v>0</v>
      </c>
      <c r="FM18" s="56">
        <f>SUMIFS(tblActuals354151923[Team 2 Goals],tblActuals354151923[Team 2],$CU18,tblActuals354151923[Team 1],FM$3)+SUMIFS(tblActuals354151923[Team 1 Goals],tblActuals354151923[Team 1],$CU18,tblActuals354151923[Team 2],FM$3)</f>
        <v>0</v>
      </c>
      <c r="FN18" s="56">
        <f>SUMIFS(tblActuals354151923[Team 2 Goals],tblActuals354151923[Team 2],$CU18,tblActuals354151923[Team 1],FN$3)+SUMIFS(tblActuals354151923[Team 1 Goals],tblActuals354151923[Team 1],$CU18,tblActuals354151923[Team 2],FN$3)</f>
        <v>0</v>
      </c>
      <c r="FO18" s="56">
        <f>SUMIFS(tblActuals354151923[Team 2 Goals],tblActuals354151923[Team 2],$CU18,tblActuals354151923[Team 1],FO$3)+SUMIFS(tblActuals354151923[Team 1 Goals],tblActuals354151923[Team 1],$CU18,tblActuals354151923[Team 2],FO$3)</f>
        <v>0</v>
      </c>
      <c r="FP18" s="56">
        <f>SUMIFS(tblActuals354151923[Team 2 Goals],tblActuals354151923[Team 2],$CU18,tblActuals354151923[Team 1],FP$3)+SUMIFS(tblActuals354151923[Team 1 Goals],tblActuals354151923[Team 1],$CU18,tblActuals354151923[Team 2],FP$3)</f>
        <v>0</v>
      </c>
      <c r="FQ18" s="56">
        <f>SUMIFS(tblActuals354151923[Team 2 Goals],tblActuals354151923[Team 2],$CU18,tblActuals354151923[Team 1],FQ$3)+SUMIFS(tblActuals354151923[Team 1 Goals],tblActuals354151923[Team 1],$CU18,tblActuals354151923[Team 2],FQ$3)</f>
        <v>0</v>
      </c>
      <c r="FR18" s="56">
        <f>SUMIFS(tblActuals354151923[Team 2 Goals],tblActuals354151923[Team 2],$CU18,tblActuals354151923[Team 1],FR$3)+SUMIFS(tblActuals354151923[Team 1 Goals],tblActuals354151923[Team 1],$CU18,tblActuals354151923[Team 2],FR$3)</f>
        <v>0</v>
      </c>
      <c r="FS18" s="56">
        <f>SUMIFS(tblActuals354151923[Team 2 Goals],tblActuals354151923[Team 2],$CU18,tblActuals354151923[Team 1],FS$3)+SUMIFS(tblActuals354151923[Team 1 Goals],tblActuals354151923[Team 1],$CU18,tblActuals354151923[Team 2],FS$3)</f>
        <v>0</v>
      </c>
      <c r="FT18" s="56">
        <f>SUMIFS(tblActuals354151923[Team 2 Goals],tblActuals354151923[Team 2],$CU18,tblActuals354151923[Team 1],FT$3)+SUMIFS(tblActuals354151923[Team 1 Goals],tblActuals354151923[Team 1],$CU18,tblActuals354151923[Team 2],FT$3)</f>
        <v>0</v>
      </c>
      <c r="FU18" s="56">
        <f>SUMIFS(tblActuals354151923[Team 2 Goals],tblActuals354151923[Team 2],$CU18,tblActuals354151923[Team 1],FU$3)+SUMIFS(tblActuals354151923[Team 1 Goals],tblActuals354151923[Team 1],$CU18,tblActuals354151923[Team 2],FU$3)</f>
        <v>0</v>
      </c>
      <c r="FV18" s="56">
        <f>SUMIFS(tblActuals354151923[Team 2 Goals],tblActuals354151923[Team 2],$CU18,tblActuals354151923[Team 1],FV$3)+SUMIFS(tblActuals354151923[Team 1 Goals],tblActuals354151923[Team 1],$CU18,tblActuals354151923[Team 2],FV$3)</f>
        <v>0</v>
      </c>
      <c r="FW18" s="56">
        <f>SUMIFS(tblActuals354151923[Team 2 Goals],tblActuals354151923[Team 2],$CU18,tblActuals354151923[Team 1],FW$3)+SUMIFS(tblActuals354151923[Team 1 Goals],tblActuals354151923[Team 1],$CU18,tblActuals354151923[Team 2],FW$3)</f>
        <v>0</v>
      </c>
      <c r="FX18" s="56">
        <f>SUMIFS(tblActuals354151923[Team 2 Goals],tblActuals354151923[Team 2],$CU18,tblActuals354151923[Team 1],FX$3)+SUMIFS(tblActuals354151923[Team 1 Goals],tblActuals354151923[Team 1],$CU18,tblActuals354151923[Team 2],FX$3)</f>
        <v>0</v>
      </c>
      <c r="FY18" s="56">
        <f>SUMIFS(tblActuals354151923[Team 2 Goals],tblActuals354151923[Team 2],$CU18,tblActuals354151923[Team 1],FY$3)+SUMIFS(tblActuals354151923[Team 1 Goals],tblActuals354151923[Team 1],$CU18,tblActuals354151923[Team 2],FY$3)</f>
        <v>0</v>
      </c>
      <c r="FZ18" s="56">
        <f>SUMIFS(tblActuals354151923[Team 2 Goals],tblActuals354151923[Team 2],$CU18,tblActuals354151923[Team 1],FZ$3)+SUMIFS(tblActuals354151923[Team 1 Goals],tblActuals354151923[Team 1],$CU18,tblActuals354151923[Team 2],FZ$3)</f>
        <v>0</v>
      </c>
      <c r="GA18" s="56">
        <f>SUMIFS(tblActuals354151923[Team 2 Goals],tblActuals354151923[Team 2],$CU18,tblActuals354151923[Team 1],GA$3)+SUMIFS(tblActuals354151923[Team 1 Goals],tblActuals354151923[Team 1],$CU18,tblActuals354151923[Team 2],GA$3)</f>
        <v>0</v>
      </c>
      <c r="GB18" s="56">
        <f>SUMIFS(tblActuals354151923[Team 2 Goals],tblActuals354151923[Team 2],$CU18,tblActuals354151923[Team 1],GB$3)+SUMIFS(tblActuals354151923[Team 1 Goals],tblActuals354151923[Team 1],$CU18,tblActuals354151923[Team 2],GB$3)</f>
        <v>0</v>
      </c>
      <c r="GC18" s="56">
        <f>SUMIFS(tblActuals354151923[Team 2 Goals],tblActuals354151923[Team 2],$CU18,tblActuals354151923[Team 1],GC$3)+SUMIFS(tblActuals354151923[Team 1 Goals],tblActuals354151923[Team 1],$CU18,tblActuals354151923[Team 2],GC$3)</f>
        <v>0</v>
      </c>
      <c r="GD18" s="56">
        <f>SUMIFS(tblActuals354151923[Team 2 Goals],tblActuals354151923[Team 2],$CU18,tblActuals354151923[Team 1],GD$3)+SUMIFS(tblActuals354151923[Team 1 Goals],tblActuals354151923[Team 1],$CU18,tblActuals354151923[Team 2],GD$3)</f>
        <v>0</v>
      </c>
      <c r="GE18" s="56">
        <f>SUMIFS(tblActuals354151923[Team 2 Goals],tblActuals354151923[Team 2],$CU18,tblActuals354151923[Team 1],GE$3)+SUMIFS(tblActuals354151923[Team 1 Goals],tblActuals354151923[Team 1],$CU18,tblActuals354151923[Team 2],GE$3)</f>
        <v>0</v>
      </c>
      <c r="GF18" s="56">
        <f>SUMIFS(tblActuals354151923[Team 2 Goals],tblActuals354151923[Team 2],$CU18,tblActuals354151923[Team 1],GF$3)+SUMIFS(tblActuals354151923[Team 1 Goals],tblActuals354151923[Team 1],$CU18,tblActuals354151923[Team 2],GF$3)</f>
        <v>0</v>
      </c>
      <c r="GG18" s="56">
        <f>SUMIFS(tblActuals354151923[Team 2 Goals],tblActuals354151923[Team 2],$CU18,tblActuals354151923[Team 1],GG$3)+SUMIFS(tblActuals354151923[Team 1 Goals],tblActuals354151923[Team 1],$CU18,tblActuals354151923[Team 2],GG$3)</f>
        <v>0</v>
      </c>
      <c r="GH18" s="56">
        <f>SUMIFS(tblActuals354151923[Team 2 Goals],tblActuals354151923[Team 2],$CU18,tblActuals354151923[Team 1],GH$3)+SUMIFS(tblActuals354151923[Team 1 Goals],tblActuals354151923[Team 1],$CU18,tblActuals354151923[Team 2],GH$3)</f>
        <v>0</v>
      </c>
      <c r="GI18" s="56">
        <f>SUMIFS(tblActuals354151923[Team 2 Goals],tblActuals354151923[Team 2],$CU18,tblActuals354151923[Team 1],GI$3)+SUMIFS(tblActuals354151923[Team 1 Goals],tblActuals354151923[Team 1],$CU18,tblActuals354151923[Team 2],GI$3)</f>
        <v>0</v>
      </c>
      <c r="GJ18" s="57"/>
      <c r="GK18" s="57"/>
      <c r="GL18" s="37"/>
      <c r="GM18" s="37"/>
      <c r="GN18" s="37"/>
      <c r="GO18" s="37"/>
      <c r="GP18" s="37"/>
      <c r="GQ18" s="37"/>
      <c r="GR18" s="75"/>
      <c r="GS18" s="156"/>
      <c r="GT18" s="156"/>
      <c r="GU18" s="75"/>
      <c r="GV18" s="75"/>
      <c r="GW18" s="75"/>
      <c r="GX18" s="75"/>
      <c r="GY18" s="75"/>
      <c r="GZ18" s="75"/>
      <c r="HB18" s="4" t="str">
        <f t="shared" si="12"/>
        <v>BDEF</v>
      </c>
      <c r="HC18" s="45"/>
      <c r="HD18" s="44" t="s">
        <v>5</v>
      </c>
      <c r="HE18" s="45"/>
      <c r="HF18" s="44" t="s">
        <v>7</v>
      </c>
      <c r="HG18" s="44" t="s">
        <v>12</v>
      </c>
      <c r="HH18" s="44" t="s">
        <v>45</v>
      </c>
      <c r="HI18" s="178"/>
      <c r="HJ18" s="45" t="s">
        <v>154</v>
      </c>
      <c r="HK18" s="45" t="s">
        <v>153</v>
      </c>
      <c r="HL18" s="45" t="s">
        <v>150</v>
      </c>
      <c r="HM18" s="45" t="s">
        <v>151</v>
      </c>
    </row>
    <row r="19" spans="1:221" s="11" customFormat="1" ht="30" customHeight="1" x14ac:dyDescent="0.25">
      <c r="A19" s="20"/>
      <c r="B19" s="122">
        <v>16</v>
      </c>
      <c r="C19" s="122" t="s">
        <v>5</v>
      </c>
      <c r="D19" s="123">
        <v>45463</v>
      </c>
      <c r="E19" s="122" t="s">
        <v>82</v>
      </c>
      <c r="F19" s="124">
        <v>0.875</v>
      </c>
      <c r="G19" s="125">
        <f t="shared" si="11"/>
        <v>45463.625</v>
      </c>
      <c r="H19" s="124" t="s">
        <v>104</v>
      </c>
      <c r="I19" s="126"/>
      <c r="J19" s="118"/>
      <c r="K19" s="118"/>
      <c r="L19" s="174">
        <f>IF(I19="",0,IFERROR(IF(SCORING.RULES!$C$8="No",1,((VLOOKUP($B19,ACTUALS!$B$4:$L$100,7,FALSE)=$H19)+(VLOOKUP($B19,ACTUALS!$B$4:$L$100,7,FALSE)=S19)))*(M19+N19+O19+P19+Q19),0))+$R19</f>
        <v>0</v>
      </c>
      <c r="M19" s="168">
        <f>IFERROR(IF($B19="","",IF(U19=INDEX(ACTUALS!$AA$4:$AA$100,MATCH($B19,ACTUALS!$B$4:$B$100,0),1),CorrectScore,0)),0)</f>
        <v>0</v>
      </c>
      <c r="N19" s="157" t="str">
        <f>IFERROR(IF(I19="","",IF(INDEX(ACTUALS!$AB$4:$AB$100,MATCH($B19,ACTUALS!$B$4:$B$100,0),1)=(AB19+AC19+AH19+AI19),CorrectNumberofGoals,0)),0)</f>
        <v/>
      </c>
      <c r="O19" s="157"/>
      <c r="P19" s="157">
        <f>IFERROR(IF(B19="","",IF(INDEX(ACTUALS!$L$4:$L$100,MATCH($B19,ACTUALS!$B$4:$B$100,0),1)=W19,CorrectResult,0)),0)</f>
        <v>3</v>
      </c>
      <c r="Q19" s="157"/>
      <c r="R19" s="157"/>
      <c r="S19" s="157" t="str">
        <f t="shared" si="0"/>
        <v/>
      </c>
      <c r="T19" s="157"/>
      <c r="U19" s="157" t="str">
        <f t="shared" si="1"/>
        <v/>
      </c>
      <c r="V19" s="157" t="str">
        <f t="shared" si="2"/>
        <v/>
      </c>
      <c r="W19" s="119" t="str">
        <f>IF(tblActuals354151923[[#This Row],[SCORE]]="","",IF(AB19=AC19,"Draw",IF(AB19&gt;AC19,X19,Y19)))</f>
        <v/>
      </c>
      <c r="X19" s="120" t="str">
        <f>IF(tblActuals354151923[[#This Row],[TEAMS]]="","",LEFT(H19,FIND(" -",H19,1)-1))</f>
        <v>Spain</v>
      </c>
      <c r="Y19" s="120" t="str">
        <f>IF(tblActuals354151923[[#This Row],[TEAMS]]="","",MID(H19,FIND("-",H19,1)+2,LEN(H19)-FIND("-",H19,1)+2))</f>
        <v>Italy</v>
      </c>
      <c r="Z19" s="120" t="str">
        <f>IF(tblActuals354151923[[#This Row],[Team 1 Goals]]&gt;tblActuals354151923[[#This Row],[Team 2 Goals]],tblActuals354151923[[#This Row],[Team 1]],IF(tblActuals354151923[[#This Row],[Team 2 Goals]]&gt;tblActuals354151923[[#This Row],[Team 1 Goals]],tblActuals354151923[[#This Row],[Team 2]],""))</f>
        <v/>
      </c>
      <c r="AA19" s="120" t="str">
        <f>IF(tblActuals354151923[[#This Row],[Winner]]=tblActuals354151923[[#This Row],[Team 1]],tblActuals354151923[[#This Row],[Team 2]],IF(tblActuals354151923[[#This Row],[Winner]]=tblActuals354151923[[#This Row],[Team 2]],tblActuals354151923[[#This Row],[Team 1]],""))</f>
        <v/>
      </c>
      <c r="AB19" s="120" t="str">
        <f>IF(tblActuals354151923[[#This Row],[SCORE]]="","",LEFT(I19,FIND(":",I19,1)-1)*1)</f>
        <v/>
      </c>
      <c r="AC19" s="120" t="str">
        <f>IF(tblActuals354151923[[#This Row],[SCORE]]="","",MID(I19,FIND(":",I19,1)+1,LEN(I19)-FIND(":",I19,1)+1)*1)</f>
        <v/>
      </c>
      <c r="AD19" s="120" t="str">
        <f>IF(OR(tblActuals354151923[[#This Row],[Team 1 Goals]]="",tblActuals354151923[[#This Row],[Team 2 Goals]]=""),"",tblActuals354151923[[#This Row],[Team 1 Goals]]-tblActuals354151923[[#This Row],[Team 2 Goals]])</f>
        <v/>
      </c>
      <c r="AE19" s="120" t="str">
        <f>IF(OR(tblActuals354151923[[#This Row],[Team 1 Goals]]="",tblActuals354151923[[#This Row],[Team 2 Goals]]=""),"",tblActuals354151923[[#This Row],[Team 2 Goals]]-tblActuals354151923[[#This Row],[Team 1 Goals]])</f>
        <v/>
      </c>
      <c r="AF19" s="120" t="str">
        <f>IF(tblActuals354151923[[#This Row],[SCORE]]="","",IF(tblActuals354151923[[#This Row],[WINNER / RESULT]]="Draw",1,IF(tblActuals354151923[[#This Row],[WINNER / RESULT]]=tblActuals354151923[[#This Row],[Team 1]],3,0)))</f>
        <v/>
      </c>
      <c r="AG19" s="120" t="str">
        <f>IF(tblActuals354151923[[#This Row],[SCORE]]="","",IF(tblActuals354151923[[#This Row],[WINNER / RESULT]]="Draw",1,IF(tblActuals354151923[[#This Row],[WINNER / RESULT]]=tblActuals354151923[[#This Row],[Team 2]],3,0)))</f>
        <v/>
      </c>
      <c r="AH19" s="121"/>
      <c r="AI19" s="121"/>
      <c r="AJ19" s="121"/>
      <c r="AK19" s="121"/>
      <c r="AL19" s="120" t="e">
        <f>tblActuals354151923[[#This Row],[Team 1 Goals]]+tblActuals354151923[[#This Row],[Team 1 ET Goals]]&amp;":"&amp;tblActuals354151923[[#This Row],[Team 2 Goals]]+tblActuals354151923[[#This Row],[Team 2 ET Goals]]</f>
        <v>#VALUE!</v>
      </c>
      <c r="AM19" s="120" t="e">
        <f>+tblActuals354151923[[#This Row],[Team 1 Goals]]+tblActuals354151923[[#This Row],[Team 2 Goals]]</f>
        <v>#VALUE!</v>
      </c>
      <c r="AN19" s="161">
        <f t="shared" si="3"/>
        <v>45463</v>
      </c>
      <c r="AT19" s="77" t="s">
        <v>6</v>
      </c>
      <c r="AU19" s="139">
        <v>2</v>
      </c>
      <c r="AV19" s="140" t="str">
        <f ca="1">IFERROR(INDEX(BD:BD,MATCH("2"&amp;AT19,BN:BN,0),1),"")</f>
        <v>England</v>
      </c>
      <c r="AW19" s="140" t="str">
        <f ca="1">IF(AV19="","",VLOOKUP(AV19,BD:BI,2,FALSE)&amp;"-"&amp;VLOOKUP(AV19,BD:BI,3,FALSE)&amp;"-"&amp;VLOOKUP(AV19,BD:BI,4,FALSE))</f>
        <v>0-0-0</v>
      </c>
      <c r="AX19" s="140">
        <f ca="1">IF(AV19="","",VLOOKUP(AV19,BD:BK,8,FALSE))</f>
        <v>0</v>
      </c>
      <c r="AY19" s="141">
        <f ca="1">IF(AV19="","",VLOOKUP(AV19,BD:BN,5,FALSE))</f>
        <v>0</v>
      </c>
      <c r="AZ19" s="75"/>
      <c r="BA19" s="4"/>
      <c r="BB19" s="4"/>
      <c r="BC19" s="4" t="s">
        <v>7</v>
      </c>
      <c r="BD19" s="4" t="s">
        <v>129</v>
      </c>
      <c r="BE19" s="4">
        <f>COUNTIF(tblActuals354151923[Winner],BD19)</f>
        <v>0</v>
      </c>
      <c r="BF19" s="4">
        <f>COUNTIFS(tblActuals354151923[Team 2],BD19,tblActuals354151923[WINNER / RESULT],"Draw")+COUNTIFS(tblActuals354151923[Team 1],BD19,tblActuals354151923[WINNER / RESULT],"Draw")</f>
        <v>0</v>
      </c>
      <c r="BG19" s="4">
        <f>COUNTIF(tblActuals354151923[Loser],BD19)</f>
        <v>0</v>
      </c>
      <c r="BH19" s="4">
        <f>BF19+(3*BE19)</f>
        <v>0</v>
      </c>
      <c r="BI19" s="4">
        <f>SUMIFS(tblActuals354151923[Team 1 Goals],tblActuals354151923[Team 1],BD19)+SUMIFS(tblActuals354151923[Team 2 Goals],tblActuals354151923[Team 2],BD19)</f>
        <v>0</v>
      </c>
      <c r="BJ19" s="4">
        <f>SUMIFS(tblActuals354151923[Team 2 Goals],tblActuals354151923[Team 1],BD19)+SUMIFS(tblActuals354151923[Team 1 Goals],tblActuals354151923[Team 2],BD19)</f>
        <v>0</v>
      </c>
      <c r="BK19" s="4">
        <f>BI19-BJ19</f>
        <v>0</v>
      </c>
      <c r="BL19" s="4">
        <f ca="1">RANK(BY19,$BY$19:$BY$22,1)</f>
        <v>1</v>
      </c>
      <c r="BM19" s="4" t="str">
        <f t="shared" si="4"/>
        <v/>
      </c>
      <c r="BN19" s="4" t="str">
        <f ca="1">IF(BM19="",BL19&amp;BC19,BM19&amp;BC19)</f>
        <v>1D</v>
      </c>
      <c r="BO19" s="4">
        <f>RANK(BH19,$BH$19:$BH$22,0)</f>
        <v>1</v>
      </c>
      <c r="BP19" s="4" cm="1">
        <f t="array" aca="1" ref="BP19" ca="1">SUMPRODUCT((OFFSET($CV$3:$EA$3,MATCH($BD19,$CU$4:$CU$35,0),0))*((IF($BO21=$BO19,$CV$3:$EA$3=$BD21,0))+(IF($BO22=$BO19,$CV$3:$EA$3=$BD22,0))+(IF($BO20=$BO19,$CV$3:$EA$3=$BD20,0))))</f>
        <v>0</v>
      </c>
      <c r="BQ19" s="4" cm="1">
        <f t="array" aca="1" ref="BQ19" ca="1">SUMPRODUCT((OFFSET($ED$3:$FI$3,MATCH($BD19,$EC$4:$EC$35,0),0))*((IF($BO21=$BO19,$ED$3:$FI$3=$BD21,0))+(IF($BO22=$BO19,$ED$3:$FI$3=$BD22,0))+(IF($BO20=$BO19,$ED$3:$FI$3=$BD20,0))))</f>
        <v>0</v>
      </c>
      <c r="BR19" s="4" cm="1">
        <f t="array" aca="1" ref="BR19" ca="1">SUMPRODUCT((OFFSET($FL$3:$GQ$3,MATCH($BD19,$FK$4:$FK$35,0),0))*((IF($BO21=$BO19,$FL$3:$GQ$3=$BD21,0))+(IF($BO22=$BO19,$FL$3:$GQ$3=$BD22,0))+(IF($BO20=$BO19,$FL$3:$GQ$3=$BD20,0))))</f>
        <v>0</v>
      </c>
      <c r="BS19" s="4" cm="1">
        <f t="array" aca="1" ref="BS19" ca="1">SUMPRODUCT((OFFSET($CV$3:$EA$3,MATCH($BD19,$CU$4:$CU$35,0),0))*((IF($BO21&lt;&gt;$BO19,$CV$3:$EA$3=$BD21,0))+(IF($BO22&lt;&gt;$BO19,$CV$3:$EA$3=$BD22,0))+(IF($BO20&lt;&gt;$BO19,$CV$3:$EA$3=$BD20,0))))</f>
        <v>0</v>
      </c>
      <c r="BT19" s="4" cm="1">
        <f t="array" aca="1" ref="BT19" ca="1">SUMPRODUCT((OFFSET($ED$3:$FI$3,MATCH($BD19,$EC$4:$EC$35,0),0))*((IF($BO21&lt;&gt;$BO19,$ED$3:$FI$3=$BD21,0))+(IF($BO22&lt;&gt;$BO19,$ED$3:$FI$3=$BD22,0))+(IF($BO20&lt;&gt;$BO19,$ED$3:$FI$3=$BD20,0))))</f>
        <v>0</v>
      </c>
      <c r="BU19" s="4" cm="1">
        <f t="array" aca="1" ref="BU19" ca="1">SUMPRODUCT((OFFSET($FL$3:$GQ$3,MATCH($BD19,$FK$4:$FK$35,0),0))*((IF($BO21&lt;&gt;$BO19,$FL$3:$GQ$3=$BD21,0))+(IF($BO22&lt;&gt;$BO19,$FL$3:$GQ$3=$BD22,0))+(IF($BO20&lt;&gt;$BO19,$FL$3:$GQ$3=$BD20,0))))</f>
        <v>0</v>
      </c>
      <c r="BV19" s="4">
        <f>BK19</f>
        <v>0</v>
      </c>
      <c r="BW19" s="4">
        <f>BI19</f>
        <v>0</v>
      </c>
      <c r="BX19" s="4">
        <f ca="1">(BP19/10)+(BQ19/100)+(BR19/1000)+(BT19/10000)+(BU19/100000)+(BV19/1000000)+(BW19/10000000)+(ROW(BS22)/100000000)</f>
        <v>2.2000000000000001E-7</v>
      </c>
      <c r="BY19" s="4">
        <f ca="1">+BO19-BX19</f>
        <v>0.99999978</v>
      </c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U19" s="4" t="s">
        <v>26</v>
      </c>
      <c r="CV19" s="56">
        <f>SUMIFS(tblActuals354151923[Team 2 Points],tblActuals354151923[Team 2],$CU19,tblActuals354151923[Team 1],CV$3)+SUMIFS(tblActuals354151923[Team 1 Points],tblActuals354151923[Team 1],$CU19,tblActuals354151923[Team 2],CV$3)</f>
        <v>0</v>
      </c>
      <c r="CW19" s="56">
        <f>SUMIFS(tblActuals354151923[Team 2 Points],tblActuals354151923[Team 2],$CU19,tblActuals354151923[Team 1],CW$3)+SUMIFS(tblActuals354151923[Team 1 Points],tblActuals354151923[Team 1],$CU19,tblActuals354151923[Team 2],CW$3)</f>
        <v>0</v>
      </c>
      <c r="CX19" s="56">
        <f>SUMIFS(tblActuals354151923[Team 2 Points],tblActuals354151923[Team 2],$CU19,tblActuals354151923[Team 1],CX$3)+SUMIFS(tblActuals354151923[Team 1 Points],tblActuals354151923[Team 1],$CU19,tblActuals354151923[Team 2],CX$3)</f>
        <v>0</v>
      </c>
      <c r="CY19" s="56">
        <f>SUMIFS(tblActuals354151923[Team 2 Points],tblActuals354151923[Team 2],$CU19,tblActuals354151923[Team 1],CY$3)+SUMIFS(tblActuals354151923[Team 1 Points],tblActuals354151923[Team 1],$CU19,tblActuals354151923[Team 2],CY$3)</f>
        <v>0</v>
      </c>
      <c r="CZ19" s="56">
        <f>SUMIFS(tblActuals354151923[Team 2 Points],tblActuals354151923[Team 2],$CU19,tblActuals354151923[Team 1],CZ$3)+SUMIFS(tblActuals354151923[Team 1 Points],tblActuals354151923[Team 1],$CU19,tblActuals354151923[Team 2],CZ$3)</f>
        <v>0</v>
      </c>
      <c r="DA19" s="56">
        <f>SUMIFS(tblActuals354151923[Team 2 Points],tblActuals354151923[Team 2],$CU19,tblActuals354151923[Team 1],DA$3)+SUMIFS(tblActuals354151923[Team 1 Points],tblActuals354151923[Team 1],$CU19,tblActuals354151923[Team 2],DA$3)</f>
        <v>0</v>
      </c>
      <c r="DB19" s="56">
        <f>SUMIFS(tblActuals354151923[Team 2 Points],tblActuals354151923[Team 2],$CU19,tblActuals354151923[Team 1],DB$3)+SUMIFS(tblActuals354151923[Team 1 Points],tblActuals354151923[Team 1],$CU19,tblActuals354151923[Team 2],DB$3)</f>
        <v>0</v>
      </c>
      <c r="DC19" s="56">
        <f>SUMIFS(tblActuals354151923[Team 2 Points],tblActuals354151923[Team 2],$CU19,tblActuals354151923[Team 1],DC$3)+SUMIFS(tblActuals354151923[Team 1 Points],tblActuals354151923[Team 1],$CU19,tblActuals354151923[Team 2],DC$3)</f>
        <v>0</v>
      </c>
      <c r="DD19" s="56">
        <f>SUMIFS(tblActuals354151923[Team 2 Points],tblActuals354151923[Team 2],$CU19,tblActuals354151923[Team 1],DD$3)+SUMIFS(tblActuals354151923[Team 1 Points],tblActuals354151923[Team 1],$CU19,tblActuals354151923[Team 2],DD$3)</f>
        <v>0</v>
      </c>
      <c r="DE19" s="56">
        <f>SUMIFS(tblActuals354151923[Team 2 Points],tblActuals354151923[Team 2],$CU19,tblActuals354151923[Team 1],DE$3)+SUMIFS(tblActuals354151923[Team 1 Points],tblActuals354151923[Team 1],$CU19,tblActuals354151923[Team 2],DE$3)</f>
        <v>0</v>
      </c>
      <c r="DF19" s="56">
        <f>SUMIFS(tblActuals354151923[Team 2 Points],tblActuals354151923[Team 2],$CU19,tblActuals354151923[Team 1],DF$3)+SUMIFS(tblActuals354151923[Team 1 Points],tblActuals354151923[Team 1],$CU19,tblActuals354151923[Team 2],DF$3)</f>
        <v>0</v>
      </c>
      <c r="DG19" s="56">
        <f>SUMIFS(tblActuals354151923[Team 2 Points],tblActuals354151923[Team 2],$CU19,tblActuals354151923[Team 1],DG$3)+SUMIFS(tblActuals354151923[Team 1 Points],tblActuals354151923[Team 1],$CU19,tblActuals354151923[Team 2],DG$3)</f>
        <v>0</v>
      </c>
      <c r="DH19" s="56">
        <f>SUMIFS(tblActuals354151923[Team 2 Points],tblActuals354151923[Team 2],$CU19,tblActuals354151923[Team 1],DH$3)+SUMIFS(tblActuals354151923[Team 1 Points],tblActuals354151923[Team 1],$CU19,tblActuals354151923[Team 2],DH$3)</f>
        <v>0</v>
      </c>
      <c r="DI19" s="56">
        <f>SUMIFS(tblActuals354151923[Team 2 Points],tblActuals354151923[Team 2],$CU19,tblActuals354151923[Team 1],DI$3)+SUMIFS(tblActuals354151923[Team 1 Points],tblActuals354151923[Team 1],$CU19,tblActuals354151923[Team 2],DI$3)</f>
        <v>0</v>
      </c>
      <c r="DJ19" s="56">
        <f>SUMIFS(tblActuals354151923[Team 2 Points],tblActuals354151923[Team 2],$CU19,tblActuals354151923[Team 1],DJ$3)+SUMIFS(tblActuals354151923[Team 1 Points],tblActuals354151923[Team 1],$CU19,tblActuals354151923[Team 2],DJ$3)</f>
        <v>0</v>
      </c>
      <c r="DK19" s="56">
        <f>SUMIFS(tblActuals354151923[Team 2 Points],tblActuals354151923[Team 2],$CU19,tblActuals354151923[Team 1],DK$3)+SUMIFS(tblActuals354151923[Team 1 Points],tblActuals354151923[Team 1],$CU19,tblActuals354151923[Team 2],DK$3)</f>
        <v>0</v>
      </c>
      <c r="DL19" s="56">
        <f>SUMIFS(tblActuals354151923[Team 2 Points],tblActuals354151923[Team 2],$CU19,tblActuals354151923[Team 1],DL$3)+SUMIFS(tblActuals354151923[Team 1 Points],tblActuals354151923[Team 1],$CU19,tblActuals354151923[Team 2],DL$3)</f>
        <v>0</v>
      </c>
      <c r="DM19" s="56">
        <f>SUMIFS(tblActuals354151923[Team 2 Points],tblActuals354151923[Team 2],$CU19,tblActuals354151923[Team 1],DM$3)+SUMIFS(tblActuals354151923[Team 1 Points],tblActuals354151923[Team 1],$CU19,tblActuals354151923[Team 2],DM$3)</f>
        <v>0</v>
      </c>
      <c r="DN19" s="56">
        <f>SUMIFS(tblActuals354151923[Team 2 Points],tblActuals354151923[Team 2],$CU19,tblActuals354151923[Team 1],DN$3)+SUMIFS(tblActuals354151923[Team 1 Points],tblActuals354151923[Team 1],$CU19,tblActuals354151923[Team 2],DN$3)</f>
        <v>0</v>
      </c>
      <c r="DO19" s="56">
        <f>SUMIFS(tblActuals354151923[Team 2 Points],tblActuals354151923[Team 2],$CU19,tblActuals354151923[Team 1],DO$3)+SUMIFS(tblActuals354151923[Team 1 Points],tblActuals354151923[Team 1],$CU19,tblActuals354151923[Team 2],DO$3)</f>
        <v>0</v>
      </c>
      <c r="DP19" s="56">
        <f>SUMIFS(tblActuals354151923[Team 2 Points],tblActuals354151923[Team 2],$CU19,tblActuals354151923[Team 1],DP$3)+SUMIFS(tblActuals354151923[Team 1 Points],tblActuals354151923[Team 1],$CU19,tblActuals354151923[Team 2],DP$3)</f>
        <v>0</v>
      </c>
      <c r="DQ19" s="56">
        <f>SUMIFS(tblActuals354151923[Team 2 Points],tblActuals354151923[Team 2],$CU19,tblActuals354151923[Team 1],DQ$3)+SUMIFS(tblActuals354151923[Team 1 Points],tblActuals354151923[Team 1],$CU19,tblActuals354151923[Team 2],DQ$3)</f>
        <v>0</v>
      </c>
      <c r="DR19" s="56">
        <f>SUMIFS(tblActuals354151923[Team 2 Points],tblActuals354151923[Team 2],$CU19,tblActuals354151923[Team 1],DR$3)+SUMIFS(tblActuals354151923[Team 1 Points],tblActuals354151923[Team 1],$CU19,tblActuals354151923[Team 2],DR$3)</f>
        <v>0</v>
      </c>
      <c r="DS19" s="56">
        <f>SUMIFS(tblActuals354151923[Team 2 Points],tblActuals354151923[Team 2],$CU19,tblActuals354151923[Team 1],DS$3)+SUMIFS(tblActuals354151923[Team 1 Points],tblActuals354151923[Team 1],$CU19,tblActuals354151923[Team 2],DS$3)</f>
        <v>0</v>
      </c>
      <c r="DT19" s="57"/>
      <c r="DU19" s="57"/>
      <c r="DV19" s="57"/>
      <c r="DW19" s="57"/>
      <c r="DX19" s="57"/>
      <c r="DY19" s="57"/>
      <c r="DZ19" s="57"/>
      <c r="EA19" s="57"/>
      <c r="EB19" s="4"/>
      <c r="EC19" s="4" t="s">
        <v>26</v>
      </c>
      <c r="ED19" s="56">
        <f>SUMIFS(tblActuals354151923[Team 2 GD],tblActuals354151923[Team 2],$CU19,tblActuals354151923[Team 1],ED$3)+SUMIFS(tblActuals354151923[Team 1 GD],tblActuals354151923[Team 1],$CU19,tblActuals354151923[Team 2],ED$3)</f>
        <v>0</v>
      </c>
      <c r="EE19" s="56">
        <f>SUMIFS(tblActuals354151923[Team 2 GD],tblActuals354151923[Team 2],$CU19,tblActuals354151923[Team 1],EE$3)+SUMIFS(tblActuals354151923[Team 1 GD],tblActuals354151923[Team 1],$CU19,tblActuals354151923[Team 2],EE$3)</f>
        <v>0</v>
      </c>
      <c r="EF19" s="56">
        <f>SUMIFS(tblActuals354151923[Team 2 GD],tblActuals354151923[Team 2],$CU19,tblActuals354151923[Team 1],EF$3)+SUMIFS(tblActuals354151923[Team 1 GD],tblActuals354151923[Team 1],$CU19,tblActuals354151923[Team 2],EF$3)</f>
        <v>0</v>
      </c>
      <c r="EG19" s="56">
        <f>SUMIFS(tblActuals354151923[Team 2 GD],tblActuals354151923[Team 2],$CU19,tblActuals354151923[Team 1],EG$3)+SUMIFS(tblActuals354151923[Team 1 GD],tblActuals354151923[Team 1],$CU19,tblActuals354151923[Team 2],EG$3)</f>
        <v>0</v>
      </c>
      <c r="EH19" s="56">
        <f>SUMIFS(tblActuals354151923[Team 2 GD],tblActuals354151923[Team 2],$CU19,tblActuals354151923[Team 1],EH$3)+SUMIFS(tblActuals354151923[Team 1 GD],tblActuals354151923[Team 1],$CU19,tblActuals354151923[Team 2],EH$3)</f>
        <v>0</v>
      </c>
      <c r="EI19" s="56">
        <f>SUMIFS(tblActuals354151923[Team 2 GD],tblActuals354151923[Team 2],$CU19,tblActuals354151923[Team 1],EI$3)+SUMIFS(tblActuals354151923[Team 1 GD],tblActuals354151923[Team 1],$CU19,tblActuals354151923[Team 2],EI$3)</f>
        <v>0</v>
      </c>
      <c r="EJ19" s="56">
        <f>SUMIFS(tblActuals354151923[Team 2 GD],tblActuals354151923[Team 2],$CU19,tblActuals354151923[Team 1],EJ$3)+SUMIFS(tblActuals354151923[Team 1 GD],tblActuals354151923[Team 1],$CU19,tblActuals354151923[Team 2],EJ$3)</f>
        <v>0</v>
      </c>
      <c r="EK19" s="56">
        <f>SUMIFS(tblActuals354151923[Team 2 GD],tblActuals354151923[Team 2],$CU19,tblActuals354151923[Team 1],EK$3)+SUMIFS(tblActuals354151923[Team 1 GD],tblActuals354151923[Team 1],$CU19,tblActuals354151923[Team 2],EK$3)</f>
        <v>0</v>
      </c>
      <c r="EL19" s="56">
        <f>SUMIFS(tblActuals354151923[Team 2 GD],tblActuals354151923[Team 2],$CU19,tblActuals354151923[Team 1],EL$3)+SUMIFS(tblActuals354151923[Team 1 GD],tblActuals354151923[Team 1],$CU19,tblActuals354151923[Team 2],EL$3)</f>
        <v>0</v>
      </c>
      <c r="EM19" s="56">
        <f>SUMIFS(tblActuals354151923[Team 2 GD],tblActuals354151923[Team 2],$CU19,tblActuals354151923[Team 1],EM$3)+SUMIFS(tblActuals354151923[Team 1 GD],tblActuals354151923[Team 1],$CU19,tblActuals354151923[Team 2],EM$3)</f>
        <v>0</v>
      </c>
      <c r="EN19" s="56">
        <f>SUMIFS(tblActuals354151923[Team 2 GD],tblActuals354151923[Team 2],$CU19,tblActuals354151923[Team 1],EN$3)+SUMIFS(tblActuals354151923[Team 1 GD],tblActuals354151923[Team 1],$CU19,tblActuals354151923[Team 2],EN$3)</f>
        <v>0</v>
      </c>
      <c r="EO19" s="56">
        <f>SUMIFS(tblActuals354151923[Team 2 GD],tblActuals354151923[Team 2],$CU19,tblActuals354151923[Team 1],EO$3)+SUMIFS(tblActuals354151923[Team 1 GD],tblActuals354151923[Team 1],$CU19,tblActuals354151923[Team 2],EO$3)</f>
        <v>0</v>
      </c>
      <c r="EP19" s="56">
        <f>SUMIFS(tblActuals354151923[Team 2 GD],tblActuals354151923[Team 2],$CU19,tblActuals354151923[Team 1],EP$3)+SUMIFS(tblActuals354151923[Team 1 GD],tblActuals354151923[Team 1],$CU19,tblActuals354151923[Team 2],EP$3)</f>
        <v>0</v>
      </c>
      <c r="EQ19" s="56">
        <f>SUMIFS(tblActuals354151923[Team 2 GD],tblActuals354151923[Team 2],$CU19,tblActuals354151923[Team 1],EQ$3)+SUMIFS(tblActuals354151923[Team 1 GD],tblActuals354151923[Team 1],$CU19,tblActuals354151923[Team 2],EQ$3)</f>
        <v>0</v>
      </c>
      <c r="ER19" s="56">
        <f>SUMIFS(tblActuals354151923[Team 2 GD],tblActuals354151923[Team 2],$CU19,tblActuals354151923[Team 1],ER$3)+SUMIFS(tblActuals354151923[Team 1 GD],tblActuals354151923[Team 1],$CU19,tblActuals354151923[Team 2],ER$3)</f>
        <v>0</v>
      </c>
      <c r="ES19" s="56">
        <f>SUMIFS(tblActuals354151923[Team 2 GD],tblActuals354151923[Team 2],$CU19,tblActuals354151923[Team 1],ES$3)+SUMIFS(tblActuals354151923[Team 1 GD],tblActuals354151923[Team 1],$CU19,tblActuals354151923[Team 2],ES$3)</f>
        <v>0</v>
      </c>
      <c r="ET19" s="56">
        <f>SUMIFS(tblActuals354151923[Team 2 GD],tblActuals354151923[Team 2],$CU19,tblActuals354151923[Team 1],ET$3)+SUMIFS(tblActuals354151923[Team 1 GD],tblActuals354151923[Team 1],$CU19,tblActuals354151923[Team 2],ET$3)</f>
        <v>0</v>
      </c>
      <c r="EU19" s="56">
        <f>SUMIFS(tblActuals354151923[Team 2 GD],tblActuals354151923[Team 2],$CU19,tblActuals354151923[Team 1],EU$3)+SUMIFS(tblActuals354151923[Team 1 GD],tblActuals354151923[Team 1],$CU19,tblActuals354151923[Team 2],EU$3)</f>
        <v>0</v>
      </c>
      <c r="EV19" s="56">
        <f>SUMIFS(tblActuals354151923[Team 2 GD],tblActuals354151923[Team 2],$CU19,tblActuals354151923[Team 1],EV$3)+SUMIFS(tblActuals354151923[Team 1 GD],tblActuals354151923[Team 1],$CU19,tblActuals354151923[Team 2],EV$3)</f>
        <v>0</v>
      </c>
      <c r="EW19" s="56">
        <f>SUMIFS(tblActuals354151923[Team 2 GD],tblActuals354151923[Team 2],$CU19,tblActuals354151923[Team 1],EW$3)+SUMIFS(tblActuals354151923[Team 1 GD],tblActuals354151923[Team 1],$CU19,tblActuals354151923[Team 2],EW$3)</f>
        <v>0</v>
      </c>
      <c r="EX19" s="56">
        <f>SUMIFS(tblActuals354151923[Team 2 GD],tblActuals354151923[Team 2],$CU19,tblActuals354151923[Team 1],EX$3)+SUMIFS(tblActuals354151923[Team 1 GD],tblActuals354151923[Team 1],$CU19,tblActuals354151923[Team 2],EX$3)</f>
        <v>0</v>
      </c>
      <c r="EY19" s="56">
        <f>SUMIFS(tblActuals354151923[Team 2 GD],tblActuals354151923[Team 2],$CU19,tblActuals354151923[Team 1],EY$3)+SUMIFS(tblActuals354151923[Team 1 GD],tblActuals354151923[Team 1],$CU19,tblActuals354151923[Team 2],EY$3)</f>
        <v>0</v>
      </c>
      <c r="EZ19" s="56">
        <f>SUMIFS(tblActuals354151923[Team 2 GD],tblActuals354151923[Team 2],$CU19,tblActuals354151923[Team 1],EZ$3)+SUMIFS(tblActuals354151923[Team 1 GD],tblActuals354151923[Team 1],$CU19,tblActuals354151923[Team 2],EZ$3)</f>
        <v>0</v>
      </c>
      <c r="FA19" s="56">
        <f>SUMIFS(tblActuals354151923[Team 2 GD],tblActuals354151923[Team 2],$CU19,tblActuals354151923[Team 1],FA$3)+SUMIFS(tblActuals354151923[Team 1 GD],tblActuals354151923[Team 1],$CU19,tblActuals354151923[Team 2],FA$3)</f>
        <v>0</v>
      </c>
      <c r="FB19" s="57"/>
      <c r="FC19" s="57"/>
      <c r="FD19" s="57"/>
      <c r="FE19" s="57"/>
      <c r="FF19" s="57"/>
      <c r="FG19" s="57"/>
      <c r="FH19" s="57"/>
      <c r="FI19" s="57"/>
      <c r="FJ19" s="4"/>
      <c r="FK19" s="4" t="s">
        <v>26</v>
      </c>
      <c r="FL19" s="56">
        <f>SUMIFS(tblActuals354151923[Team 2 Goals],tblActuals354151923[Team 2],$CU19,tblActuals354151923[Team 1],FL$3)+SUMIFS(tblActuals354151923[Team 1 Goals],tblActuals354151923[Team 1],$CU19,tblActuals354151923[Team 2],FL$3)</f>
        <v>0</v>
      </c>
      <c r="FM19" s="56">
        <f>SUMIFS(tblActuals354151923[Team 2 Goals],tblActuals354151923[Team 2],$CU19,tblActuals354151923[Team 1],FM$3)+SUMIFS(tblActuals354151923[Team 1 Goals],tblActuals354151923[Team 1],$CU19,tblActuals354151923[Team 2],FM$3)</f>
        <v>0</v>
      </c>
      <c r="FN19" s="56">
        <f>SUMIFS(tblActuals354151923[Team 2 Goals],tblActuals354151923[Team 2],$CU19,tblActuals354151923[Team 1],FN$3)+SUMIFS(tblActuals354151923[Team 1 Goals],tblActuals354151923[Team 1],$CU19,tblActuals354151923[Team 2],FN$3)</f>
        <v>0</v>
      </c>
      <c r="FO19" s="56">
        <f>SUMIFS(tblActuals354151923[Team 2 Goals],tblActuals354151923[Team 2],$CU19,tblActuals354151923[Team 1],FO$3)+SUMIFS(tblActuals354151923[Team 1 Goals],tblActuals354151923[Team 1],$CU19,tblActuals354151923[Team 2],FO$3)</f>
        <v>0</v>
      </c>
      <c r="FP19" s="56">
        <f>SUMIFS(tblActuals354151923[Team 2 Goals],tblActuals354151923[Team 2],$CU19,tblActuals354151923[Team 1],FP$3)+SUMIFS(tblActuals354151923[Team 1 Goals],tblActuals354151923[Team 1],$CU19,tblActuals354151923[Team 2],FP$3)</f>
        <v>0</v>
      </c>
      <c r="FQ19" s="56">
        <f>SUMIFS(tblActuals354151923[Team 2 Goals],tblActuals354151923[Team 2],$CU19,tblActuals354151923[Team 1],FQ$3)+SUMIFS(tblActuals354151923[Team 1 Goals],tblActuals354151923[Team 1],$CU19,tblActuals354151923[Team 2],FQ$3)</f>
        <v>0</v>
      </c>
      <c r="FR19" s="56">
        <f>SUMIFS(tblActuals354151923[Team 2 Goals],tblActuals354151923[Team 2],$CU19,tblActuals354151923[Team 1],FR$3)+SUMIFS(tblActuals354151923[Team 1 Goals],tblActuals354151923[Team 1],$CU19,tblActuals354151923[Team 2],FR$3)</f>
        <v>0</v>
      </c>
      <c r="FS19" s="56">
        <f>SUMIFS(tblActuals354151923[Team 2 Goals],tblActuals354151923[Team 2],$CU19,tblActuals354151923[Team 1],FS$3)+SUMIFS(tblActuals354151923[Team 1 Goals],tblActuals354151923[Team 1],$CU19,tblActuals354151923[Team 2],FS$3)</f>
        <v>0</v>
      </c>
      <c r="FT19" s="56">
        <f>SUMIFS(tblActuals354151923[Team 2 Goals],tblActuals354151923[Team 2],$CU19,tblActuals354151923[Team 1],FT$3)+SUMIFS(tblActuals354151923[Team 1 Goals],tblActuals354151923[Team 1],$CU19,tblActuals354151923[Team 2],FT$3)</f>
        <v>0</v>
      </c>
      <c r="FU19" s="56">
        <f>SUMIFS(tblActuals354151923[Team 2 Goals],tblActuals354151923[Team 2],$CU19,tblActuals354151923[Team 1],FU$3)+SUMIFS(tblActuals354151923[Team 1 Goals],tblActuals354151923[Team 1],$CU19,tblActuals354151923[Team 2],FU$3)</f>
        <v>0</v>
      </c>
      <c r="FV19" s="56">
        <f>SUMIFS(tblActuals354151923[Team 2 Goals],tblActuals354151923[Team 2],$CU19,tblActuals354151923[Team 1],FV$3)+SUMIFS(tblActuals354151923[Team 1 Goals],tblActuals354151923[Team 1],$CU19,tblActuals354151923[Team 2],FV$3)</f>
        <v>0</v>
      </c>
      <c r="FW19" s="56">
        <f>SUMIFS(tblActuals354151923[Team 2 Goals],tblActuals354151923[Team 2],$CU19,tblActuals354151923[Team 1],FW$3)+SUMIFS(tblActuals354151923[Team 1 Goals],tblActuals354151923[Team 1],$CU19,tblActuals354151923[Team 2],FW$3)</f>
        <v>0</v>
      </c>
      <c r="FX19" s="56">
        <f>SUMIFS(tblActuals354151923[Team 2 Goals],tblActuals354151923[Team 2],$CU19,tblActuals354151923[Team 1],FX$3)+SUMIFS(tblActuals354151923[Team 1 Goals],tblActuals354151923[Team 1],$CU19,tblActuals354151923[Team 2],FX$3)</f>
        <v>0</v>
      </c>
      <c r="FY19" s="56">
        <f>SUMIFS(tblActuals354151923[Team 2 Goals],tblActuals354151923[Team 2],$CU19,tblActuals354151923[Team 1],FY$3)+SUMIFS(tblActuals354151923[Team 1 Goals],tblActuals354151923[Team 1],$CU19,tblActuals354151923[Team 2],FY$3)</f>
        <v>0</v>
      </c>
      <c r="FZ19" s="56">
        <f>SUMIFS(tblActuals354151923[Team 2 Goals],tblActuals354151923[Team 2],$CU19,tblActuals354151923[Team 1],FZ$3)+SUMIFS(tblActuals354151923[Team 1 Goals],tblActuals354151923[Team 1],$CU19,tblActuals354151923[Team 2],FZ$3)</f>
        <v>0</v>
      </c>
      <c r="GA19" s="56">
        <f>SUMIFS(tblActuals354151923[Team 2 Goals],tblActuals354151923[Team 2],$CU19,tblActuals354151923[Team 1],GA$3)+SUMIFS(tblActuals354151923[Team 1 Goals],tblActuals354151923[Team 1],$CU19,tblActuals354151923[Team 2],GA$3)</f>
        <v>0</v>
      </c>
      <c r="GB19" s="56">
        <f>SUMIFS(tblActuals354151923[Team 2 Goals],tblActuals354151923[Team 2],$CU19,tblActuals354151923[Team 1],GB$3)+SUMIFS(tblActuals354151923[Team 1 Goals],tblActuals354151923[Team 1],$CU19,tblActuals354151923[Team 2],GB$3)</f>
        <v>0</v>
      </c>
      <c r="GC19" s="56">
        <f>SUMIFS(tblActuals354151923[Team 2 Goals],tblActuals354151923[Team 2],$CU19,tblActuals354151923[Team 1],GC$3)+SUMIFS(tblActuals354151923[Team 1 Goals],tblActuals354151923[Team 1],$CU19,tblActuals354151923[Team 2],GC$3)</f>
        <v>0</v>
      </c>
      <c r="GD19" s="56">
        <f>SUMIFS(tblActuals354151923[Team 2 Goals],tblActuals354151923[Team 2],$CU19,tblActuals354151923[Team 1],GD$3)+SUMIFS(tblActuals354151923[Team 1 Goals],tblActuals354151923[Team 1],$CU19,tblActuals354151923[Team 2],GD$3)</f>
        <v>0</v>
      </c>
      <c r="GE19" s="56">
        <f>SUMIFS(tblActuals354151923[Team 2 Goals],tblActuals354151923[Team 2],$CU19,tblActuals354151923[Team 1],GE$3)+SUMIFS(tblActuals354151923[Team 1 Goals],tblActuals354151923[Team 1],$CU19,tblActuals354151923[Team 2],GE$3)</f>
        <v>0</v>
      </c>
      <c r="GF19" s="56">
        <f>SUMIFS(tblActuals354151923[Team 2 Goals],tblActuals354151923[Team 2],$CU19,tblActuals354151923[Team 1],GF$3)+SUMIFS(tblActuals354151923[Team 1 Goals],tblActuals354151923[Team 1],$CU19,tblActuals354151923[Team 2],GF$3)</f>
        <v>0</v>
      </c>
      <c r="GG19" s="56">
        <f>SUMIFS(tblActuals354151923[Team 2 Goals],tblActuals354151923[Team 2],$CU19,tblActuals354151923[Team 1],GG$3)+SUMIFS(tblActuals354151923[Team 1 Goals],tblActuals354151923[Team 1],$CU19,tblActuals354151923[Team 2],GG$3)</f>
        <v>0</v>
      </c>
      <c r="GH19" s="56">
        <f>SUMIFS(tblActuals354151923[Team 2 Goals],tblActuals354151923[Team 2],$CU19,tblActuals354151923[Team 1],GH$3)+SUMIFS(tblActuals354151923[Team 1 Goals],tblActuals354151923[Team 1],$CU19,tblActuals354151923[Team 2],GH$3)</f>
        <v>0</v>
      </c>
      <c r="GI19" s="56">
        <f>SUMIFS(tblActuals354151923[Team 2 Goals],tblActuals354151923[Team 2],$CU19,tblActuals354151923[Team 1],GI$3)+SUMIFS(tblActuals354151923[Team 1 Goals],tblActuals354151923[Team 1],$CU19,tblActuals354151923[Team 2],GI$3)</f>
        <v>0</v>
      </c>
      <c r="GJ19" s="57"/>
      <c r="GK19" s="57"/>
      <c r="GL19" s="37"/>
      <c r="GM19" s="37"/>
      <c r="GN19" s="37"/>
      <c r="GO19" s="37"/>
      <c r="GP19" s="37"/>
      <c r="GQ19" s="37"/>
      <c r="GR19" s="75"/>
      <c r="GS19" s="156"/>
      <c r="GT19" s="156"/>
      <c r="GU19" s="75"/>
      <c r="GV19" s="75"/>
      <c r="GW19" s="75"/>
      <c r="GX19" s="75"/>
      <c r="GY19" s="75"/>
      <c r="GZ19" s="75"/>
      <c r="HB19" s="4" t="str">
        <f t="shared" si="12"/>
        <v>CDEF</v>
      </c>
      <c r="HC19" s="45"/>
      <c r="HD19" s="45"/>
      <c r="HE19" s="44" t="s">
        <v>6</v>
      </c>
      <c r="HF19" s="44" t="s">
        <v>7</v>
      </c>
      <c r="HG19" s="44" t="s">
        <v>12</v>
      </c>
      <c r="HH19" s="44" t="s">
        <v>45</v>
      </c>
      <c r="HI19" s="178"/>
      <c r="HJ19" s="45" t="s">
        <v>154</v>
      </c>
      <c r="HK19" s="45" t="s">
        <v>153</v>
      </c>
      <c r="HL19" s="45" t="s">
        <v>150</v>
      </c>
      <c r="HM19" s="45" t="s">
        <v>152</v>
      </c>
    </row>
    <row r="20" spans="1:221" s="11" customFormat="1" ht="30" customHeight="1" x14ac:dyDescent="0.25">
      <c r="A20" s="20"/>
      <c r="B20" s="122">
        <v>17</v>
      </c>
      <c r="C20" s="122" t="s">
        <v>6</v>
      </c>
      <c r="D20" s="123">
        <v>45463</v>
      </c>
      <c r="E20" s="122" t="s">
        <v>86</v>
      </c>
      <c r="F20" s="124">
        <v>0.75</v>
      </c>
      <c r="G20" s="125">
        <f t="shared" si="11"/>
        <v>45463.5</v>
      </c>
      <c r="H20" s="122" t="s">
        <v>105</v>
      </c>
      <c r="I20" s="126"/>
      <c r="J20" s="118"/>
      <c r="K20" s="118"/>
      <c r="L20" s="174">
        <f>IF(I20="",0,IFERROR(IF(SCORING.RULES!$C$8="No",1,((VLOOKUP($B20,ACTUALS!$B$4:$L$100,7,FALSE)=$H20)+(VLOOKUP($B20,ACTUALS!$B$4:$L$100,7,FALSE)=S20)))*(M20+N20+O20+P20+Q20),0))+$R20</f>
        <v>0</v>
      </c>
      <c r="M20" s="168">
        <f>IFERROR(IF($B20="","",IF(U20=INDEX(ACTUALS!$AA$4:$AA$100,MATCH($B20,ACTUALS!$B$4:$B$100,0),1),CorrectScore,0)),0)</f>
        <v>0</v>
      </c>
      <c r="N20" s="157" t="str">
        <f>IFERROR(IF(I20="","",IF(INDEX(ACTUALS!$AB$4:$AB$100,MATCH($B20,ACTUALS!$B$4:$B$100,0),1)=(AB20+AC20+AH20+AI20),CorrectNumberofGoals,0)),0)</f>
        <v/>
      </c>
      <c r="O20" s="157"/>
      <c r="P20" s="157">
        <f>IFERROR(IF(B20="","",IF(INDEX(ACTUALS!$L$4:$L$100,MATCH($B20,ACTUALS!$B$4:$B$100,0),1)=W20,CorrectResult,0)),0)</f>
        <v>3</v>
      </c>
      <c r="Q20" s="157"/>
      <c r="R20" s="157"/>
      <c r="S20" s="157" t="str">
        <f t="shared" si="0"/>
        <v/>
      </c>
      <c r="T20" s="157"/>
      <c r="U20" s="157" t="str">
        <f t="shared" si="1"/>
        <v/>
      </c>
      <c r="V20" s="157" t="str">
        <f t="shared" si="2"/>
        <v/>
      </c>
      <c r="W20" s="119" t="str">
        <f>IF(tblActuals354151923[[#This Row],[SCORE]]="","",IF(AB20=AC20,"Draw",IF(AB20&gt;AC20,X20,Y20)))</f>
        <v/>
      </c>
      <c r="X20" s="120" t="str">
        <f>IF(tblActuals354151923[[#This Row],[TEAMS]]="","",LEFT(H20,FIND(" -",H20,1)-1))</f>
        <v>Denmark</v>
      </c>
      <c r="Y20" s="120" t="str">
        <f>IF(tblActuals354151923[[#This Row],[TEAMS]]="","",MID(H20,FIND("-",H20,1)+2,LEN(H20)-FIND("-",H20,1)+2))</f>
        <v>England</v>
      </c>
      <c r="Z20" s="120" t="str">
        <f>IF(tblActuals354151923[[#This Row],[Team 1 Goals]]&gt;tblActuals354151923[[#This Row],[Team 2 Goals]],tblActuals354151923[[#This Row],[Team 1]],IF(tblActuals354151923[[#This Row],[Team 2 Goals]]&gt;tblActuals354151923[[#This Row],[Team 1 Goals]],tblActuals354151923[[#This Row],[Team 2]],""))</f>
        <v/>
      </c>
      <c r="AA20" s="120" t="str">
        <f>IF(tblActuals354151923[[#This Row],[Winner]]=tblActuals354151923[[#This Row],[Team 1]],tblActuals354151923[[#This Row],[Team 2]],IF(tblActuals354151923[[#This Row],[Winner]]=tblActuals354151923[[#This Row],[Team 2]],tblActuals354151923[[#This Row],[Team 1]],""))</f>
        <v/>
      </c>
      <c r="AB20" s="120" t="str">
        <f>IF(tblActuals354151923[[#This Row],[SCORE]]="","",LEFT(I20,FIND(":",I20,1)-1)*1)</f>
        <v/>
      </c>
      <c r="AC20" s="120" t="str">
        <f>IF(tblActuals354151923[[#This Row],[SCORE]]="","",MID(I20,FIND(":",I20,1)+1,LEN(I20)-FIND(":",I20,1)+1)*1)</f>
        <v/>
      </c>
      <c r="AD20" s="120" t="str">
        <f>IF(OR(tblActuals354151923[[#This Row],[Team 1 Goals]]="",tblActuals354151923[[#This Row],[Team 2 Goals]]=""),"",tblActuals354151923[[#This Row],[Team 1 Goals]]-tblActuals354151923[[#This Row],[Team 2 Goals]])</f>
        <v/>
      </c>
      <c r="AE20" s="120" t="str">
        <f>IF(OR(tblActuals354151923[[#This Row],[Team 1 Goals]]="",tblActuals354151923[[#This Row],[Team 2 Goals]]=""),"",tblActuals354151923[[#This Row],[Team 2 Goals]]-tblActuals354151923[[#This Row],[Team 1 Goals]])</f>
        <v/>
      </c>
      <c r="AF20" s="120" t="str">
        <f>IF(tblActuals354151923[[#This Row],[SCORE]]="","",IF(tblActuals354151923[[#This Row],[WINNER / RESULT]]="Draw",1,IF(tblActuals354151923[[#This Row],[WINNER / RESULT]]=tblActuals354151923[[#This Row],[Team 1]],3,0)))</f>
        <v/>
      </c>
      <c r="AG20" s="120" t="str">
        <f>IF(tblActuals354151923[[#This Row],[SCORE]]="","",IF(tblActuals354151923[[#This Row],[WINNER / RESULT]]="Draw",1,IF(tblActuals354151923[[#This Row],[WINNER / RESULT]]=tblActuals354151923[[#This Row],[Team 2]],3,0)))</f>
        <v/>
      </c>
      <c r="AH20" s="121"/>
      <c r="AI20" s="121"/>
      <c r="AJ20" s="121"/>
      <c r="AK20" s="121"/>
      <c r="AL20" s="120" t="e">
        <f>tblActuals354151923[[#This Row],[Team 1 Goals]]+tblActuals354151923[[#This Row],[Team 1 ET Goals]]&amp;":"&amp;tblActuals354151923[[#This Row],[Team 2 Goals]]+tblActuals354151923[[#This Row],[Team 2 ET Goals]]</f>
        <v>#VALUE!</v>
      </c>
      <c r="AM20" s="120" t="e">
        <f>+tblActuals354151923[[#This Row],[Team 1 Goals]]+tblActuals354151923[[#This Row],[Team 2 Goals]]</f>
        <v>#VALUE!</v>
      </c>
      <c r="AN20" s="161">
        <f t="shared" si="3"/>
        <v>45463</v>
      </c>
      <c r="AT20" s="77" t="s">
        <v>6</v>
      </c>
      <c r="AU20" s="142">
        <v>3</v>
      </c>
      <c r="AV20" s="143" t="str">
        <f ca="1">IFERROR(INDEX(BD:BD,MATCH("3"&amp;AT20,BN:BN,0),1),"")</f>
        <v>Serbia</v>
      </c>
      <c r="AW20" s="143" t="str">
        <f ca="1">IF(AV20="","",VLOOKUP(AV20,BD:BI,2,FALSE)&amp;"-"&amp;VLOOKUP(AV20,BD:BI,3,FALSE)&amp;"-"&amp;VLOOKUP(AV20,BD:BI,4,FALSE))</f>
        <v>0-0-0</v>
      </c>
      <c r="AX20" s="143">
        <f ca="1">IF(AV20="","",VLOOKUP(AV20,BD:BK,8,FALSE))</f>
        <v>0</v>
      </c>
      <c r="AY20" s="144">
        <f ca="1">IF(AV20="","",VLOOKUP(AV20,BD:BN,5,FALSE))</f>
        <v>0</v>
      </c>
      <c r="AZ20" s="75" t="str">
        <f ca="1">IF(INDEX($AU$43:$AU$48,MATCH(AV20,$AV$43:$AV$48,0),1)&lt;=4,"X","")</f>
        <v>X</v>
      </c>
      <c r="BA20" s="4"/>
      <c r="BB20" s="4"/>
      <c r="BC20" s="4" t="s">
        <v>7</v>
      </c>
      <c r="BD20" s="4" t="s">
        <v>26</v>
      </c>
      <c r="BE20" s="4">
        <f>COUNTIF(tblActuals354151923[Winner],BD20)</f>
        <v>0</v>
      </c>
      <c r="BF20" s="4">
        <f>COUNTIFS(tblActuals354151923[Team 2],BD20,tblActuals354151923[WINNER / RESULT],"Draw")+COUNTIFS(tblActuals354151923[Team 1],BD20,tblActuals354151923[WINNER / RESULT],"Draw")</f>
        <v>0</v>
      </c>
      <c r="BG20" s="4">
        <f>COUNTIF(tblActuals354151923[Loser],BD20)</f>
        <v>0</v>
      </c>
      <c r="BH20" s="4">
        <f>BF20+(3*BE20)</f>
        <v>0</v>
      </c>
      <c r="BI20" s="4">
        <f>SUMIFS(tblActuals354151923[Team 1 Goals],tblActuals354151923[Team 1],BD20)+SUMIFS(tblActuals354151923[Team 2 Goals],tblActuals354151923[Team 2],BD20)</f>
        <v>0</v>
      </c>
      <c r="BJ20" s="4">
        <f>SUMIFS(tblActuals354151923[Team 2 Goals],tblActuals354151923[Team 1],BD20)+SUMIFS(tblActuals354151923[Team 1 Goals],tblActuals354151923[Team 2],BD20)</f>
        <v>0</v>
      </c>
      <c r="BK20" s="4">
        <f>BI20-BJ20</f>
        <v>0</v>
      </c>
      <c r="BL20" s="4">
        <f ca="1">RANK(BY20,$BY$19:$BY$22,1)</f>
        <v>2</v>
      </c>
      <c r="BM20" s="4" t="str">
        <f t="shared" si="4"/>
        <v/>
      </c>
      <c r="BN20" s="4" t="str">
        <f ca="1">IF(BM20="",BL20&amp;BC20,BM20&amp;BC20)</f>
        <v>2D</v>
      </c>
      <c r="BO20" s="4">
        <f>RANK(BH20,$BH$19:$BH$22,0)</f>
        <v>1</v>
      </c>
      <c r="BP20" s="4" cm="1">
        <f t="array" aca="1" ref="BP20" ca="1">SUMPRODUCT((OFFSET($CV$3:$EA$3,MATCH($BD20,$CU$4:$CU$35,0),0))*((IF($BO21=$BO20,$CV$3:$EA$3=$BD21,0))+(IF($BO22=$BO20,$CV$3:$EA$3=$BD22,0))+(IF($BO19=$BO20,$CV$3:$EA$3=$BD19,0))))</f>
        <v>0</v>
      </c>
      <c r="BQ20" s="4" cm="1">
        <f t="array" aca="1" ref="BQ20" ca="1">SUMPRODUCT((OFFSET($ED$3:$FI$3,MATCH($BD20,$EC$4:$EC$35,0),0))*((IF($BO21=$BO20,$ED$3:$FI$3=$BD21,0))+(IF($BO22=$BO20,$ED$3:$FI$3=$BD22,0))+(IF($BO19=$BO20,$ED$3:$FI$3=$BD19,0))))</f>
        <v>0</v>
      </c>
      <c r="BR20" s="4" cm="1">
        <f t="array" aca="1" ref="BR20" ca="1">SUMPRODUCT((OFFSET($FL$3:$GQ$3,MATCH($BD20,$FK$4:$FK$35,0),0))*((IF($BO21=$BO20,$FL$3:$GQ$3=$BD21,0))+(IF($BO22=$BO20,$FL$3:$GQ$3=$BD22,0))+(IF($BO19=$BO20,$FL$3:$GQ$3=$BD19,0))))</f>
        <v>0</v>
      </c>
      <c r="BS20" s="4" cm="1">
        <f t="array" aca="1" ref="BS20" ca="1">SUMPRODUCT((OFFSET($CV$3:$EA$3,MATCH($BD20,$CU$4:$CU$35,0),0))*((IF($BO21&lt;&gt;$BO20,$CV$3:$EA$3=$BD21,0))+(IF($BO22&lt;&gt;$BO20,$CV$3:$EA$3=$BD22,0))+(IF($BO19&lt;&gt;$BO20,$CV$3:$EA$3=$BD19,0))))</f>
        <v>0</v>
      </c>
      <c r="BT20" s="4" cm="1">
        <f t="array" aca="1" ref="BT20" ca="1">SUMPRODUCT((OFFSET($ED$3:$FI$3,MATCH($BD20,$EC$4:$EC$35,0),0))*((IF($BO21&lt;&gt;$BO20,$ED$3:$FI$3=$BD21,0))+(IF($BO22&lt;&gt;$BO20,$ED$3:$FI$3=$BD22,0))+(IF($BO19&lt;&gt;$BO20,$ED$3:$FI$3=$BD19,0))))</f>
        <v>0</v>
      </c>
      <c r="BU20" s="4" cm="1">
        <f t="array" aca="1" ref="BU20" ca="1">SUMPRODUCT((OFFSET($FL$3:$GQ$3,MATCH($BD20,$FK$4:$FK$35,0),0))*((IF($BO21&lt;&gt;$BO20,$FL$3:$GQ$3=$BD21,0))+(IF($BO22&lt;&gt;$BO20,$FL$3:$GQ$3=$BD22,0))+(IF($BO19&lt;&gt;$BO20,$FL$3:$GQ$3=$BD19,0))))</f>
        <v>0</v>
      </c>
      <c r="BV20" s="4">
        <f>BK20</f>
        <v>0</v>
      </c>
      <c r="BW20" s="4">
        <f>BI20</f>
        <v>0</v>
      </c>
      <c r="BX20" s="4">
        <f ca="1">(BP20/10)+(BQ20/100)+(BR20/1000)+(BT20/10000)+(BU20/100000)+(BV20/1000000)+(BW20/10000000)+(ROW(BS21)/100000000)</f>
        <v>2.1E-7</v>
      </c>
      <c r="BY20" s="4">
        <f ca="1">+BO20-BX20</f>
        <v>0.99999979000000006</v>
      </c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U20" s="4" t="s">
        <v>29</v>
      </c>
      <c r="CV20" s="56">
        <f>SUMIFS(tblActuals354151923[Team 2 Points],tblActuals354151923[Team 2],$CU20,tblActuals354151923[Team 1],CV$3)+SUMIFS(tblActuals354151923[Team 1 Points],tblActuals354151923[Team 1],$CU20,tblActuals354151923[Team 2],CV$3)</f>
        <v>0</v>
      </c>
      <c r="CW20" s="56">
        <f>SUMIFS(tblActuals354151923[Team 2 Points],tblActuals354151923[Team 2],$CU20,tblActuals354151923[Team 1],CW$3)+SUMIFS(tblActuals354151923[Team 1 Points],tblActuals354151923[Team 1],$CU20,tblActuals354151923[Team 2],CW$3)</f>
        <v>0</v>
      </c>
      <c r="CX20" s="56">
        <f>SUMIFS(tblActuals354151923[Team 2 Points],tblActuals354151923[Team 2],$CU20,tblActuals354151923[Team 1],CX$3)+SUMIFS(tblActuals354151923[Team 1 Points],tblActuals354151923[Team 1],$CU20,tblActuals354151923[Team 2],CX$3)</f>
        <v>0</v>
      </c>
      <c r="CY20" s="56">
        <f>SUMIFS(tblActuals354151923[Team 2 Points],tblActuals354151923[Team 2],$CU20,tblActuals354151923[Team 1],CY$3)+SUMIFS(tblActuals354151923[Team 1 Points],tblActuals354151923[Team 1],$CU20,tblActuals354151923[Team 2],CY$3)</f>
        <v>0</v>
      </c>
      <c r="CZ20" s="56">
        <f>SUMIFS(tblActuals354151923[Team 2 Points],tblActuals354151923[Team 2],$CU20,tblActuals354151923[Team 1],CZ$3)+SUMIFS(tblActuals354151923[Team 1 Points],tblActuals354151923[Team 1],$CU20,tblActuals354151923[Team 2],CZ$3)</f>
        <v>0</v>
      </c>
      <c r="DA20" s="56">
        <f>SUMIFS(tblActuals354151923[Team 2 Points],tblActuals354151923[Team 2],$CU20,tblActuals354151923[Team 1],DA$3)+SUMIFS(tblActuals354151923[Team 1 Points],tblActuals354151923[Team 1],$CU20,tblActuals354151923[Team 2],DA$3)</f>
        <v>0</v>
      </c>
      <c r="DB20" s="56">
        <f>SUMIFS(tblActuals354151923[Team 2 Points],tblActuals354151923[Team 2],$CU20,tblActuals354151923[Team 1],DB$3)+SUMIFS(tblActuals354151923[Team 1 Points],tblActuals354151923[Team 1],$CU20,tblActuals354151923[Team 2],DB$3)</f>
        <v>0</v>
      </c>
      <c r="DC20" s="56">
        <f>SUMIFS(tblActuals354151923[Team 2 Points],tblActuals354151923[Team 2],$CU20,tblActuals354151923[Team 1],DC$3)+SUMIFS(tblActuals354151923[Team 1 Points],tblActuals354151923[Team 1],$CU20,tblActuals354151923[Team 2],DC$3)</f>
        <v>0</v>
      </c>
      <c r="DD20" s="56">
        <f>SUMIFS(tblActuals354151923[Team 2 Points],tblActuals354151923[Team 2],$CU20,tblActuals354151923[Team 1],DD$3)+SUMIFS(tblActuals354151923[Team 1 Points],tblActuals354151923[Team 1],$CU20,tblActuals354151923[Team 2],DD$3)</f>
        <v>0</v>
      </c>
      <c r="DE20" s="56">
        <f>SUMIFS(tblActuals354151923[Team 2 Points],tblActuals354151923[Team 2],$CU20,tblActuals354151923[Team 1],DE$3)+SUMIFS(tblActuals354151923[Team 1 Points],tblActuals354151923[Team 1],$CU20,tblActuals354151923[Team 2],DE$3)</f>
        <v>0</v>
      </c>
      <c r="DF20" s="56">
        <f>SUMIFS(tblActuals354151923[Team 2 Points],tblActuals354151923[Team 2],$CU20,tblActuals354151923[Team 1],DF$3)+SUMIFS(tblActuals354151923[Team 1 Points],tblActuals354151923[Team 1],$CU20,tblActuals354151923[Team 2],DF$3)</f>
        <v>0</v>
      </c>
      <c r="DG20" s="56">
        <f>SUMIFS(tblActuals354151923[Team 2 Points],tblActuals354151923[Team 2],$CU20,tblActuals354151923[Team 1],DG$3)+SUMIFS(tblActuals354151923[Team 1 Points],tblActuals354151923[Team 1],$CU20,tblActuals354151923[Team 2],DG$3)</f>
        <v>0</v>
      </c>
      <c r="DH20" s="56">
        <f>SUMIFS(tblActuals354151923[Team 2 Points],tblActuals354151923[Team 2],$CU20,tblActuals354151923[Team 1],DH$3)+SUMIFS(tblActuals354151923[Team 1 Points],tblActuals354151923[Team 1],$CU20,tblActuals354151923[Team 2],DH$3)</f>
        <v>0</v>
      </c>
      <c r="DI20" s="56">
        <f>SUMIFS(tblActuals354151923[Team 2 Points],tblActuals354151923[Team 2],$CU20,tblActuals354151923[Team 1],DI$3)+SUMIFS(tblActuals354151923[Team 1 Points],tblActuals354151923[Team 1],$CU20,tblActuals354151923[Team 2],DI$3)</f>
        <v>0</v>
      </c>
      <c r="DJ20" s="56">
        <f>SUMIFS(tblActuals354151923[Team 2 Points],tblActuals354151923[Team 2],$CU20,tblActuals354151923[Team 1],DJ$3)+SUMIFS(tblActuals354151923[Team 1 Points],tblActuals354151923[Team 1],$CU20,tblActuals354151923[Team 2],DJ$3)</f>
        <v>0</v>
      </c>
      <c r="DK20" s="56">
        <f>SUMIFS(tblActuals354151923[Team 2 Points],tblActuals354151923[Team 2],$CU20,tblActuals354151923[Team 1],DK$3)+SUMIFS(tblActuals354151923[Team 1 Points],tblActuals354151923[Team 1],$CU20,tblActuals354151923[Team 2],DK$3)</f>
        <v>0</v>
      </c>
      <c r="DL20" s="56">
        <f>SUMIFS(tblActuals354151923[Team 2 Points],tblActuals354151923[Team 2],$CU20,tblActuals354151923[Team 1],DL$3)+SUMIFS(tblActuals354151923[Team 1 Points],tblActuals354151923[Team 1],$CU20,tblActuals354151923[Team 2],DL$3)</f>
        <v>0</v>
      </c>
      <c r="DM20" s="56">
        <f>SUMIFS(tblActuals354151923[Team 2 Points],tblActuals354151923[Team 2],$CU20,tblActuals354151923[Team 1],DM$3)+SUMIFS(tblActuals354151923[Team 1 Points],tblActuals354151923[Team 1],$CU20,tblActuals354151923[Team 2],DM$3)</f>
        <v>0</v>
      </c>
      <c r="DN20" s="56">
        <f>SUMIFS(tblActuals354151923[Team 2 Points],tblActuals354151923[Team 2],$CU20,tblActuals354151923[Team 1],DN$3)+SUMIFS(tblActuals354151923[Team 1 Points],tblActuals354151923[Team 1],$CU20,tblActuals354151923[Team 2],DN$3)</f>
        <v>0</v>
      </c>
      <c r="DO20" s="56">
        <f>SUMIFS(tblActuals354151923[Team 2 Points],tblActuals354151923[Team 2],$CU20,tblActuals354151923[Team 1],DO$3)+SUMIFS(tblActuals354151923[Team 1 Points],tblActuals354151923[Team 1],$CU20,tblActuals354151923[Team 2],DO$3)</f>
        <v>0</v>
      </c>
      <c r="DP20" s="56">
        <f>SUMIFS(tblActuals354151923[Team 2 Points],tblActuals354151923[Team 2],$CU20,tblActuals354151923[Team 1],DP$3)+SUMIFS(tblActuals354151923[Team 1 Points],tblActuals354151923[Team 1],$CU20,tblActuals354151923[Team 2],DP$3)</f>
        <v>0</v>
      </c>
      <c r="DQ20" s="56">
        <f>SUMIFS(tblActuals354151923[Team 2 Points],tblActuals354151923[Team 2],$CU20,tblActuals354151923[Team 1],DQ$3)+SUMIFS(tblActuals354151923[Team 1 Points],tblActuals354151923[Team 1],$CU20,tblActuals354151923[Team 2],DQ$3)</f>
        <v>0</v>
      </c>
      <c r="DR20" s="56">
        <f>SUMIFS(tblActuals354151923[Team 2 Points],tblActuals354151923[Team 2],$CU20,tblActuals354151923[Team 1],DR$3)+SUMIFS(tblActuals354151923[Team 1 Points],tblActuals354151923[Team 1],$CU20,tblActuals354151923[Team 2],DR$3)</f>
        <v>0</v>
      </c>
      <c r="DS20" s="56">
        <f>SUMIFS(tblActuals354151923[Team 2 Points],tblActuals354151923[Team 2],$CU20,tblActuals354151923[Team 1],DS$3)+SUMIFS(tblActuals354151923[Team 1 Points],tblActuals354151923[Team 1],$CU20,tblActuals354151923[Team 2],DS$3)</f>
        <v>0</v>
      </c>
      <c r="DT20" s="57"/>
      <c r="DU20" s="57"/>
      <c r="DV20" s="57"/>
      <c r="DW20" s="57"/>
      <c r="DX20" s="57"/>
      <c r="DY20" s="57"/>
      <c r="DZ20" s="57"/>
      <c r="EA20" s="57"/>
      <c r="EB20" s="4"/>
      <c r="EC20" s="4" t="s">
        <v>29</v>
      </c>
      <c r="ED20" s="56">
        <f>SUMIFS(tblActuals354151923[Team 2 GD],tblActuals354151923[Team 2],$CU20,tblActuals354151923[Team 1],ED$3)+SUMIFS(tblActuals354151923[Team 1 GD],tblActuals354151923[Team 1],$CU20,tblActuals354151923[Team 2],ED$3)</f>
        <v>0</v>
      </c>
      <c r="EE20" s="56">
        <f>SUMIFS(tblActuals354151923[Team 2 GD],tblActuals354151923[Team 2],$CU20,tblActuals354151923[Team 1],EE$3)+SUMIFS(tblActuals354151923[Team 1 GD],tblActuals354151923[Team 1],$CU20,tblActuals354151923[Team 2],EE$3)</f>
        <v>0</v>
      </c>
      <c r="EF20" s="56">
        <f>SUMIFS(tblActuals354151923[Team 2 GD],tblActuals354151923[Team 2],$CU20,tblActuals354151923[Team 1],EF$3)+SUMIFS(tblActuals354151923[Team 1 GD],tblActuals354151923[Team 1],$CU20,tblActuals354151923[Team 2],EF$3)</f>
        <v>0</v>
      </c>
      <c r="EG20" s="56">
        <f>SUMIFS(tblActuals354151923[Team 2 GD],tblActuals354151923[Team 2],$CU20,tblActuals354151923[Team 1],EG$3)+SUMIFS(tblActuals354151923[Team 1 GD],tblActuals354151923[Team 1],$CU20,tblActuals354151923[Team 2],EG$3)</f>
        <v>0</v>
      </c>
      <c r="EH20" s="56">
        <f>SUMIFS(tblActuals354151923[Team 2 GD],tblActuals354151923[Team 2],$CU20,tblActuals354151923[Team 1],EH$3)+SUMIFS(tblActuals354151923[Team 1 GD],tblActuals354151923[Team 1],$CU20,tblActuals354151923[Team 2],EH$3)</f>
        <v>0</v>
      </c>
      <c r="EI20" s="56">
        <f>SUMIFS(tblActuals354151923[Team 2 GD],tblActuals354151923[Team 2],$CU20,tblActuals354151923[Team 1],EI$3)+SUMIFS(tblActuals354151923[Team 1 GD],tblActuals354151923[Team 1],$CU20,tblActuals354151923[Team 2],EI$3)</f>
        <v>0</v>
      </c>
      <c r="EJ20" s="56">
        <f>SUMIFS(tblActuals354151923[Team 2 GD],tblActuals354151923[Team 2],$CU20,tblActuals354151923[Team 1],EJ$3)+SUMIFS(tblActuals354151923[Team 1 GD],tblActuals354151923[Team 1],$CU20,tblActuals354151923[Team 2],EJ$3)</f>
        <v>0</v>
      </c>
      <c r="EK20" s="56">
        <f>SUMIFS(tblActuals354151923[Team 2 GD],tblActuals354151923[Team 2],$CU20,tblActuals354151923[Team 1],EK$3)+SUMIFS(tblActuals354151923[Team 1 GD],tblActuals354151923[Team 1],$CU20,tblActuals354151923[Team 2],EK$3)</f>
        <v>0</v>
      </c>
      <c r="EL20" s="56">
        <f>SUMIFS(tblActuals354151923[Team 2 GD],tblActuals354151923[Team 2],$CU20,tblActuals354151923[Team 1],EL$3)+SUMIFS(tblActuals354151923[Team 1 GD],tblActuals354151923[Team 1],$CU20,tblActuals354151923[Team 2],EL$3)</f>
        <v>0</v>
      </c>
      <c r="EM20" s="56">
        <f>SUMIFS(tblActuals354151923[Team 2 GD],tblActuals354151923[Team 2],$CU20,tblActuals354151923[Team 1],EM$3)+SUMIFS(tblActuals354151923[Team 1 GD],tblActuals354151923[Team 1],$CU20,tblActuals354151923[Team 2],EM$3)</f>
        <v>0</v>
      </c>
      <c r="EN20" s="56">
        <f>SUMIFS(tblActuals354151923[Team 2 GD],tblActuals354151923[Team 2],$CU20,tblActuals354151923[Team 1],EN$3)+SUMIFS(tblActuals354151923[Team 1 GD],tblActuals354151923[Team 1],$CU20,tblActuals354151923[Team 2],EN$3)</f>
        <v>0</v>
      </c>
      <c r="EO20" s="56">
        <f>SUMIFS(tblActuals354151923[Team 2 GD],tblActuals354151923[Team 2],$CU20,tblActuals354151923[Team 1],EO$3)+SUMIFS(tblActuals354151923[Team 1 GD],tblActuals354151923[Team 1],$CU20,tblActuals354151923[Team 2],EO$3)</f>
        <v>0</v>
      </c>
      <c r="EP20" s="56">
        <f>SUMIFS(tblActuals354151923[Team 2 GD],tblActuals354151923[Team 2],$CU20,tblActuals354151923[Team 1],EP$3)+SUMIFS(tblActuals354151923[Team 1 GD],tblActuals354151923[Team 1],$CU20,tblActuals354151923[Team 2],EP$3)</f>
        <v>0</v>
      </c>
      <c r="EQ20" s="56">
        <f>SUMIFS(tblActuals354151923[Team 2 GD],tblActuals354151923[Team 2],$CU20,tblActuals354151923[Team 1],EQ$3)+SUMIFS(tblActuals354151923[Team 1 GD],tblActuals354151923[Team 1],$CU20,tblActuals354151923[Team 2],EQ$3)</f>
        <v>0</v>
      </c>
      <c r="ER20" s="56">
        <f>SUMIFS(tblActuals354151923[Team 2 GD],tblActuals354151923[Team 2],$CU20,tblActuals354151923[Team 1],ER$3)+SUMIFS(tblActuals354151923[Team 1 GD],tblActuals354151923[Team 1],$CU20,tblActuals354151923[Team 2],ER$3)</f>
        <v>0</v>
      </c>
      <c r="ES20" s="56">
        <f>SUMIFS(tblActuals354151923[Team 2 GD],tblActuals354151923[Team 2],$CU20,tblActuals354151923[Team 1],ES$3)+SUMIFS(tblActuals354151923[Team 1 GD],tblActuals354151923[Team 1],$CU20,tblActuals354151923[Team 2],ES$3)</f>
        <v>0</v>
      </c>
      <c r="ET20" s="56">
        <f>SUMIFS(tblActuals354151923[Team 2 GD],tblActuals354151923[Team 2],$CU20,tblActuals354151923[Team 1],ET$3)+SUMIFS(tblActuals354151923[Team 1 GD],tblActuals354151923[Team 1],$CU20,tblActuals354151923[Team 2],ET$3)</f>
        <v>0</v>
      </c>
      <c r="EU20" s="56">
        <f>SUMIFS(tblActuals354151923[Team 2 GD],tblActuals354151923[Team 2],$CU20,tblActuals354151923[Team 1],EU$3)+SUMIFS(tblActuals354151923[Team 1 GD],tblActuals354151923[Team 1],$CU20,tblActuals354151923[Team 2],EU$3)</f>
        <v>0</v>
      </c>
      <c r="EV20" s="56">
        <f>SUMIFS(tblActuals354151923[Team 2 GD],tblActuals354151923[Team 2],$CU20,tblActuals354151923[Team 1],EV$3)+SUMIFS(tblActuals354151923[Team 1 GD],tblActuals354151923[Team 1],$CU20,tblActuals354151923[Team 2],EV$3)</f>
        <v>0</v>
      </c>
      <c r="EW20" s="56">
        <f>SUMIFS(tblActuals354151923[Team 2 GD],tblActuals354151923[Team 2],$CU20,tblActuals354151923[Team 1],EW$3)+SUMIFS(tblActuals354151923[Team 1 GD],tblActuals354151923[Team 1],$CU20,tblActuals354151923[Team 2],EW$3)</f>
        <v>0</v>
      </c>
      <c r="EX20" s="56">
        <f>SUMIFS(tblActuals354151923[Team 2 GD],tblActuals354151923[Team 2],$CU20,tblActuals354151923[Team 1],EX$3)+SUMIFS(tblActuals354151923[Team 1 GD],tblActuals354151923[Team 1],$CU20,tblActuals354151923[Team 2],EX$3)</f>
        <v>0</v>
      </c>
      <c r="EY20" s="56">
        <f>SUMIFS(tblActuals354151923[Team 2 GD],tblActuals354151923[Team 2],$CU20,tblActuals354151923[Team 1],EY$3)+SUMIFS(tblActuals354151923[Team 1 GD],tblActuals354151923[Team 1],$CU20,tblActuals354151923[Team 2],EY$3)</f>
        <v>0</v>
      </c>
      <c r="EZ20" s="56">
        <f>SUMIFS(tblActuals354151923[Team 2 GD],tblActuals354151923[Team 2],$CU20,tblActuals354151923[Team 1],EZ$3)+SUMIFS(tblActuals354151923[Team 1 GD],tblActuals354151923[Team 1],$CU20,tblActuals354151923[Team 2],EZ$3)</f>
        <v>0</v>
      </c>
      <c r="FA20" s="56">
        <f>SUMIFS(tblActuals354151923[Team 2 GD],tblActuals354151923[Team 2],$CU20,tblActuals354151923[Team 1],FA$3)+SUMIFS(tblActuals354151923[Team 1 GD],tblActuals354151923[Team 1],$CU20,tblActuals354151923[Team 2],FA$3)</f>
        <v>0</v>
      </c>
      <c r="FB20" s="57"/>
      <c r="FC20" s="57"/>
      <c r="FD20" s="57"/>
      <c r="FE20" s="57"/>
      <c r="FF20" s="57"/>
      <c r="FG20" s="57"/>
      <c r="FH20" s="57"/>
      <c r="FI20" s="57"/>
      <c r="FJ20" s="4"/>
      <c r="FK20" s="4" t="s">
        <v>29</v>
      </c>
      <c r="FL20" s="56">
        <f>SUMIFS(tblActuals354151923[Team 2 Goals],tblActuals354151923[Team 2],$CU20,tblActuals354151923[Team 1],FL$3)+SUMIFS(tblActuals354151923[Team 1 Goals],tblActuals354151923[Team 1],$CU20,tblActuals354151923[Team 2],FL$3)</f>
        <v>0</v>
      </c>
      <c r="FM20" s="56">
        <f>SUMIFS(tblActuals354151923[Team 2 Goals],tblActuals354151923[Team 2],$CU20,tblActuals354151923[Team 1],FM$3)+SUMIFS(tblActuals354151923[Team 1 Goals],tblActuals354151923[Team 1],$CU20,tblActuals354151923[Team 2],FM$3)</f>
        <v>0</v>
      </c>
      <c r="FN20" s="56">
        <f>SUMIFS(tblActuals354151923[Team 2 Goals],tblActuals354151923[Team 2],$CU20,tblActuals354151923[Team 1],FN$3)+SUMIFS(tblActuals354151923[Team 1 Goals],tblActuals354151923[Team 1],$CU20,tblActuals354151923[Team 2],FN$3)</f>
        <v>0</v>
      </c>
      <c r="FO20" s="56">
        <f>SUMIFS(tblActuals354151923[Team 2 Goals],tblActuals354151923[Team 2],$CU20,tblActuals354151923[Team 1],FO$3)+SUMIFS(tblActuals354151923[Team 1 Goals],tblActuals354151923[Team 1],$CU20,tblActuals354151923[Team 2],FO$3)</f>
        <v>0</v>
      </c>
      <c r="FP20" s="56">
        <f>SUMIFS(tblActuals354151923[Team 2 Goals],tblActuals354151923[Team 2],$CU20,tblActuals354151923[Team 1],FP$3)+SUMIFS(tblActuals354151923[Team 1 Goals],tblActuals354151923[Team 1],$CU20,tblActuals354151923[Team 2],FP$3)</f>
        <v>0</v>
      </c>
      <c r="FQ20" s="56">
        <f>SUMIFS(tblActuals354151923[Team 2 Goals],tblActuals354151923[Team 2],$CU20,tblActuals354151923[Team 1],FQ$3)+SUMIFS(tblActuals354151923[Team 1 Goals],tblActuals354151923[Team 1],$CU20,tblActuals354151923[Team 2],FQ$3)</f>
        <v>0</v>
      </c>
      <c r="FR20" s="56">
        <f>SUMIFS(tblActuals354151923[Team 2 Goals],tblActuals354151923[Team 2],$CU20,tblActuals354151923[Team 1],FR$3)+SUMIFS(tblActuals354151923[Team 1 Goals],tblActuals354151923[Team 1],$CU20,tblActuals354151923[Team 2],FR$3)</f>
        <v>0</v>
      </c>
      <c r="FS20" s="56">
        <f>SUMIFS(tblActuals354151923[Team 2 Goals],tblActuals354151923[Team 2],$CU20,tblActuals354151923[Team 1],FS$3)+SUMIFS(tblActuals354151923[Team 1 Goals],tblActuals354151923[Team 1],$CU20,tblActuals354151923[Team 2],FS$3)</f>
        <v>0</v>
      </c>
      <c r="FT20" s="56">
        <f>SUMIFS(tblActuals354151923[Team 2 Goals],tblActuals354151923[Team 2],$CU20,tblActuals354151923[Team 1],FT$3)+SUMIFS(tblActuals354151923[Team 1 Goals],tblActuals354151923[Team 1],$CU20,tblActuals354151923[Team 2],FT$3)</f>
        <v>0</v>
      </c>
      <c r="FU20" s="56">
        <f>SUMIFS(tblActuals354151923[Team 2 Goals],tblActuals354151923[Team 2],$CU20,tblActuals354151923[Team 1],FU$3)+SUMIFS(tblActuals354151923[Team 1 Goals],tblActuals354151923[Team 1],$CU20,tblActuals354151923[Team 2],FU$3)</f>
        <v>0</v>
      </c>
      <c r="FV20" s="56">
        <f>SUMIFS(tblActuals354151923[Team 2 Goals],tblActuals354151923[Team 2],$CU20,tblActuals354151923[Team 1],FV$3)+SUMIFS(tblActuals354151923[Team 1 Goals],tblActuals354151923[Team 1],$CU20,tblActuals354151923[Team 2],FV$3)</f>
        <v>0</v>
      </c>
      <c r="FW20" s="56">
        <f>SUMIFS(tblActuals354151923[Team 2 Goals],tblActuals354151923[Team 2],$CU20,tblActuals354151923[Team 1],FW$3)+SUMIFS(tblActuals354151923[Team 1 Goals],tblActuals354151923[Team 1],$CU20,tblActuals354151923[Team 2],FW$3)</f>
        <v>0</v>
      </c>
      <c r="FX20" s="56">
        <f>SUMIFS(tblActuals354151923[Team 2 Goals],tblActuals354151923[Team 2],$CU20,tblActuals354151923[Team 1],FX$3)+SUMIFS(tblActuals354151923[Team 1 Goals],tblActuals354151923[Team 1],$CU20,tblActuals354151923[Team 2],FX$3)</f>
        <v>0</v>
      </c>
      <c r="FY20" s="56">
        <f>SUMIFS(tblActuals354151923[Team 2 Goals],tblActuals354151923[Team 2],$CU20,tblActuals354151923[Team 1],FY$3)+SUMIFS(tblActuals354151923[Team 1 Goals],tblActuals354151923[Team 1],$CU20,tblActuals354151923[Team 2],FY$3)</f>
        <v>0</v>
      </c>
      <c r="FZ20" s="56">
        <f>SUMIFS(tblActuals354151923[Team 2 Goals],tblActuals354151923[Team 2],$CU20,tblActuals354151923[Team 1],FZ$3)+SUMIFS(tblActuals354151923[Team 1 Goals],tblActuals354151923[Team 1],$CU20,tblActuals354151923[Team 2],FZ$3)</f>
        <v>0</v>
      </c>
      <c r="GA20" s="56">
        <f>SUMIFS(tblActuals354151923[Team 2 Goals],tblActuals354151923[Team 2],$CU20,tblActuals354151923[Team 1],GA$3)+SUMIFS(tblActuals354151923[Team 1 Goals],tblActuals354151923[Team 1],$CU20,tblActuals354151923[Team 2],GA$3)</f>
        <v>0</v>
      </c>
      <c r="GB20" s="56">
        <f>SUMIFS(tblActuals354151923[Team 2 Goals],tblActuals354151923[Team 2],$CU20,tblActuals354151923[Team 1],GB$3)+SUMIFS(tblActuals354151923[Team 1 Goals],tblActuals354151923[Team 1],$CU20,tblActuals354151923[Team 2],GB$3)</f>
        <v>0</v>
      </c>
      <c r="GC20" s="56">
        <f>SUMIFS(tblActuals354151923[Team 2 Goals],tblActuals354151923[Team 2],$CU20,tblActuals354151923[Team 1],GC$3)+SUMIFS(tblActuals354151923[Team 1 Goals],tblActuals354151923[Team 1],$CU20,tblActuals354151923[Team 2],GC$3)</f>
        <v>0</v>
      </c>
      <c r="GD20" s="56">
        <f>SUMIFS(tblActuals354151923[Team 2 Goals],tblActuals354151923[Team 2],$CU20,tblActuals354151923[Team 1],GD$3)+SUMIFS(tblActuals354151923[Team 1 Goals],tblActuals354151923[Team 1],$CU20,tblActuals354151923[Team 2],GD$3)</f>
        <v>0</v>
      </c>
      <c r="GE20" s="56">
        <f>SUMIFS(tblActuals354151923[Team 2 Goals],tblActuals354151923[Team 2],$CU20,tblActuals354151923[Team 1],GE$3)+SUMIFS(tblActuals354151923[Team 1 Goals],tblActuals354151923[Team 1],$CU20,tblActuals354151923[Team 2],GE$3)</f>
        <v>0</v>
      </c>
      <c r="GF20" s="56">
        <f>SUMIFS(tblActuals354151923[Team 2 Goals],tblActuals354151923[Team 2],$CU20,tblActuals354151923[Team 1],GF$3)+SUMIFS(tblActuals354151923[Team 1 Goals],tblActuals354151923[Team 1],$CU20,tblActuals354151923[Team 2],GF$3)</f>
        <v>0</v>
      </c>
      <c r="GG20" s="56">
        <f>SUMIFS(tblActuals354151923[Team 2 Goals],tblActuals354151923[Team 2],$CU20,tblActuals354151923[Team 1],GG$3)+SUMIFS(tblActuals354151923[Team 1 Goals],tblActuals354151923[Team 1],$CU20,tblActuals354151923[Team 2],GG$3)</f>
        <v>0</v>
      </c>
      <c r="GH20" s="56">
        <f>SUMIFS(tblActuals354151923[Team 2 Goals],tblActuals354151923[Team 2],$CU20,tblActuals354151923[Team 1],GH$3)+SUMIFS(tblActuals354151923[Team 1 Goals],tblActuals354151923[Team 1],$CU20,tblActuals354151923[Team 2],GH$3)</f>
        <v>0</v>
      </c>
      <c r="GI20" s="56">
        <f>SUMIFS(tblActuals354151923[Team 2 Goals],tblActuals354151923[Team 2],$CU20,tblActuals354151923[Team 1],GI$3)+SUMIFS(tblActuals354151923[Team 1 Goals],tblActuals354151923[Team 1],$CU20,tblActuals354151923[Team 2],GI$3)</f>
        <v>0</v>
      </c>
      <c r="GJ20" s="57"/>
      <c r="GK20" s="57"/>
      <c r="GL20" s="37"/>
      <c r="GM20" s="37"/>
      <c r="GN20" s="37"/>
      <c r="GO20" s="37"/>
      <c r="GP20" s="37"/>
      <c r="GQ20" s="37"/>
      <c r="GR20" s="75"/>
      <c r="GS20" s="156"/>
      <c r="GT20" s="156"/>
      <c r="GU20" s="75"/>
      <c r="GV20" s="75"/>
      <c r="GW20" s="75"/>
      <c r="GX20" s="75"/>
      <c r="GY20" s="75"/>
      <c r="GZ20" s="75"/>
    </row>
    <row r="21" spans="1:221" s="11" customFormat="1" ht="30" customHeight="1" thickBot="1" x14ac:dyDescent="0.3">
      <c r="A21" s="20"/>
      <c r="B21" s="122">
        <v>18</v>
      </c>
      <c r="C21" s="122" t="s">
        <v>6</v>
      </c>
      <c r="D21" s="123">
        <v>45463</v>
      </c>
      <c r="E21" s="122" t="s">
        <v>78</v>
      </c>
      <c r="F21" s="124">
        <v>0.625</v>
      </c>
      <c r="G21" s="125">
        <f t="shared" si="11"/>
        <v>45463.375</v>
      </c>
      <c r="H21" s="122" t="s">
        <v>106</v>
      </c>
      <c r="I21" s="126"/>
      <c r="J21" s="118"/>
      <c r="K21" s="118"/>
      <c r="L21" s="174">
        <f>IF(I21="",0,IFERROR(IF(SCORING.RULES!$C$8="No",1,((VLOOKUP($B21,ACTUALS!$B$4:$L$100,7,FALSE)=$H21)+(VLOOKUP($B21,ACTUALS!$B$4:$L$100,7,FALSE)=S21)))*(M21+N21+O21+P21+Q21),0))+$R21</f>
        <v>0</v>
      </c>
      <c r="M21" s="168">
        <f>IFERROR(IF($B21="","",IF(U21=INDEX(ACTUALS!$AA$4:$AA$100,MATCH($B21,ACTUALS!$B$4:$B$100,0),1),CorrectScore,0)),0)</f>
        <v>0</v>
      </c>
      <c r="N21" s="157" t="str">
        <f>IFERROR(IF(I21="","",IF(INDEX(ACTUALS!$AB$4:$AB$100,MATCH($B21,ACTUALS!$B$4:$B$100,0),1)=(AB21+AC21+AH21+AI21),CorrectNumberofGoals,0)),0)</f>
        <v/>
      </c>
      <c r="O21" s="157"/>
      <c r="P21" s="157">
        <f>IFERROR(IF(B21="","",IF(INDEX(ACTUALS!$L$4:$L$100,MATCH($B21,ACTUALS!$B$4:$B$100,0),1)=W21,CorrectResult,0)),0)</f>
        <v>3</v>
      </c>
      <c r="Q21" s="157"/>
      <c r="R21" s="157"/>
      <c r="S21" s="157" t="str">
        <f t="shared" si="0"/>
        <v/>
      </c>
      <c r="T21" s="157"/>
      <c r="U21" s="157" t="str">
        <f t="shared" si="1"/>
        <v/>
      </c>
      <c r="V21" s="157" t="str">
        <f t="shared" si="2"/>
        <v/>
      </c>
      <c r="W21" s="119" t="str">
        <f>IF(tblActuals354151923[[#This Row],[SCORE]]="","",IF(AB21=AC21,"Draw",IF(AB21&gt;AC21,X21,Y21)))</f>
        <v/>
      </c>
      <c r="X21" s="120" t="str">
        <f>IF(tblActuals354151923[[#This Row],[TEAMS]]="","",LEFT(H21,FIND(" -",H21,1)-1))</f>
        <v>Slovenia</v>
      </c>
      <c r="Y21" s="120" t="str">
        <f>IF(tblActuals354151923[[#This Row],[TEAMS]]="","",MID(H21,FIND("-",H21,1)+2,LEN(H21)-FIND("-",H21,1)+2))</f>
        <v>Serbia</v>
      </c>
      <c r="Z21" s="120" t="str">
        <f>IF(tblActuals354151923[[#This Row],[Team 1 Goals]]&gt;tblActuals354151923[[#This Row],[Team 2 Goals]],tblActuals354151923[[#This Row],[Team 1]],IF(tblActuals354151923[[#This Row],[Team 2 Goals]]&gt;tblActuals354151923[[#This Row],[Team 1 Goals]],tblActuals354151923[[#This Row],[Team 2]],""))</f>
        <v/>
      </c>
      <c r="AA21" s="120" t="str">
        <f>IF(tblActuals354151923[[#This Row],[Winner]]=tblActuals354151923[[#This Row],[Team 1]],tblActuals354151923[[#This Row],[Team 2]],IF(tblActuals354151923[[#This Row],[Winner]]=tblActuals354151923[[#This Row],[Team 2]],tblActuals354151923[[#This Row],[Team 1]],""))</f>
        <v/>
      </c>
      <c r="AB21" s="120" t="str">
        <f>IF(tblActuals354151923[[#This Row],[SCORE]]="","",LEFT(I21,FIND(":",I21,1)-1)*1)</f>
        <v/>
      </c>
      <c r="AC21" s="120" t="str">
        <f>IF(tblActuals354151923[[#This Row],[SCORE]]="","",MID(I21,FIND(":",I21,1)+1,LEN(I21)-FIND(":",I21,1)+1)*1)</f>
        <v/>
      </c>
      <c r="AD21" s="120" t="str">
        <f>IF(OR(tblActuals354151923[[#This Row],[Team 1 Goals]]="",tblActuals354151923[[#This Row],[Team 2 Goals]]=""),"",tblActuals354151923[[#This Row],[Team 1 Goals]]-tblActuals354151923[[#This Row],[Team 2 Goals]])</f>
        <v/>
      </c>
      <c r="AE21" s="120" t="str">
        <f>IF(OR(tblActuals354151923[[#This Row],[Team 1 Goals]]="",tblActuals354151923[[#This Row],[Team 2 Goals]]=""),"",tblActuals354151923[[#This Row],[Team 2 Goals]]-tblActuals354151923[[#This Row],[Team 1 Goals]])</f>
        <v/>
      </c>
      <c r="AF21" s="120" t="str">
        <f>IF(tblActuals354151923[[#This Row],[SCORE]]="","",IF(tblActuals354151923[[#This Row],[WINNER / RESULT]]="Draw",1,IF(tblActuals354151923[[#This Row],[WINNER / RESULT]]=tblActuals354151923[[#This Row],[Team 1]],3,0)))</f>
        <v/>
      </c>
      <c r="AG21" s="120" t="str">
        <f>IF(tblActuals354151923[[#This Row],[SCORE]]="","",IF(tblActuals354151923[[#This Row],[WINNER / RESULT]]="Draw",1,IF(tblActuals354151923[[#This Row],[WINNER / RESULT]]=tblActuals354151923[[#This Row],[Team 2]],3,0)))</f>
        <v/>
      </c>
      <c r="AH21" s="121"/>
      <c r="AI21" s="121"/>
      <c r="AJ21" s="121"/>
      <c r="AK21" s="121"/>
      <c r="AL21" s="120" t="e">
        <f>tblActuals354151923[[#This Row],[Team 1 Goals]]+tblActuals354151923[[#This Row],[Team 1 ET Goals]]&amp;":"&amp;tblActuals354151923[[#This Row],[Team 2 Goals]]+tblActuals354151923[[#This Row],[Team 2 ET Goals]]</f>
        <v>#VALUE!</v>
      </c>
      <c r="AM21" s="120" t="e">
        <f>+tblActuals354151923[[#This Row],[Team 1 Goals]]+tblActuals354151923[[#This Row],[Team 2 Goals]]</f>
        <v>#VALUE!</v>
      </c>
      <c r="AN21" s="161">
        <f t="shared" si="3"/>
        <v>45463</v>
      </c>
      <c r="AT21" s="77" t="s">
        <v>6</v>
      </c>
      <c r="AU21" s="145">
        <v>4</v>
      </c>
      <c r="AV21" s="146" t="str">
        <f ca="1">IFERROR(INDEX(BD:BD,MATCH("4"&amp;AT21,BN:BN,0),1),"")</f>
        <v>Slovenia</v>
      </c>
      <c r="AW21" s="146" t="str">
        <f ca="1">IF(AV21="","",VLOOKUP(AV21,BD:BI,2,FALSE)&amp;"-"&amp;VLOOKUP(AV21,BD:BI,3,FALSE)&amp;"-"&amp;VLOOKUP(AV21,BD:BI,4,FALSE))</f>
        <v>0-0-0</v>
      </c>
      <c r="AX21" s="146">
        <f ca="1">IF(AV21="","",VLOOKUP(AV21,BD:BK,8,FALSE))</f>
        <v>0</v>
      </c>
      <c r="AY21" s="147">
        <f ca="1">IF(AV21="","",VLOOKUP(AV21,BD:BN,5,FALSE))</f>
        <v>0</v>
      </c>
      <c r="AZ21" s="75"/>
      <c r="BA21" s="4"/>
      <c r="BB21" s="4"/>
      <c r="BC21" s="4" t="s">
        <v>7</v>
      </c>
      <c r="BD21" s="4" t="s">
        <v>8</v>
      </c>
      <c r="BE21" s="4">
        <f>COUNTIF(tblActuals354151923[Winner],BD21)</f>
        <v>0</v>
      </c>
      <c r="BF21" s="4">
        <f>COUNTIFS(tblActuals354151923[Team 2],BD21,tblActuals354151923[WINNER / RESULT],"Draw")+COUNTIFS(tblActuals354151923[Team 1],BD21,tblActuals354151923[WINNER / RESULT],"Draw")</f>
        <v>0</v>
      </c>
      <c r="BG21" s="4">
        <f>COUNTIF(tblActuals354151923[Loser],BD21)</f>
        <v>0</v>
      </c>
      <c r="BH21" s="4">
        <f>BF21+(3*BE21)</f>
        <v>0</v>
      </c>
      <c r="BI21" s="4">
        <f>SUMIFS(tblActuals354151923[Team 1 Goals],tblActuals354151923[Team 1],BD21)+SUMIFS(tblActuals354151923[Team 2 Goals],tblActuals354151923[Team 2],BD21)</f>
        <v>0</v>
      </c>
      <c r="BJ21" s="4">
        <f>SUMIFS(tblActuals354151923[Team 2 Goals],tblActuals354151923[Team 1],BD21)+SUMIFS(tblActuals354151923[Team 1 Goals],tblActuals354151923[Team 2],BD21)</f>
        <v>0</v>
      </c>
      <c r="BK21" s="4">
        <f>BI21-BJ21</f>
        <v>0</v>
      </c>
      <c r="BL21" s="4">
        <f ca="1">RANK(BY21,$BY$19:$BY$22,1)</f>
        <v>3</v>
      </c>
      <c r="BM21" s="4" t="str">
        <f t="shared" si="4"/>
        <v/>
      </c>
      <c r="BN21" s="4" t="str">
        <f ca="1">IF(BM21="",BL21&amp;BC21,BM21&amp;BC21)</f>
        <v>3D</v>
      </c>
      <c r="BO21" s="4">
        <f>RANK(BH21,$BH$19:$BH$22,0)</f>
        <v>1</v>
      </c>
      <c r="BP21" s="4" cm="1">
        <f t="array" aca="1" ref="BP21" ca="1">SUMPRODUCT((OFFSET($CV$3:$EA$3,MATCH($BD21,$CU$4:$CU$35,0),0))*((IF($BO19=$BO21,$CV$3:$EA$3=$BD19,0))+(IF($BO22=$BO21,$CV$3:$EA$3=$BD22,0))+(IF($BO20=$BO21,$CV$3:$EA$3=$BD20,0))))</f>
        <v>0</v>
      </c>
      <c r="BQ21" s="4" cm="1">
        <f t="array" aca="1" ref="BQ21" ca="1">SUMPRODUCT((OFFSET($ED$3:$FI$3,MATCH($BD21,$EC$4:$EC$35,0),0))*((IF($BO19=$BO21,$ED$3:$FI$3=$BD19,0))+(IF($BO22=$BO21,$ED$3:$FI$3=$BD22,0))+(IF($BO20=$BO21,$ED$3:$FI$3=$BD20,0))))</f>
        <v>0</v>
      </c>
      <c r="BR21" s="4" cm="1">
        <f t="array" aca="1" ref="BR21" ca="1">SUMPRODUCT((OFFSET($FL$3:$GQ$3,MATCH($BD21,$FK$4:$FK$35,0),0))*((IF($BO19=$BO21,$FL$3:$GQ$3=$BD19,0))+(IF($BO22=$BO21,$FL$3:$GQ$3=$BD22,0))+(IF($BO20=$BO21,$FL$3:$GQ$3=$BD20,0))))</f>
        <v>0</v>
      </c>
      <c r="BS21" s="4" cm="1">
        <f t="array" aca="1" ref="BS21" ca="1">SUMPRODUCT((OFFSET($CV$3:$EA$3,MATCH($BD21,$CU$4:$CU$35,0),0))*((IF($BO19&lt;&gt;$BO21,$CV$3:$EA$3=$BD19,0))+(IF($BO22&lt;&gt;$BO21,$CV$3:$EA$3=$BD22,0))+(IF($BO20&lt;&gt;$BO21,$CV$3:$EA$3=$BD20,0))))</f>
        <v>0</v>
      </c>
      <c r="BT21" s="4" cm="1">
        <f t="array" aca="1" ref="BT21" ca="1">SUMPRODUCT((OFFSET($ED$3:$FI$3,MATCH($BD21,$EC$4:$EC$35,0),0))*((IF($BO19&lt;&gt;$BO21,$ED$3:$FI$3=$BD19,0))+(IF($BO22&lt;&gt;$BO21,$ED$3:$FI$3=$BD22,0))+(IF($BO20&lt;&gt;$BO21,$ED$3:$FI$3=$BD20,0))))</f>
        <v>0</v>
      </c>
      <c r="BU21" s="4" cm="1">
        <f t="array" aca="1" ref="BU21" ca="1">SUMPRODUCT((OFFSET($FL$3:$GQ$3,MATCH($BD21,$FK$4:$FK$35,0),0))*((IF($BO19&lt;&gt;$BO21,$FL$3:$GQ$3=$BD19,0))+(IF($BO22&lt;&gt;$BO21,$FL$3:$GQ$3=$BD22,0))+(IF($BO20&lt;&gt;$BO21,$FL$3:$GQ$3=$BD20,0))))</f>
        <v>0</v>
      </c>
      <c r="BV21" s="4">
        <f>BK21</f>
        <v>0</v>
      </c>
      <c r="BW21" s="4">
        <f>BI21</f>
        <v>0</v>
      </c>
      <c r="BX21" s="4">
        <f ca="1">(BP21/10)+(BQ21/100)+(BR21/1000)+(BT21/10000)+(BU21/100000)+(BV21/1000000)+(BW21/10000000)+(ROW(BS20)/100000000)</f>
        <v>1.9999999999999999E-7</v>
      </c>
      <c r="BY21" s="4">
        <f ca="1">+BO21-BX21</f>
        <v>0.99999979999999999</v>
      </c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U21" s="4" t="s">
        <v>130</v>
      </c>
      <c r="CV21" s="56">
        <f>SUMIFS(tblActuals354151923[Team 2 Points],tblActuals354151923[Team 2],$CU21,tblActuals354151923[Team 1],CV$3)+SUMIFS(tblActuals354151923[Team 1 Points],tblActuals354151923[Team 1],$CU21,tblActuals354151923[Team 2],CV$3)</f>
        <v>0</v>
      </c>
      <c r="CW21" s="56">
        <f>SUMIFS(tblActuals354151923[Team 2 Points],tblActuals354151923[Team 2],$CU21,tblActuals354151923[Team 1],CW$3)+SUMIFS(tblActuals354151923[Team 1 Points],tblActuals354151923[Team 1],$CU21,tblActuals354151923[Team 2],CW$3)</f>
        <v>0</v>
      </c>
      <c r="CX21" s="56">
        <f>SUMIFS(tblActuals354151923[Team 2 Points],tblActuals354151923[Team 2],$CU21,tblActuals354151923[Team 1],CX$3)+SUMIFS(tblActuals354151923[Team 1 Points],tblActuals354151923[Team 1],$CU21,tblActuals354151923[Team 2],CX$3)</f>
        <v>0</v>
      </c>
      <c r="CY21" s="56">
        <f>SUMIFS(tblActuals354151923[Team 2 Points],tblActuals354151923[Team 2],$CU21,tblActuals354151923[Team 1],CY$3)+SUMIFS(tblActuals354151923[Team 1 Points],tblActuals354151923[Team 1],$CU21,tblActuals354151923[Team 2],CY$3)</f>
        <v>0</v>
      </c>
      <c r="CZ21" s="56">
        <f>SUMIFS(tblActuals354151923[Team 2 Points],tblActuals354151923[Team 2],$CU21,tblActuals354151923[Team 1],CZ$3)+SUMIFS(tblActuals354151923[Team 1 Points],tblActuals354151923[Team 1],$CU21,tblActuals354151923[Team 2],CZ$3)</f>
        <v>0</v>
      </c>
      <c r="DA21" s="56">
        <f>SUMIFS(tblActuals354151923[Team 2 Points],tblActuals354151923[Team 2],$CU21,tblActuals354151923[Team 1],DA$3)+SUMIFS(tblActuals354151923[Team 1 Points],tblActuals354151923[Team 1],$CU21,tblActuals354151923[Team 2],DA$3)</f>
        <v>0</v>
      </c>
      <c r="DB21" s="56">
        <f>SUMIFS(tblActuals354151923[Team 2 Points],tblActuals354151923[Team 2],$CU21,tblActuals354151923[Team 1],DB$3)+SUMIFS(tblActuals354151923[Team 1 Points],tblActuals354151923[Team 1],$CU21,tblActuals354151923[Team 2],DB$3)</f>
        <v>0</v>
      </c>
      <c r="DC21" s="56">
        <f>SUMIFS(tblActuals354151923[Team 2 Points],tblActuals354151923[Team 2],$CU21,tblActuals354151923[Team 1],DC$3)+SUMIFS(tblActuals354151923[Team 1 Points],tblActuals354151923[Team 1],$CU21,tblActuals354151923[Team 2],DC$3)</f>
        <v>0</v>
      </c>
      <c r="DD21" s="56">
        <f>SUMIFS(tblActuals354151923[Team 2 Points],tblActuals354151923[Team 2],$CU21,tblActuals354151923[Team 1],DD$3)+SUMIFS(tblActuals354151923[Team 1 Points],tblActuals354151923[Team 1],$CU21,tblActuals354151923[Team 2],DD$3)</f>
        <v>0</v>
      </c>
      <c r="DE21" s="56">
        <f>SUMIFS(tblActuals354151923[Team 2 Points],tblActuals354151923[Team 2],$CU21,tblActuals354151923[Team 1],DE$3)+SUMIFS(tblActuals354151923[Team 1 Points],tblActuals354151923[Team 1],$CU21,tblActuals354151923[Team 2],DE$3)</f>
        <v>0</v>
      </c>
      <c r="DF21" s="56">
        <f>SUMIFS(tblActuals354151923[Team 2 Points],tblActuals354151923[Team 2],$CU21,tblActuals354151923[Team 1],DF$3)+SUMIFS(tblActuals354151923[Team 1 Points],tblActuals354151923[Team 1],$CU21,tblActuals354151923[Team 2],DF$3)</f>
        <v>0</v>
      </c>
      <c r="DG21" s="56">
        <f>SUMIFS(tblActuals354151923[Team 2 Points],tblActuals354151923[Team 2],$CU21,tblActuals354151923[Team 1],DG$3)+SUMIFS(tblActuals354151923[Team 1 Points],tblActuals354151923[Team 1],$CU21,tblActuals354151923[Team 2],DG$3)</f>
        <v>0</v>
      </c>
      <c r="DH21" s="56">
        <f>SUMIFS(tblActuals354151923[Team 2 Points],tblActuals354151923[Team 2],$CU21,tblActuals354151923[Team 1],DH$3)+SUMIFS(tblActuals354151923[Team 1 Points],tblActuals354151923[Team 1],$CU21,tblActuals354151923[Team 2],DH$3)</f>
        <v>0</v>
      </c>
      <c r="DI21" s="56">
        <f>SUMIFS(tblActuals354151923[Team 2 Points],tblActuals354151923[Team 2],$CU21,tblActuals354151923[Team 1],DI$3)+SUMIFS(tblActuals354151923[Team 1 Points],tblActuals354151923[Team 1],$CU21,tblActuals354151923[Team 2],DI$3)</f>
        <v>0</v>
      </c>
      <c r="DJ21" s="56">
        <f>SUMIFS(tblActuals354151923[Team 2 Points],tblActuals354151923[Team 2],$CU21,tblActuals354151923[Team 1],DJ$3)+SUMIFS(tblActuals354151923[Team 1 Points],tblActuals354151923[Team 1],$CU21,tblActuals354151923[Team 2],DJ$3)</f>
        <v>0</v>
      </c>
      <c r="DK21" s="56">
        <f>SUMIFS(tblActuals354151923[Team 2 Points],tblActuals354151923[Team 2],$CU21,tblActuals354151923[Team 1],DK$3)+SUMIFS(tblActuals354151923[Team 1 Points],tblActuals354151923[Team 1],$CU21,tblActuals354151923[Team 2],DK$3)</f>
        <v>0</v>
      </c>
      <c r="DL21" s="56">
        <f>SUMIFS(tblActuals354151923[Team 2 Points],tblActuals354151923[Team 2],$CU21,tblActuals354151923[Team 1],DL$3)+SUMIFS(tblActuals354151923[Team 1 Points],tblActuals354151923[Team 1],$CU21,tblActuals354151923[Team 2],DL$3)</f>
        <v>0</v>
      </c>
      <c r="DM21" s="56">
        <f>SUMIFS(tblActuals354151923[Team 2 Points],tblActuals354151923[Team 2],$CU21,tblActuals354151923[Team 1],DM$3)+SUMIFS(tblActuals354151923[Team 1 Points],tblActuals354151923[Team 1],$CU21,tblActuals354151923[Team 2],DM$3)</f>
        <v>0</v>
      </c>
      <c r="DN21" s="56">
        <f>SUMIFS(tblActuals354151923[Team 2 Points],tblActuals354151923[Team 2],$CU21,tblActuals354151923[Team 1],DN$3)+SUMIFS(tblActuals354151923[Team 1 Points],tblActuals354151923[Team 1],$CU21,tblActuals354151923[Team 2],DN$3)</f>
        <v>0</v>
      </c>
      <c r="DO21" s="56">
        <f>SUMIFS(tblActuals354151923[Team 2 Points],tblActuals354151923[Team 2],$CU21,tblActuals354151923[Team 1],DO$3)+SUMIFS(tblActuals354151923[Team 1 Points],tblActuals354151923[Team 1],$CU21,tblActuals354151923[Team 2],DO$3)</f>
        <v>0</v>
      </c>
      <c r="DP21" s="56">
        <f>SUMIFS(tblActuals354151923[Team 2 Points],tblActuals354151923[Team 2],$CU21,tblActuals354151923[Team 1],DP$3)+SUMIFS(tblActuals354151923[Team 1 Points],tblActuals354151923[Team 1],$CU21,tblActuals354151923[Team 2],DP$3)</f>
        <v>0</v>
      </c>
      <c r="DQ21" s="56">
        <f>SUMIFS(tblActuals354151923[Team 2 Points],tblActuals354151923[Team 2],$CU21,tblActuals354151923[Team 1],DQ$3)+SUMIFS(tblActuals354151923[Team 1 Points],tblActuals354151923[Team 1],$CU21,tblActuals354151923[Team 2],DQ$3)</f>
        <v>0</v>
      </c>
      <c r="DR21" s="56">
        <f>SUMIFS(tblActuals354151923[Team 2 Points],tblActuals354151923[Team 2],$CU21,tblActuals354151923[Team 1],DR$3)+SUMIFS(tblActuals354151923[Team 1 Points],tblActuals354151923[Team 1],$CU21,tblActuals354151923[Team 2],DR$3)</f>
        <v>0</v>
      </c>
      <c r="DS21" s="56">
        <f>SUMIFS(tblActuals354151923[Team 2 Points],tblActuals354151923[Team 2],$CU21,tblActuals354151923[Team 1],DS$3)+SUMIFS(tblActuals354151923[Team 1 Points],tblActuals354151923[Team 1],$CU21,tblActuals354151923[Team 2],DS$3)</f>
        <v>0</v>
      </c>
      <c r="DT21" s="57"/>
      <c r="DU21" s="57"/>
      <c r="DV21" s="57"/>
      <c r="DW21" s="57"/>
      <c r="DX21" s="57"/>
      <c r="DY21" s="57"/>
      <c r="DZ21" s="57"/>
      <c r="EA21" s="57"/>
      <c r="EB21" s="4"/>
      <c r="EC21" s="4" t="s">
        <v>130</v>
      </c>
      <c r="ED21" s="56">
        <f>SUMIFS(tblActuals354151923[Team 2 GD],tblActuals354151923[Team 2],$CU21,tblActuals354151923[Team 1],ED$3)+SUMIFS(tblActuals354151923[Team 1 GD],tblActuals354151923[Team 1],$CU21,tblActuals354151923[Team 2],ED$3)</f>
        <v>0</v>
      </c>
      <c r="EE21" s="56">
        <f>SUMIFS(tblActuals354151923[Team 2 GD],tblActuals354151923[Team 2],$CU21,tblActuals354151923[Team 1],EE$3)+SUMIFS(tblActuals354151923[Team 1 GD],tblActuals354151923[Team 1],$CU21,tblActuals354151923[Team 2],EE$3)</f>
        <v>0</v>
      </c>
      <c r="EF21" s="56">
        <f>SUMIFS(tblActuals354151923[Team 2 GD],tblActuals354151923[Team 2],$CU21,tblActuals354151923[Team 1],EF$3)+SUMIFS(tblActuals354151923[Team 1 GD],tblActuals354151923[Team 1],$CU21,tblActuals354151923[Team 2],EF$3)</f>
        <v>0</v>
      </c>
      <c r="EG21" s="56">
        <f>SUMIFS(tblActuals354151923[Team 2 GD],tblActuals354151923[Team 2],$CU21,tblActuals354151923[Team 1],EG$3)+SUMIFS(tblActuals354151923[Team 1 GD],tblActuals354151923[Team 1],$CU21,tblActuals354151923[Team 2],EG$3)</f>
        <v>0</v>
      </c>
      <c r="EH21" s="56">
        <f>SUMIFS(tblActuals354151923[Team 2 GD],tblActuals354151923[Team 2],$CU21,tblActuals354151923[Team 1],EH$3)+SUMIFS(tblActuals354151923[Team 1 GD],tblActuals354151923[Team 1],$CU21,tblActuals354151923[Team 2],EH$3)</f>
        <v>0</v>
      </c>
      <c r="EI21" s="56">
        <f>SUMIFS(tblActuals354151923[Team 2 GD],tblActuals354151923[Team 2],$CU21,tblActuals354151923[Team 1],EI$3)+SUMIFS(tblActuals354151923[Team 1 GD],tblActuals354151923[Team 1],$CU21,tblActuals354151923[Team 2],EI$3)</f>
        <v>0</v>
      </c>
      <c r="EJ21" s="56">
        <f>SUMIFS(tblActuals354151923[Team 2 GD],tblActuals354151923[Team 2],$CU21,tblActuals354151923[Team 1],EJ$3)+SUMIFS(tblActuals354151923[Team 1 GD],tblActuals354151923[Team 1],$CU21,tblActuals354151923[Team 2],EJ$3)</f>
        <v>0</v>
      </c>
      <c r="EK21" s="56">
        <f>SUMIFS(tblActuals354151923[Team 2 GD],tblActuals354151923[Team 2],$CU21,tblActuals354151923[Team 1],EK$3)+SUMIFS(tblActuals354151923[Team 1 GD],tblActuals354151923[Team 1],$CU21,tblActuals354151923[Team 2],EK$3)</f>
        <v>0</v>
      </c>
      <c r="EL21" s="56">
        <f>SUMIFS(tblActuals354151923[Team 2 GD],tblActuals354151923[Team 2],$CU21,tblActuals354151923[Team 1],EL$3)+SUMIFS(tblActuals354151923[Team 1 GD],tblActuals354151923[Team 1],$CU21,tblActuals354151923[Team 2],EL$3)</f>
        <v>0</v>
      </c>
      <c r="EM21" s="56">
        <f>SUMIFS(tblActuals354151923[Team 2 GD],tblActuals354151923[Team 2],$CU21,tblActuals354151923[Team 1],EM$3)+SUMIFS(tblActuals354151923[Team 1 GD],tblActuals354151923[Team 1],$CU21,tblActuals354151923[Team 2],EM$3)</f>
        <v>0</v>
      </c>
      <c r="EN21" s="56">
        <f>SUMIFS(tblActuals354151923[Team 2 GD],tblActuals354151923[Team 2],$CU21,tblActuals354151923[Team 1],EN$3)+SUMIFS(tblActuals354151923[Team 1 GD],tblActuals354151923[Team 1],$CU21,tblActuals354151923[Team 2],EN$3)</f>
        <v>0</v>
      </c>
      <c r="EO21" s="56">
        <f>SUMIFS(tblActuals354151923[Team 2 GD],tblActuals354151923[Team 2],$CU21,tblActuals354151923[Team 1],EO$3)+SUMIFS(tblActuals354151923[Team 1 GD],tblActuals354151923[Team 1],$CU21,tblActuals354151923[Team 2],EO$3)</f>
        <v>0</v>
      </c>
      <c r="EP21" s="56">
        <f>SUMIFS(tblActuals354151923[Team 2 GD],tblActuals354151923[Team 2],$CU21,tblActuals354151923[Team 1],EP$3)+SUMIFS(tblActuals354151923[Team 1 GD],tblActuals354151923[Team 1],$CU21,tblActuals354151923[Team 2],EP$3)</f>
        <v>0</v>
      </c>
      <c r="EQ21" s="56">
        <f>SUMIFS(tblActuals354151923[Team 2 GD],tblActuals354151923[Team 2],$CU21,tblActuals354151923[Team 1],EQ$3)+SUMIFS(tblActuals354151923[Team 1 GD],tblActuals354151923[Team 1],$CU21,tblActuals354151923[Team 2],EQ$3)</f>
        <v>0</v>
      </c>
      <c r="ER21" s="56">
        <f>SUMIFS(tblActuals354151923[Team 2 GD],tblActuals354151923[Team 2],$CU21,tblActuals354151923[Team 1],ER$3)+SUMIFS(tblActuals354151923[Team 1 GD],tblActuals354151923[Team 1],$CU21,tblActuals354151923[Team 2],ER$3)</f>
        <v>0</v>
      </c>
      <c r="ES21" s="56">
        <f>SUMIFS(tblActuals354151923[Team 2 GD],tblActuals354151923[Team 2],$CU21,tblActuals354151923[Team 1],ES$3)+SUMIFS(tblActuals354151923[Team 1 GD],tblActuals354151923[Team 1],$CU21,tblActuals354151923[Team 2],ES$3)</f>
        <v>0</v>
      </c>
      <c r="ET21" s="56">
        <f>SUMIFS(tblActuals354151923[Team 2 GD],tblActuals354151923[Team 2],$CU21,tblActuals354151923[Team 1],ET$3)+SUMIFS(tblActuals354151923[Team 1 GD],tblActuals354151923[Team 1],$CU21,tblActuals354151923[Team 2],ET$3)</f>
        <v>0</v>
      </c>
      <c r="EU21" s="56">
        <f>SUMIFS(tblActuals354151923[Team 2 GD],tblActuals354151923[Team 2],$CU21,tblActuals354151923[Team 1],EU$3)+SUMIFS(tblActuals354151923[Team 1 GD],tblActuals354151923[Team 1],$CU21,tblActuals354151923[Team 2],EU$3)</f>
        <v>0</v>
      </c>
      <c r="EV21" s="56">
        <f>SUMIFS(tblActuals354151923[Team 2 GD],tblActuals354151923[Team 2],$CU21,tblActuals354151923[Team 1],EV$3)+SUMIFS(tblActuals354151923[Team 1 GD],tblActuals354151923[Team 1],$CU21,tblActuals354151923[Team 2],EV$3)</f>
        <v>0</v>
      </c>
      <c r="EW21" s="56">
        <f>SUMIFS(tblActuals354151923[Team 2 GD],tblActuals354151923[Team 2],$CU21,tblActuals354151923[Team 1],EW$3)+SUMIFS(tblActuals354151923[Team 1 GD],tblActuals354151923[Team 1],$CU21,tblActuals354151923[Team 2],EW$3)</f>
        <v>0</v>
      </c>
      <c r="EX21" s="56">
        <f>SUMIFS(tblActuals354151923[Team 2 GD],tblActuals354151923[Team 2],$CU21,tblActuals354151923[Team 1],EX$3)+SUMIFS(tblActuals354151923[Team 1 GD],tblActuals354151923[Team 1],$CU21,tblActuals354151923[Team 2],EX$3)</f>
        <v>0</v>
      </c>
      <c r="EY21" s="56">
        <f>SUMIFS(tblActuals354151923[Team 2 GD],tblActuals354151923[Team 2],$CU21,tblActuals354151923[Team 1],EY$3)+SUMIFS(tblActuals354151923[Team 1 GD],tblActuals354151923[Team 1],$CU21,tblActuals354151923[Team 2],EY$3)</f>
        <v>0</v>
      </c>
      <c r="EZ21" s="56">
        <f>SUMIFS(tblActuals354151923[Team 2 GD],tblActuals354151923[Team 2],$CU21,tblActuals354151923[Team 1],EZ$3)+SUMIFS(tblActuals354151923[Team 1 GD],tblActuals354151923[Team 1],$CU21,tblActuals354151923[Team 2],EZ$3)</f>
        <v>0</v>
      </c>
      <c r="FA21" s="56">
        <f>SUMIFS(tblActuals354151923[Team 2 GD],tblActuals354151923[Team 2],$CU21,tblActuals354151923[Team 1],FA$3)+SUMIFS(tblActuals354151923[Team 1 GD],tblActuals354151923[Team 1],$CU21,tblActuals354151923[Team 2],FA$3)</f>
        <v>0</v>
      </c>
      <c r="FB21" s="57"/>
      <c r="FC21" s="57"/>
      <c r="FD21" s="57"/>
      <c r="FE21" s="57"/>
      <c r="FF21" s="57"/>
      <c r="FG21" s="57"/>
      <c r="FH21" s="57"/>
      <c r="FI21" s="57"/>
      <c r="FJ21" s="4"/>
      <c r="FK21" s="4" t="s">
        <v>130</v>
      </c>
      <c r="FL21" s="56">
        <f>SUMIFS(tblActuals354151923[Team 2 Goals],tblActuals354151923[Team 2],$CU21,tblActuals354151923[Team 1],FL$3)+SUMIFS(tblActuals354151923[Team 1 Goals],tblActuals354151923[Team 1],$CU21,tblActuals354151923[Team 2],FL$3)</f>
        <v>0</v>
      </c>
      <c r="FM21" s="56">
        <f>SUMIFS(tblActuals354151923[Team 2 Goals],tblActuals354151923[Team 2],$CU21,tblActuals354151923[Team 1],FM$3)+SUMIFS(tblActuals354151923[Team 1 Goals],tblActuals354151923[Team 1],$CU21,tblActuals354151923[Team 2],FM$3)</f>
        <v>0</v>
      </c>
      <c r="FN21" s="56">
        <f>SUMIFS(tblActuals354151923[Team 2 Goals],tblActuals354151923[Team 2],$CU21,tblActuals354151923[Team 1],FN$3)+SUMIFS(tblActuals354151923[Team 1 Goals],tblActuals354151923[Team 1],$CU21,tblActuals354151923[Team 2],FN$3)</f>
        <v>0</v>
      </c>
      <c r="FO21" s="56">
        <f>SUMIFS(tblActuals354151923[Team 2 Goals],tblActuals354151923[Team 2],$CU21,tblActuals354151923[Team 1],FO$3)+SUMIFS(tblActuals354151923[Team 1 Goals],tblActuals354151923[Team 1],$CU21,tblActuals354151923[Team 2],FO$3)</f>
        <v>0</v>
      </c>
      <c r="FP21" s="56">
        <f>SUMIFS(tblActuals354151923[Team 2 Goals],tblActuals354151923[Team 2],$CU21,tblActuals354151923[Team 1],FP$3)+SUMIFS(tblActuals354151923[Team 1 Goals],tblActuals354151923[Team 1],$CU21,tblActuals354151923[Team 2],FP$3)</f>
        <v>0</v>
      </c>
      <c r="FQ21" s="56">
        <f>SUMIFS(tblActuals354151923[Team 2 Goals],tblActuals354151923[Team 2],$CU21,tblActuals354151923[Team 1],FQ$3)+SUMIFS(tblActuals354151923[Team 1 Goals],tblActuals354151923[Team 1],$CU21,tblActuals354151923[Team 2],FQ$3)</f>
        <v>0</v>
      </c>
      <c r="FR21" s="56">
        <f>SUMIFS(tblActuals354151923[Team 2 Goals],tblActuals354151923[Team 2],$CU21,tblActuals354151923[Team 1],FR$3)+SUMIFS(tblActuals354151923[Team 1 Goals],tblActuals354151923[Team 1],$CU21,tblActuals354151923[Team 2],FR$3)</f>
        <v>0</v>
      </c>
      <c r="FS21" s="56">
        <f>SUMIFS(tblActuals354151923[Team 2 Goals],tblActuals354151923[Team 2],$CU21,tblActuals354151923[Team 1],FS$3)+SUMIFS(tblActuals354151923[Team 1 Goals],tblActuals354151923[Team 1],$CU21,tblActuals354151923[Team 2],FS$3)</f>
        <v>0</v>
      </c>
      <c r="FT21" s="56">
        <f>SUMIFS(tblActuals354151923[Team 2 Goals],tblActuals354151923[Team 2],$CU21,tblActuals354151923[Team 1],FT$3)+SUMIFS(tblActuals354151923[Team 1 Goals],tblActuals354151923[Team 1],$CU21,tblActuals354151923[Team 2],FT$3)</f>
        <v>0</v>
      </c>
      <c r="FU21" s="56">
        <f>SUMIFS(tblActuals354151923[Team 2 Goals],tblActuals354151923[Team 2],$CU21,tblActuals354151923[Team 1],FU$3)+SUMIFS(tblActuals354151923[Team 1 Goals],tblActuals354151923[Team 1],$CU21,tblActuals354151923[Team 2],FU$3)</f>
        <v>0</v>
      </c>
      <c r="FV21" s="56">
        <f>SUMIFS(tblActuals354151923[Team 2 Goals],tblActuals354151923[Team 2],$CU21,tblActuals354151923[Team 1],FV$3)+SUMIFS(tblActuals354151923[Team 1 Goals],tblActuals354151923[Team 1],$CU21,tblActuals354151923[Team 2],FV$3)</f>
        <v>0</v>
      </c>
      <c r="FW21" s="56">
        <f>SUMIFS(tblActuals354151923[Team 2 Goals],tblActuals354151923[Team 2],$CU21,tblActuals354151923[Team 1],FW$3)+SUMIFS(tblActuals354151923[Team 1 Goals],tblActuals354151923[Team 1],$CU21,tblActuals354151923[Team 2],FW$3)</f>
        <v>0</v>
      </c>
      <c r="FX21" s="56">
        <f>SUMIFS(tblActuals354151923[Team 2 Goals],tblActuals354151923[Team 2],$CU21,tblActuals354151923[Team 1],FX$3)+SUMIFS(tblActuals354151923[Team 1 Goals],tblActuals354151923[Team 1],$CU21,tblActuals354151923[Team 2],FX$3)</f>
        <v>0</v>
      </c>
      <c r="FY21" s="56">
        <f>SUMIFS(tblActuals354151923[Team 2 Goals],tblActuals354151923[Team 2],$CU21,tblActuals354151923[Team 1],FY$3)+SUMIFS(tblActuals354151923[Team 1 Goals],tblActuals354151923[Team 1],$CU21,tblActuals354151923[Team 2],FY$3)</f>
        <v>0</v>
      </c>
      <c r="FZ21" s="56">
        <f>SUMIFS(tblActuals354151923[Team 2 Goals],tblActuals354151923[Team 2],$CU21,tblActuals354151923[Team 1],FZ$3)+SUMIFS(tblActuals354151923[Team 1 Goals],tblActuals354151923[Team 1],$CU21,tblActuals354151923[Team 2],FZ$3)</f>
        <v>0</v>
      </c>
      <c r="GA21" s="56">
        <f>SUMIFS(tblActuals354151923[Team 2 Goals],tblActuals354151923[Team 2],$CU21,tblActuals354151923[Team 1],GA$3)+SUMIFS(tblActuals354151923[Team 1 Goals],tblActuals354151923[Team 1],$CU21,tblActuals354151923[Team 2],GA$3)</f>
        <v>0</v>
      </c>
      <c r="GB21" s="56">
        <f>SUMIFS(tblActuals354151923[Team 2 Goals],tblActuals354151923[Team 2],$CU21,tblActuals354151923[Team 1],GB$3)+SUMIFS(tblActuals354151923[Team 1 Goals],tblActuals354151923[Team 1],$CU21,tblActuals354151923[Team 2],GB$3)</f>
        <v>0</v>
      </c>
      <c r="GC21" s="56">
        <f>SUMIFS(tblActuals354151923[Team 2 Goals],tblActuals354151923[Team 2],$CU21,tblActuals354151923[Team 1],GC$3)+SUMIFS(tblActuals354151923[Team 1 Goals],tblActuals354151923[Team 1],$CU21,tblActuals354151923[Team 2],GC$3)</f>
        <v>0</v>
      </c>
      <c r="GD21" s="56">
        <f>SUMIFS(tblActuals354151923[Team 2 Goals],tblActuals354151923[Team 2],$CU21,tblActuals354151923[Team 1],GD$3)+SUMIFS(tblActuals354151923[Team 1 Goals],tblActuals354151923[Team 1],$CU21,tblActuals354151923[Team 2],GD$3)</f>
        <v>0</v>
      </c>
      <c r="GE21" s="56">
        <f>SUMIFS(tblActuals354151923[Team 2 Goals],tblActuals354151923[Team 2],$CU21,tblActuals354151923[Team 1],GE$3)+SUMIFS(tblActuals354151923[Team 1 Goals],tblActuals354151923[Team 1],$CU21,tblActuals354151923[Team 2],GE$3)</f>
        <v>0</v>
      </c>
      <c r="GF21" s="56">
        <f>SUMIFS(tblActuals354151923[Team 2 Goals],tblActuals354151923[Team 2],$CU21,tblActuals354151923[Team 1],GF$3)+SUMIFS(tblActuals354151923[Team 1 Goals],tblActuals354151923[Team 1],$CU21,tblActuals354151923[Team 2],GF$3)</f>
        <v>0</v>
      </c>
      <c r="GG21" s="56">
        <f>SUMIFS(tblActuals354151923[Team 2 Goals],tblActuals354151923[Team 2],$CU21,tblActuals354151923[Team 1],GG$3)+SUMIFS(tblActuals354151923[Team 1 Goals],tblActuals354151923[Team 1],$CU21,tblActuals354151923[Team 2],GG$3)</f>
        <v>0</v>
      </c>
      <c r="GH21" s="56">
        <f>SUMIFS(tblActuals354151923[Team 2 Goals],tblActuals354151923[Team 2],$CU21,tblActuals354151923[Team 1],GH$3)+SUMIFS(tblActuals354151923[Team 1 Goals],tblActuals354151923[Team 1],$CU21,tblActuals354151923[Team 2],GH$3)</f>
        <v>0</v>
      </c>
      <c r="GI21" s="56">
        <f>SUMIFS(tblActuals354151923[Team 2 Goals],tblActuals354151923[Team 2],$CU21,tblActuals354151923[Team 1],GI$3)+SUMIFS(tblActuals354151923[Team 1 Goals],tblActuals354151923[Team 1],$CU21,tblActuals354151923[Team 2],GI$3)</f>
        <v>0</v>
      </c>
      <c r="GJ21" s="57"/>
      <c r="GK21" s="57"/>
      <c r="GL21" s="37"/>
      <c r="GM21" s="37"/>
      <c r="GN21" s="37"/>
      <c r="GO21" s="37"/>
      <c r="GP21" s="37"/>
      <c r="GQ21" s="37"/>
      <c r="GR21" s="75"/>
      <c r="GS21" s="156"/>
      <c r="GT21" s="156"/>
      <c r="GU21" s="75"/>
      <c r="GV21" s="75"/>
      <c r="GW21" s="75"/>
      <c r="GX21" s="75"/>
      <c r="GY21" s="75"/>
      <c r="GZ21" s="75"/>
    </row>
    <row r="22" spans="1:221" s="11" customFormat="1" ht="30" customHeight="1" thickBot="1" x14ac:dyDescent="0.3">
      <c r="A22" s="20"/>
      <c r="B22" s="122">
        <v>19</v>
      </c>
      <c r="C22" s="122" t="s">
        <v>7</v>
      </c>
      <c r="D22" s="123">
        <v>45464</v>
      </c>
      <c r="E22" s="122" t="s">
        <v>80</v>
      </c>
      <c r="F22" s="124">
        <v>0.75</v>
      </c>
      <c r="G22" s="125">
        <f t="shared" si="11"/>
        <v>45464.5</v>
      </c>
      <c r="H22" s="122" t="s">
        <v>107</v>
      </c>
      <c r="I22" s="126"/>
      <c r="J22" s="118"/>
      <c r="K22" s="118"/>
      <c r="L22" s="174">
        <f>IF(I22="",0,IFERROR(IF(SCORING.RULES!$C$8="No",1,((VLOOKUP($B22,ACTUALS!$B$4:$L$100,7,FALSE)=$H22)+(VLOOKUP($B22,ACTUALS!$B$4:$L$100,7,FALSE)=S22)))*(M22+N22+O22+P22+Q22),0))+$R22</f>
        <v>0</v>
      </c>
      <c r="M22" s="168">
        <f>IFERROR(IF($B22="","",IF(U22=INDEX(ACTUALS!$AA$4:$AA$100,MATCH($B22,ACTUALS!$B$4:$B$100,0),1),CorrectScore,0)),0)</f>
        <v>0</v>
      </c>
      <c r="N22" s="157" t="str">
        <f>IFERROR(IF(I22="","",IF(INDEX(ACTUALS!$AB$4:$AB$100,MATCH($B22,ACTUALS!$B$4:$B$100,0),1)=(AB22+AC22+AH22+AI22),CorrectNumberofGoals,0)),0)</f>
        <v/>
      </c>
      <c r="O22" s="157"/>
      <c r="P22" s="157">
        <f>IFERROR(IF(B22="","",IF(INDEX(ACTUALS!$L$4:$L$100,MATCH($B22,ACTUALS!$B$4:$B$100,0),1)=W22,CorrectResult,0)),0)</f>
        <v>3</v>
      </c>
      <c r="Q22" s="157"/>
      <c r="R22" s="157"/>
      <c r="S22" s="157" t="str">
        <f t="shared" si="0"/>
        <v/>
      </c>
      <c r="T22" s="157"/>
      <c r="U22" s="157" t="str">
        <f t="shared" si="1"/>
        <v/>
      </c>
      <c r="V22" s="157" t="str">
        <f t="shared" si="2"/>
        <v/>
      </c>
      <c r="W22" s="119" t="str">
        <f>IF(tblActuals354151923[[#This Row],[SCORE]]="","",IF(AB22=AC22,"Draw",IF(AB22&gt;AC22,X22,Y22)))</f>
        <v/>
      </c>
      <c r="X22" s="120" t="str">
        <f>IF(tblActuals354151923[[#This Row],[TEAMS]]="","",LEFT(H22,FIND(" -",H22,1)-1))</f>
        <v>Poland</v>
      </c>
      <c r="Y22" s="120" t="str">
        <f>IF(tblActuals354151923[[#This Row],[TEAMS]]="","",MID(H22,FIND("-",H22,1)+2,LEN(H22)-FIND("-",H22,1)+2))</f>
        <v>Austria</v>
      </c>
      <c r="Z22" s="120" t="str">
        <f>IF(tblActuals354151923[[#This Row],[Team 1 Goals]]&gt;tblActuals354151923[[#This Row],[Team 2 Goals]],tblActuals354151923[[#This Row],[Team 1]],IF(tblActuals354151923[[#This Row],[Team 2 Goals]]&gt;tblActuals354151923[[#This Row],[Team 1 Goals]],tblActuals354151923[[#This Row],[Team 2]],""))</f>
        <v/>
      </c>
      <c r="AA22" s="120" t="str">
        <f>IF(tblActuals354151923[[#This Row],[Winner]]=tblActuals354151923[[#This Row],[Team 1]],tblActuals354151923[[#This Row],[Team 2]],IF(tblActuals354151923[[#This Row],[Winner]]=tblActuals354151923[[#This Row],[Team 2]],tblActuals354151923[[#This Row],[Team 1]],""))</f>
        <v/>
      </c>
      <c r="AB22" s="120" t="str">
        <f>IF(tblActuals354151923[[#This Row],[SCORE]]="","",LEFT(I22,FIND(":",I22,1)-1)*1)</f>
        <v/>
      </c>
      <c r="AC22" s="120" t="str">
        <f>IF(tblActuals354151923[[#This Row],[SCORE]]="","",MID(I22,FIND(":",I22,1)+1,LEN(I22)-FIND(":",I22,1)+1)*1)</f>
        <v/>
      </c>
      <c r="AD22" s="120" t="str">
        <f>IF(OR(tblActuals354151923[[#This Row],[Team 1 Goals]]="",tblActuals354151923[[#This Row],[Team 2 Goals]]=""),"",tblActuals354151923[[#This Row],[Team 1 Goals]]-tblActuals354151923[[#This Row],[Team 2 Goals]])</f>
        <v/>
      </c>
      <c r="AE22" s="120" t="str">
        <f>IF(OR(tblActuals354151923[[#This Row],[Team 1 Goals]]="",tblActuals354151923[[#This Row],[Team 2 Goals]]=""),"",tblActuals354151923[[#This Row],[Team 2 Goals]]-tblActuals354151923[[#This Row],[Team 1 Goals]])</f>
        <v/>
      </c>
      <c r="AF22" s="120" t="str">
        <f>IF(tblActuals354151923[[#This Row],[SCORE]]="","",IF(tblActuals354151923[[#This Row],[WINNER / RESULT]]="Draw",1,IF(tblActuals354151923[[#This Row],[WINNER / RESULT]]=tblActuals354151923[[#This Row],[Team 1]],3,0)))</f>
        <v/>
      </c>
      <c r="AG22" s="120" t="str">
        <f>IF(tblActuals354151923[[#This Row],[SCORE]]="","",IF(tblActuals354151923[[#This Row],[WINNER / RESULT]]="Draw",1,IF(tblActuals354151923[[#This Row],[WINNER / RESULT]]=tblActuals354151923[[#This Row],[Team 2]],3,0)))</f>
        <v/>
      </c>
      <c r="AH22" s="121"/>
      <c r="AI22" s="121"/>
      <c r="AJ22" s="121"/>
      <c r="AK22" s="121"/>
      <c r="AL22" s="120" t="e">
        <f>tblActuals354151923[[#This Row],[Team 1 Goals]]+tblActuals354151923[[#This Row],[Team 1 ET Goals]]&amp;":"&amp;tblActuals354151923[[#This Row],[Team 2 Goals]]+tblActuals354151923[[#This Row],[Team 2 ET Goals]]</f>
        <v>#VALUE!</v>
      </c>
      <c r="AM22" s="120" t="e">
        <f>+tblActuals354151923[[#This Row],[Team 1 Goals]]+tblActuals354151923[[#This Row],[Team 2 Goals]]</f>
        <v>#VALUE!</v>
      </c>
      <c r="AN22" s="161">
        <f t="shared" si="3"/>
        <v>45464</v>
      </c>
      <c r="AT22" s="77"/>
      <c r="AU22" s="148"/>
      <c r="AV22" s="148"/>
      <c r="AW22" s="148"/>
      <c r="AX22" s="148"/>
      <c r="AY22" s="148"/>
      <c r="AZ22" s="75"/>
      <c r="BA22" s="4"/>
      <c r="BB22" s="4"/>
      <c r="BC22" s="4" t="s">
        <v>7</v>
      </c>
      <c r="BD22" s="4" t="s">
        <v>32</v>
      </c>
      <c r="BE22" s="4">
        <f>COUNTIF(tblActuals354151923[Winner],BD22)</f>
        <v>0</v>
      </c>
      <c r="BF22" s="4">
        <f>COUNTIFS(tblActuals354151923[Team 2],BD22,tblActuals354151923[WINNER / RESULT],"Draw")+COUNTIFS(tblActuals354151923[Team 1],BD22,tblActuals354151923[WINNER / RESULT],"Draw")</f>
        <v>0</v>
      </c>
      <c r="BG22" s="4">
        <f>COUNTIF(tblActuals354151923[Loser],BD22)</f>
        <v>0</v>
      </c>
      <c r="BH22" s="4">
        <f>BF22+(3*BE22)</f>
        <v>0</v>
      </c>
      <c r="BI22" s="4">
        <f>SUMIFS(tblActuals354151923[Team 1 Goals],tblActuals354151923[Team 1],BD22)+SUMIFS(tblActuals354151923[Team 2 Goals],tblActuals354151923[Team 2],BD22)</f>
        <v>0</v>
      </c>
      <c r="BJ22" s="4">
        <f>SUMIFS(tblActuals354151923[Team 2 Goals],tblActuals354151923[Team 1],BD22)+SUMIFS(tblActuals354151923[Team 1 Goals],tblActuals354151923[Team 2],BD22)</f>
        <v>0</v>
      </c>
      <c r="BK22" s="4">
        <f>BI22-BJ22</f>
        <v>0</v>
      </c>
      <c r="BL22" s="4">
        <f ca="1">RANK(BY22,$BY$19:$BY$22,1)</f>
        <v>4</v>
      </c>
      <c r="BM22" s="4" t="str">
        <f t="shared" si="4"/>
        <v/>
      </c>
      <c r="BN22" s="4" t="str">
        <f ca="1">IF(BM22="",BL22&amp;BC22,BM22&amp;BC22)</f>
        <v>4D</v>
      </c>
      <c r="BO22" s="4">
        <f>RANK(BH22,$BH$19:$BH$22,0)</f>
        <v>1</v>
      </c>
      <c r="BP22" s="4" cm="1">
        <f t="array" aca="1" ref="BP22" ca="1">SUMPRODUCT((OFFSET($CV$3:$EA$3,MATCH($BD22,$CU$4:$CU$35,0),0))*((IF($BO20=$BO22,$CV$3:$EA$3=$BD20,0))+(IF($BO19=$BO22,$CV$3:$EA$3=$BD19,0))+(IF($BO21=$BO22,$CV$3:$EA$3=$BD21,0))))</f>
        <v>0</v>
      </c>
      <c r="BQ22" s="4" cm="1">
        <f t="array" aca="1" ref="BQ22" ca="1">SUMPRODUCT((OFFSET($ED$3:$FI$3,MATCH($BD22,$EC$4:$EC$35,0),0))*((IF($BO20=$BO22,$ED$3:$FI$3=$BD20,0))+(IF($BO19=$BO22,$ED$3:$FI$3=$BD19,0))+(IF($BO21=$BO22,$ED$3:$FI$3=$BD21,0))))</f>
        <v>0</v>
      </c>
      <c r="BR22" s="4" cm="1">
        <f t="array" aca="1" ref="BR22" ca="1">SUMPRODUCT((OFFSET($FL$3:$GQ$3,MATCH($BD22,$FK$4:$FK$35,0),0))*((IF($BO20=$BO22,$FL$3:$GQ$3=$BD20,0))+(IF($BO19=$BO22,$FL$3:$GQ$3=$BD19,0))+(IF($BO21=$BO22,$FL$3:$GQ$3=$BD21,0))))</f>
        <v>0</v>
      </c>
      <c r="BS22" s="4" cm="1">
        <f t="array" aca="1" ref="BS22" ca="1">SUMPRODUCT((OFFSET($CV$3:$EA$3,MATCH($BD22,$CU$4:$CU$35,0),0))*((IF($BO20&lt;&gt;$BO22,$CV$3:$EA$3=$BD20,0))+(IF($BO19&lt;&gt;$BO22,$CV$3:$EA$3=$BD19,0))+(IF($BO21&lt;&gt;$BO22,$CV$3:$EA$3=$BD21,0))))</f>
        <v>0</v>
      </c>
      <c r="BT22" s="4" cm="1">
        <f t="array" aca="1" ref="BT22" ca="1">SUMPRODUCT((OFFSET($ED$3:$FI$3,MATCH($BD22,$EC$4:$EC$35,0),0))*((IF($BO20&lt;&gt;$BO22,$ED$3:$FI$3=$BD20,0))+(IF($BO19&lt;&gt;$BO22,$ED$3:$FI$3=$BD19,0))+(IF($BO21&lt;&gt;$BO22,$ED$3:$FI$3=$BD21,0))))</f>
        <v>0</v>
      </c>
      <c r="BU22" s="4" cm="1">
        <f t="array" aca="1" ref="BU22" ca="1">SUMPRODUCT((OFFSET($FL$3:$GQ$3,MATCH($BD22,$FK$4:$FK$35,0),0))*((IF($BO20&lt;&gt;$BO22,$FL$3:$GQ$3=$BD20,0))+(IF($BO19&lt;&gt;$BO22,$FL$3:$GQ$3=$BD19,0))+(IF($BO21&lt;&gt;$BO22,$FL$3:$GQ$3=$BD21,0))))</f>
        <v>0</v>
      </c>
      <c r="BV22" s="4">
        <f>BK22</f>
        <v>0</v>
      </c>
      <c r="BW22" s="4">
        <f>BI22</f>
        <v>0</v>
      </c>
      <c r="BX22" s="4">
        <f ca="1">(BP22/10)+(BQ22/100)+(BR22/1000)+(BT22/10000)+(BU22/100000)+(BV22/1000000)+(BW22/10000000)+(ROW(BS19)/100000000)</f>
        <v>1.9000000000000001E-7</v>
      </c>
      <c r="BY22" s="4">
        <f ca="1">+BO22-BX22</f>
        <v>0.99999981000000004</v>
      </c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U22" s="4" t="s">
        <v>131</v>
      </c>
      <c r="CV22" s="56">
        <f>SUMIFS(tblActuals354151923[Team 2 Points],tblActuals354151923[Team 2],$CU22,tblActuals354151923[Team 1],CV$3)+SUMIFS(tblActuals354151923[Team 1 Points],tblActuals354151923[Team 1],$CU22,tblActuals354151923[Team 2],CV$3)</f>
        <v>0</v>
      </c>
      <c r="CW22" s="56">
        <f>SUMIFS(tblActuals354151923[Team 2 Points],tblActuals354151923[Team 2],$CU22,tblActuals354151923[Team 1],CW$3)+SUMIFS(tblActuals354151923[Team 1 Points],tblActuals354151923[Team 1],$CU22,tblActuals354151923[Team 2],CW$3)</f>
        <v>0</v>
      </c>
      <c r="CX22" s="56">
        <f>SUMIFS(tblActuals354151923[Team 2 Points],tblActuals354151923[Team 2],$CU22,tblActuals354151923[Team 1],CX$3)+SUMIFS(tblActuals354151923[Team 1 Points],tblActuals354151923[Team 1],$CU22,tblActuals354151923[Team 2],CX$3)</f>
        <v>0</v>
      </c>
      <c r="CY22" s="56">
        <f>SUMIFS(tblActuals354151923[Team 2 Points],tblActuals354151923[Team 2],$CU22,tblActuals354151923[Team 1],CY$3)+SUMIFS(tblActuals354151923[Team 1 Points],tblActuals354151923[Team 1],$CU22,tblActuals354151923[Team 2],CY$3)</f>
        <v>0</v>
      </c>
      <c r="CZ22" s="56">
        <f>SUMIFS(tblActuals354151923[Team 2 Points],tblActuals354151923[Team 2],$CU22,tblActuals354151923[Team 1],CZ$3)+SUMIFS(tblActuals354151923[Team 1 Points],tblActuals354151923[Team 1],$CU22,tblActuals354151923[Team 2],CZ$3)</f>
        <v>0</v>
      </c>
      <c r="DA22" s="56">
        <f>SUMIFS(tblActuals354151923[Team 2 Points],tblActuals354151923[Team 2],$CU22,tblActuals354151923[Team 1],DA$3)+SUMIFS(tblActuals354151923[Team 1 Points],tblActuals354151923[Team 1],$CU22,tblActuals354151923[Team 2],DA$3)</f>
        <v>0</v>
      </c>
      <c r="DB22" s="56">
        <f>SUMIFS(tblActuals354151923[Team 2 Points],tblActuals354151923[Team 2],$CU22,tblActuals354151923[Team 1],DB$3)+SUMIFS(tblActuals354151923[Team 1 Points],tblActuals354151923[Team 1],$CU22,tblActuals354151923[Team 2],DB$3)</f>
        <v>0</v>
      </c>
      <c r="DC22" s="56">
        <f>SUMIFS(tblActuals354151923[Team 2 Points],tblActuals354151923[Team 2],$CU22,tblActuals354151923[Team 1],DC$3)+SUMIFS(tblActuals354151923[Team 1 Points],tblActuals354151923[Team 1],$CU22,tblActuals354151923[Team 2],DC$3)</f>
        <v>0</v>
      </c>
      <c r="DD22" s="56">
        <f>SUMIFS(tblActuals354151923[Team 2 Points],tblActuals354151923[Team 2],$CU22,tblActuals354151923[Team 1],DD$3)+SUMIFS(tblActuals354151923[Team 1 Points],tblActuals354151923[Team 1],$CU22,tblActuals354151923[Team 2],DD$3)</f>
        <v>0</v>
      </c>
      <c r="DE22" s="56">
        <f>SUMIFS(tblActuals354151923[Team 2 Points],tblActuals354151923[Team 2],$CU22,tblActuals354151923[Team 1],DE$3)+SUMIFS(tblActuals354151923[Team 1 Points],tblActuals354151923[Team 1],$CU22,tblActuals354151923[Team 2],DE$3)</f>
        <v>0</v>
      </c>
      <c r="DF22" s="56">
        <f>SUMIFS(tblActuals354151923[Team 2 Points],tblActuals354151923[Team 2],$CU22,tblActuals354151923[Team 1],DF$3)+SUMIFS(tblActuals354151923[Team 1 Points],tblActuals354151923[Team 1],$CU22,tblActuals354151923[Team 2],DF$3)</f>
        <v>0</v>
      </c>
      <c r="DG22" s="56">
        <f>SUMIFS(tblActuals354151923[Team 2 Points],tblActuals354151923[Team 2],$CU22,tblActuals354151923[Team 1],DG$3)+SUMIFS(tblActuals354151923[Team 1 Points],tblActuals354151923[Team 1],$CU22,tblActuals354151923[Team 2],DG$3)</f>
        <v>0</v>
      </c>
      <c r="DH22" s="56">
        <f>SUMIFS(tblActuals354151923[Team 2 Points],tblActuals354151923[Team 2],$CU22,tblActuals354151923[Team 1],DH$3)+SUMIFS(tblActuals354151923[Team 1 Points],tblActuals354151923[Team 1],$CU22,tblActuals354151923[Team 2],DH$3)</f>
        <v>0</v>
      </c>
      <c r="DI22" s="56">
        <f>SUMIFS(tblActuals354151923[Team 2 Points],tblActuals354151923[Team 2],$CU22,tblActuals354151923[Team 1],DI$3)+SUMIFS(tblActuals354151923[Team 1 Points],tblActuals354151923[Team 1],$CU22,tblActuals354151923[Team 2],DI$3)</f>
        <v>0</v>
      </c>
      <c r="DJ22" s="56">
        <f>SUMIFS(tblActuals354151923[Team 2 Points],tblActuals354151923[Team 2],$CU22,tblActuals354151923[Team 1],DJ$3)+SUMIFS(tblActuals354151923[Team 1 Points],tblActuals354151923[Team 1],$CU22,tblActuals354151923[Team 2],DJ$3)</f>
        <v>0</v>
      </c>
      <c r="DK22" s="56">
        <f>SUMIFS(tblActuals354151923[Team 2 Points],tblActuals354151923[Team 2],$CU22,tblActuals354151923[Team 1],DK$3)+SUMIFS(tblActuals354151923[Team 1 Points],tblActuals354151923[Team 1],$CU22,tblActuals354151923[Team 2],DK$3)</f>
        <v>0</v>
      </c>
      <c r="DL22" s="56">
        <f>SUMIFS(tblActuals354151923[Team 2 Points],tblActuals354151923[Team 2],$CU22,tblActuals354151923[Team 1],DL$3)+SUMIFS(tblActuals354151923[Team 1 Points],tblActuals354151923[Team 1],$CU22,tblActuals354151923[Team 2],DL$3)</f>
        <v>0</v>
      </c>
      <c r="DM22" s="56">
        <f>SUMIFS(tblActuals354151923[Team 2 Points],tblActuals354151923[Team 2],$CU22,tblActuals354151923[Team 1],DM$3)+SUMIFS(tblActuals354151923[Team 1 Points],tblActuals354151923[Team 1],$CU22,tblActuals354151923[Team 2],DM$3)</f>
        <v>0</v>
      </c>
      <c r="DN22" s="56">
        <f>SUMIFS(tblActuals354151923[Team 2 Points],tblActuals354151923[Team 2],$CU22,tblActuals354151923[Team 1],DN$3)+SUMIFS(tblActuals354151923[Team 1 Points],tblActuals354151923[Team 1],$CU22,tblActuals354151923[Team 2],DN$3)</f>
        <v>0</v>
      </c>
      <c r="DO22" s="56">
        <f>SUMIFS(tblActuals354151923[Team 2 Points],tblActuals354151923[Team 2],$CU22,tblActuals354151923[Team 1],DO$3)+SUMIFS(tblActuals354151923[Team 1 Points],tblActuals354151923[Team 1],$CU22,tblActuals354151923[Team 2],DO$3)</f>
        <v>0</v>
      </c>
      <c r="DP22" s="56">
        <f>SUMIFS(tblActuals354151923[Team 2 Points],tblActuals354151923[Team 2],$CU22,tblActuals354151923[Team 1],DP$3)+SUMIFS(tblActuals354151923[Team 1 Points],tblActuals354151923[Team 1],$CU22,tblActuals354151923[Team 2],DP$3)</f>
        <v>0</v>
      </c>
      <c r="DQ22" s="56">
        <f>SUMIFS(tblActuals354151923[Team 2 Points],tblActuals354151923[Team 2],$CU22,tblActuals354151923[Team 1],DQ$3)+SUMIFS(tblActuals354151923[Team 1 Points],tblActuals354151923[Team 1],$CU22,tblActuals354151923[Team 2],DQ$3)</f>
        <v>0</v>
      </c>
      <c r="DR22" s="56">
        <f>SUMIFS(tblActuals354151923[Team 2 Points],tblActuals354151923[Team 2],$CU22,tblActuals354151923[Team 1],DR$3)+SUMIFS(tblActuals354151923[Team 1 Points],tblActuals354151923[Team 1],$CU22,tblActuals354151923[Team 2],DR$3)</f>
        <v>0</v>
      </c>
      <c r="DS22" s="56">
        <f>SUMIFS(tblActuals354151923[Team 2 Points],tblActuals354151923[Team 2],$CU22,tblActuals354151923[Team 1],DS$3)+SUMIFS(tblActuals354151923[Team 1 Points],tblActuals354151923[Team 1],$CU22,tblActuals354151923[Team 2],DS$3)</f>
        <v>0</v>
      </c>
      <c r="DT22" s="57"/>
      <c r="DU22" s="57"/>
      <c r="DV22" s="57"/>
      <c r="DW22" s="57"/>
      <c r="DX22" s="57"/>
      <c r="DY22" s="57"/>
      <c r="DZ22" s="57"/>
      <c r="EA22" s="57"/>
      <c r="EB22" s="4"/>
      <c r="EC22" s="4" t="s">
        <v>131</v>
      </c>
      <c r="ED22" s="56">
        <f>SUMIFS(tblActuals354151923[Team 2 GD],tblActuals354151923[Team 2],$CU22,tblActuals354151923[Team 1],ED$3)+SUMIFS(tblActuals354151923[Team 1 GD],tblActuals354151923[Team 1],$CU22,tblActuals354151923[Team 2],ED$3)</f>
        <v>0</v>
      </c>
      <c r="EE22" s="56">
        <f>SUMIFS(tblActuals354151923[Team 2 GD],tblActuals354151923[Team 2],$CU22,tblActuals354151923[Team 1],EE$3)+SUMIFS(tblActuals354151923[Team 1 GD],tblActuals354151923[Team 1],$CU22,tblActuals354151923[Team 2],EE$3)</f>
        <v>0</v>
      </c>
      <c r="EF22" s="56">
        <f>SUMIFS(tblActuals354151923[Team 2 GD],tblActuals354151923[Team 2],$CU22,tblActuals354151923[Team 1],EF$3)+SUMIFS(tblActuals354151923[Team 1 GD],tblActuals354151923[Team 1],$CU22,tblActuals354151923[Team 2],EF$3)</f>
        <v>0</v>
      </c>
      <c r="EG22" s="56">
        <f>SUMIFS(tblActuals354151923[Team 2 GD],tblActuals354151923[Team 2],$CU22,tblActuals354151923[Team 1],EG$3)+SUMIFS(tblActuals354151923[Team 1 GD],tblActuals354151923[Team 1],$CU22,tblActuals354151923[Team 2],EG$3)</f>
        <v>0</v>
      </c>
      <c r="EH22" s="56">
        <f>SUMIFS(tblActuals354151923[Team 2 GD],tblActuals354151923[Team 2],$CU22,tblActuals354151923[Team 1],EH$3)+SUMIFS(tblActuals354151923[Team 1 GD],tblActuals354151923[Team 1],$CU22,tblActuals354151923[Team 2],EH$3)</f>
        <v>0</v>
      </c>
      <c r="EI22" s="56">
        <f>SUMIFS(tblActuals354151923[Team 2 GD],tblActuals354151923[Team 2],$CU22,tblActuals354151923[Team 1],EI$3)+SUMIFS(tblActuals354151923[Team 1 GD],tblActuals354151923[Team 1],$CU22,tblActuals354151923[Team 2],EI$3)</f>
        <v>0</v>
      </c>
      <c r="EJ22" s="56">
        <f>SUMIFS(tblActuals354151923[Team 2 GD],tblActuals354151923[Team 2],$CU22,tblActuals354151923[Team 1],EJ$3)+SUMIFS(tblActuals354151923[Team 1 GD],tblActuals354151923[Team 1],$CU22,tblActuals354151923[Team 2],EJ$3)</f>
        <v>0</v>
      </c>
      <c r="EK22" s="56">
        <f>SUMIFS(tblActuals354151923[Team 2 GD],tblActuals354151923[Team 2],$CU22,tblActuals354151923[Team 1],EK$3)+SUMIFS(tblActuals354151923[Team 1 GD],tblActuals354151923[Team 1],$CU22,tblActuals354151923[Team 2],EK$3)</f>
        <v>0</v>
      </c>
      <c r="EL22" s="56">
        <f>SUMIFS(tblActuals354151923[Team 2 GD],tblActuals354151923[Team 2],$CU22,tblActuals354151923[Team 1],EL$3)+SUMIFS(tblActuals354151923[Team 1 GD],tblActuals354151923[Team 1],$CU22,tblActuals354151923[Team 2],EL$3)</f>
        <v>0</v>
      </c>
      <c r="EM22" s="56">
        <f>SUMIFS(tblActuals354151923[Team 2 GD],tblActuals354151923[Team 2],$CU22,tblActuals354151923[Team 1],EM$3)+SUMIFS(tblActuals354151923[Team 1 GD],tblActuals354151923[Team 1],$CU22,tblActuals354151923[Team 2],EM$3)</f>
        <v>0</v>
      </c>
      <c r="EN22" s="56">
        <f>SUMIFS(tblActuals354151923[Team 2 GD],tblActuals354151923[Team 2],$CU22,tblActuals354151923[Team 1],EN$3)+SUMIFS(tblActuals354151923[Team 1 GD],tblActuals354151923[Team 1],$CU22,tblActuals354151923[Team 2],EN$3)</f>
        <v>0</v>
      </c>
      <c r="EO22" s="56">
        <f>SUMIFS(tblActuals354151923[Team 2 GD],tblActuals354151923[Team 2],$CU22,tblActuals354151923[Team 1],EO$3)+SUMIFS(tblActuals354151923[Team 1 GD],tblActuals354151923[Team 1],$CU22,tblActuals354151923[Team 2],EO$3)</f>
        <v>0</v>
      </c>
      <c r="EP22" s="56">
        <f>SUMIFS(tblActuals354151923[Team 2 GD],tblActuals354151923[Team 2],$CU22,tblActuals354151923[Team 1],EP$3)+SUMIFS(tblActuals354151923[Team 1 GD],tblActuals354151923[Team 1],$CU22,tblActuals354151923[Team 2],EP$3)</f>
        <v>0</v>
      </c>
      <c r="EQ22" s="56">
        <f>SUMIFS(tblActuals354151923[Team 2 GD],tblActuals354151923[Team 2],$CU22,tblActuals354151923[Team 1],EQ$3)+SUMIFS(tblActuals354151923[Team 1 GD],tblActuals354151923[Team 1],$CU22,tblActuals354151923[Team 2],EQ$3)</f>
        <v>0</v>
      </c>
      <c r="ER22" s="56">
        <f>SUMIFS(tblActuals354151923[Team 2 GD],tblActuals354151923[Team 2],$CU22,tblActuals354151923[Team 1],ER$3)+SUMIFS(tblActuals354151923[Team 1 GD],tblActuals354151923[Team 1],$CU22,tblActuals354151923[Team 2],ER$3)</f>
        <v>0</v>
      </c>
      <c r="ES22" s="56">
        <f>SUMIFS(tblActuals354151923[Team 2 GD],tblActuals354151923[Team 2],$CU22,tblActuals354151923[Team 1],ES$3)+SUMIFS(tblActuals354151923[Team 1 GD],tblActuals354151923[Team 1],$CU22,tblActuals354151923[Team 2],ES$3)</f>
        <v>0</v>
      </c>
      <c r="ET22" s="56">
        <f>SUMIFS(tblActuals354151923[Team 2 GD],tblActuals354151923[Team 2],$CU22,tblActuals354151923[Team 1],ET$3)+SUMIFS(tblActuals354151923[Team 1 GD],tblActuals354151923[Team 1],$CU22,tblActuals354151923[Team 2],ET$3)</f>
        <v>0</v>
      </c>
      <c r="EU22" s="56">
        <f>SUMIFS(tblActuals354151923[Team 2 GD],tblActuals354151923[Team 2],$CU22,tblActuals354151923[Team 1],EU$3)+SUMIFS(tblActuals354151923[Team 1 GD],tblActuals354151923[Team 1],$CU22,tblActuals354151923[Team 2],EU$3)</f>
        <v>0</v>
      </c>
      <c r="EV22" s="56">
        <f>SUMIFS(tblActuals354151923[Team 2 GD],tblActuals354151923[Team 2],$CU22,tblActuals354151923[Team 1],EV$3)+SUMIFS(tblActuals354151923[Team 1 GD],tblActuals354151923[Team 1],$CU22,tblActuals354151923[Team 2],EV$3)</f>
        <v>0</v>
      </c>
      <c r="EW22" s="56">
        <f>SUMIFS(tblActuals354151923[Team 2 GD],tblActuals354151923[Team 2],$CU22,tblActuals354151923[Team 1],EW$3)+SUMIFS(tblActuals354151923[Team 1 GD],tblActuals354151923[Team 1],$CU22,tblActuals354151923[Team 2],EW$3)</f>
        <v>0</v>
      </c>
      <c r="EX22" s="56">
        <f>SUMIFS(tblActuals354151923[Team 2 GD],tblActuals354151923[Team 2],$CU22,tblActuals354151923[Team 1],EX$3)+SUMIFS(tblActuals354151923[Team 1 GD],tblActuals354151923[Team 1],$CU22,tblActuals354151923[Team 2],EX$3)</f>
        <v>0</v>
      </c>
      <c r="EY22" s="56">
        <f>SUMIFS(tblActuals354151923[Team 2 GD],tblActuals354151923[Team 2],$CU22,tblActuals354151923[Team 1],EY$3)+SUMIFS(tblActuals354151923[Team 1 GD],tblActuals354151923[Team 1],$CU22,tblActuals354151923[Team 2],EY$3)</f>
        <v>0</v>
      </c>
      <c r="EZ22" s="56">
        <f>SUMIFS(tblActuals354151923[Team 2 GD],tblActuals354151923[Team 2],$CU22,tblActuals354151923[Team 1],EZ$3)+SUMIFS(tblActuals354151923[Team 1 GD],tblActuals354151923[Team 1],$CU22,tblActuals354151923[Team 2],EZ$3)</f>
        <v>0</v>
      </c>
      <c r="FA22" s="56">
        <f>SUMIFS(tblActuals354151923[Team 2 GD],tblActuals354151923[Team 2],$CU22,tblActuals354151923[Team 1],FA$3)+SUMIFS(tblActuals354151923[Team 1 GD],tblActuals354151923[Team 1],$CU22,tblActuals354151923[Team 2],FA$3)</f>
        <v>0</v>
      </c>
      <c r="FB22" s="57"/>
      <c r="FC22" s="57"/>
      <c r="FD22" s="57"/>
      <c r="FE22" s="57"/>
      <c r="FF22" s="57"/>
      <c r="FG22" s="57"/>
      <c r="FH22" s="57"/>
      <c r="FI22" s="57"/>
      <c r="FJ22" s="4"/>
      <c r="FK22" s="4" t="s">
        <v>131</v>
      </c>
      <c r="FL22" s="56">
        <f>SUMIFS(tblActuals354151923[Team 2 Goals],tblActuals354151923[Team 2],$CU22,tblActuals354151923[Team 1],FL$3)+SUMIFS(tblActuals354151923[Team 1 Goals],tblActuals354151923[Team 1],$CU22,tblActuals354151923[Team 2],FL$3)</f>
        <v>0</v>
      </c>
      <c r="FM22" s="56">
        <f>SUMIFS(tblActuals354151923[Team 2 Goals],tblActuals354151923[Team 2],$CU22,tblActuals354151923[Team 1],FM$3)+SUMIFS(tblActuals354151923[Team 1 Goals],tblActuals354151923[Team 1],$CU22,tblActuals354151923[Team 2],FM$3)</f>
        <v>0</v>
      </c>
      <c r="FN22" s="56">
        <f>SUMIFS(tblActuals354151923[Team 2 Goals],tblActuals354151923[Team 2],$CU22,tblActuals354151923[Team 1],FN$3)+SUMIFS(tblActuals354151923[Team 1 Goals],tblActuals354151923[Team 1],$CU22,tblActuals354151923[Team 2],FN$3)</f>
        <v>0</v>
      </c>
      <c r="FO22" s="56">
        <f>SUMIFS(tblActuals354151923[Team 2 Goals],tblActuals354151923[Team 2],$CU22,tblActuals354151923[Team 1],FO$3)+SUMIFS(tblActuals354151923[Team 1 Goals],tblActuals354151923[Team 1],$CU22,tblActuals354151923[Team 2],FO$3)</f>
        <v>0</v>
      </c>
      <c r="FP22" s="56">
        <f>SUMIFS(tblActuals354151923[Team 2 Goals],tblActuals354151923[Team 2],$CU22,tblActuals354151923[Team 1],FP$3)+SUMIFS(tblActuals354151923[Team 1 Goals],tblActuals354151923[Team 1],$CU22,tblActuals354151923[Team 2],FP$3)</f>
        <v>0</v>
      </c>
      <c r="FQ22" s="56">
        <f>SUMIFS(tblActuals354151923[Team 2 Goals],tblActuals354151923[Team 2],$CU22,tblActuals354151923[Team 1],FQ$3)+SUMIFS(tblActuals354151923[Team 1 Goals],tblActuals354151923[Team 1],$CU22,tblActuals354151923[Team 2],FQ$3)</f>
        <v>0</v>
      </c>
      <c r="FR22" s="56">
        <f>SUMIFS(tblActuals354151923[Team 2 Goals],tblActuals354151923[Team 2],$CU22,tblActuals354151923[Team 1],FR$3)+SUMIFS(tblActuals354151923[Team 1 Goals],tblActuals354151923[Team 1],$CU22,tblActuals354151923[Team 2],FR$3)</f>
        <v>0</v>
      </c>
      <c r="FS22" s="56">
        <f>SUMIFS(tblActuals354151923[Team 2 Goals],tblActuals354151923[Team 2],$CU22,tblActuals354151923[Team 1],FS$3)+SUMIFS(tblActuals354151923[Team 1 Goals],tblActuals354151923[Team 1],$CU22,tblActuals354151923[Team 2],FS$3)</f>
        <v>0</v>
      </c>
      <c r="FT22" s="56">
        <f>SUMIFS(tblActuals354151923[Team 2 Goals],tblActuals354151923[Team 2],$CU22,tblActuals354151923[Team 1],FT$3)+SUMIFS(tblActuals354151923[Team 1 Goals],tblActuals354151923[Team 1],$CU22,tblActuals354151923[Team 2],FT$3)</f>
        <v>0</v>
      </c>
      <c r="FU22" s="56">
        <f>SUMIFS(tblActuals354151923[Team 2 Goals],tblActuals354151923[Team 2],$CU22,tblActuals354151923[Team 1],FU$3)+SUMIFS(tblActuals354151923[Team 1 Goals],tblActuals354151923[Team 1],$CU22,tblActuals354151923[Team 2],FU$3)</f>
        <v>0</v>
      </c>
      <c r="FV22" s="56">
        <f>SUMIFS(tblActuals354151923[Team 2 Goals],tblActuals354151923[Team 2],$CU22,tblActuals354151923[Team 1],FV$3)+SUMIFS(tblActuals354151923[Team 1 Goals],tblActuals354151923[Team 1],$CU22,tblActuals354151923[Team 2],FV$3)</f>
        <v>0</v>
      </c>
      <c r="FW22" s="56">
        <f>SUMIFS(tblActuals354151923[Team 2 Goals],tblActuals354151923[Team 2],$CU22,tblActuals354151923[Team 1],FW$3)+SUMIFS(tblActuals354151923[Team 1 Goals],tblActuals354151923[Team 1],$CU22,tblActuals354151923[Team 2],FW$3)</f>
        <v>0</v>
      </c>
      <c r="FX22" s="56">
        <f>SUMIFS(tblActuals354151923[Team 2 Goals],tblActuals354151923[Team 2],$CU22,tblActuals354151923[Team 1],FX$3)+SUMIFS(tblActuals354151923[Team 1 Goals],tblActuals354151923[Team 1],$CU22,tblActuals354151923[Team 2],FX$3)</f>
        <v>0</v>
      </c>
      <c r="FY22" s="56">
        <f>SUMIFS(tblActuals354151923[Team 2 Goals],tblActuals354151923[Team 2],$CU22,tblActuals354151923[Team 1],FY$3)+SUMIFS(tblActuals354151923[Team 1 Goals],tblActuals354151923[Team 1],$CU22,tblActuals354151923[Team 2],FY$3)</f>
        <v>0</v>
      </c>
      <c r="FZ22" s="56">
        <f>SUMIFS(tblActuals354151923[Team 2 Goals],tblActuals354151923[Team 2],$CU22,tblActuals354151923[Team 1],FZ$3)+SUMIFS(tblActuals354151923[Team 1 Goals],tblActuals354151923[Team 1],$CU22,tblActuals354151923[Team 2],FZ$3)</f>
        <v>0</v>
      </c>
      <c r="GA22" s="56">
        <f>SUMIFS(tblActuals354151923[Team 2 Goals],tblActuals354151923[Team 2],$CU22,tblActuals354151923[Team 1],GA$3)+SUMIFS(tblActuals354151923[Team 1 Goals],tblActuals354151923[Team 1],$CU22,tblActuals354151923[Team 2],GA$3)</f>
        <v>0</v>
      </c>
      <c r="GB22" s="56">
        <f>SUMIFS(tblActuals354151923[Team 2 Goals],tblActuals354151923[Team 2],$CU22,tblActuals354151923[Team 1],GB$3)+SUMIFS(tblActuals354151923[Team 1 Goals],tblActuals354151923[Team 1],$CU22,tblActuals354151923[Team 2],GB$3)</f>
        <v>0</v>
      </c>
      <c r="GC22" s="56">
        <f>SUMIFS(tblActuals354151923[Team 2 Goals],tblActuals354151923[Team 2],$CU22,tblActuals354151923[Team 1],GC$3)+SUMIFS(tblActuals354151923[Team 1 Goals],tblActuals354151923[Team 1],$CU22,tblActuals354151923[Team 2],GC$3)</f>
        <v>0</v>
      </c>
      <c r="GD22" s="56">
        <f>SUMIFS(tblActuals354151923[Team 2 Goals],tblActuals354151923[Team 2],$CU22,tblActuals354151923[Team 1],GD$3)+SUMIFS(tblActuals354151923[Team 1 Goals],tblActuals354151923[Team 1],$CU22,tblActuals354151923[Team 2],GD$3)</f>
        <v>0</v>
      </c>
      <c r="GE22" s="56">
        <f>SUMIFS(tblActuals354151923[Team 2 Goals],tblActuals354151923[Team 2],$CU22,tblActuals354151923[Team 1],GE$3)+SUMIFS(tblActuals354151923[Team 1 Goals],tblActuals354151923[Team 1],$CU22,tblActuals354151923[Team 2],GE$3)</f>
        <v>0</v>
      </c>
      <c r="GF22" s="56">
        <f>SUMIFS(tblActuals354151923[Team 2 Goals],tblActuals354151923[Team 2],$CU22,tblActuals354151923[Team 1],GF$3)+SUMIFS(tblActuals354151923[Team 1 Goals],tblActuals354151923[Team 1],$CU22,tblActuals354151923[Team 2],GF$3)</f>
        <v>0</v>
      </c>
      <c r="GG22" s="56">
        <f>SUMIFS(tblActuals354151923[Team 2 Goals],tblActuals354151923[Team 2],$CU22,tblActuals354151923[Team 1],GG$3)+SUMIFS(tblActuals354151923[Team 1 Goals],tblActuals354151923[Team 1],$CU22,tblActuals354151923[Team 2],GG$3)</f>
        <v>0</v>
      </c>
      <c r="GH22" s="56">
        <f>SUMIFS(tblActuals354151923[Team 2 Goals],tblActuals354151923[Team 2],$CU22,tblActuals354151923[Team 1],GH$3)+SUMIFS(tblActuals354151923[Team 1 Goals],tblActuals354151923[Team 1],$CU22,tblActuals354151923[Team 2],GH$3)</f>
        <v>0</v>
      </c>
      <c r="GI22" s="56">
        <f>SUMIFS(tblActuals354151923[Team 2 Goals],tblActuals354151923[Team 2],$CU22,tblActuals354151923[Team 1],GI$3)+SUMIFS(tblActuals354151923[Team 1 Goals],tblActuals354151923[Team 1],$CU22,tblActuals354151923[Team 2],GI$3)</f>
        <v>0</v>
      </c>
      <c r="GJ22" s="57"/>
      <c r="GK22" s="57"/>
      <c r="GL22" s="37"/>
      <c r="GM22" s="37"/>
      <c r="GN22" s="37"/>
      <c r="GO22" s="37"/>
      <c r="GP22" s="37"/>
      <c r="GQ22" s="37"/>
      <c r="GR22" s="75"/>
      <c r="GS22" s="157"/>
      <c r="GT22" s="157"/>
      <c r="GU22" s="75"/>
      <c r="GV22" s="75"/>
      <c r="GW22" s="75"/>
      <c r="GX22" s="75"/>
      <c r="GY22" s="75"/>
      <c r="GZ22" s="75"/>
    </row>
    <row r="23" spans="1:221" s="11" customFormat="1" ht="30" customHeight="1" thickBot="1" x14ac:dyDescent="0.3">
      <c r="A23" s="20"/>
      <c r="B23" s="122">
        <v>20</v>
      </c>
      <c r="C23" s="122" t="s">
        <v>7</v>
      </c>
      <c r="D23" s="123">
        <v>45464</v>
      </c>
      <c r="E23" s="122" t="s">
        <v>87</v>
      </c>
      <c r="F23" s="124">
        <v>0.875</v>
      </c>
      <c r="G23" s="125">
        <f t="shared" si="11"/>
        <v>45464.625</v>
      </c>
      <c r="H23" s="122" t="s">
        <v>108</v>
      </c>
      <c r="I23" s="126"/>
      <c r="J23" s="118"/>
      <c r="K23" s="118"/>
      <c r="L23" s="174">
        <f>IF(I23="",0,IFERROR(IF(SCORING.RULES!$C$8="No",1,((VLOOKUP($B23,ACTUALS!$B$4:$L$100,7,FALSE)=$H23)+(VLOOKUP($B23,ACTUALS!$B$4:$L$100,7,FALSE)=S23)))*(M23+N23+O23+P23+Q23),0))+$R23</f>
        <v>0</v>
      </c>
      <c r="M23" s="168">
        <f>IFERROR(IF($B23="","",IF(U23=INDEX(ACTUALS!$AA$4:$AA$100,MATCH($B23,ACTUALS!$B$4:$B$100,0),1),CorrectScore,0)),0)</f>
        <v>0</v>
      </c>
      <c r="N23" s="157" t="str">
        <f>IFERROR(IF(I23="","",IF(INDEX(ACTUALS!$AB$4:$AB$100,MATCH($B23,ACTUALS!$B$4:$B$100,0),1)=(AB23+AC23+AH23+AI23),CorrectNumberofGoals,0)),0)</f>
        <v/>
      </c>
      <c r="O23" s="157"/>
      <c r="P23" s="157">
        <f>IFERROR(IF(B23="","",IF(INDEX(ACTUALS!$L$4:$L$100,MATCH($B23,ACTUALS!$B$4:$B$100,0),1)=W23,CorrectResult,0)),0)</f>
        <v>3</v>
      </c>
      <c r="Q23" s="157"/>
      <c r="R23" s="157"/>
      <c r="S23" s="157" t="str">
        <f t="shared" si="0"/>
        <v/>
      </c>
      <c r="T23" s="157"/>
      <c r="U23" s="157" t="str">
        <f t="shared" si="1"/>
        <v/>
      </c>
      <c r="V23" s="157" t="str">
        <f t="shared" si="2"/>
        <v/>
      </c>
      <c r="W23" s="119" t="str">
        <f>IF(tblActuals354151923[[#This Row],[SCORE]]="","",IF(AB23=AC23,"Draw",IF(AB23&gt;AC23,X23,Y23)))</f>
        <v/>
      </c>
      <c r="X23" s="120" t="str">
        <f>IF(tblActuals354151923[[#This Row],[TEAMS]]="","",LEFT(H23,FIND(" -",H23,1)-1))</f>
        <v>Netherlands</v>
      </c>
      <c r="Y23" s="120" t="str">
        <f>IF(tblActuals354151923[[#This Row],[TEAMS]]="","",MID(H23,FIND("-",H23,1)+2,LEN(H23)-FIND("-",H23,1)+2))</f>
        <v>France</v>
      </c>
      <c r="Z23" s="120" t="str">
        <f>IF(tblActuals354151923[[#This Row],[Team 1 Goals]]&gt;tblActuals354151923[[#This Row],[Team 2 Goals]],tblActuals354151923[[#This Row],[Team 1]],IF(tblActuals354151923[[#This Row],[Team 2 Goals]]&gt;tblActuals354151923[[#This Row],[Team 1 Goals]],tblActuals354151923[[#This Row],[Team 2]],""))</f>
        <v/>
      </c>
      <c r="AA23" s="120" t="str">
        <f>IF(tblActuals354151923[[#This Row],[Winner]]=tblActuals354151923[[#This Row],[Team 1]],tblActuals354151923[[#This Row],[Team 2]],IF(tblActuals354151923[[#This Row],[Winner]]=tblActuals354151923[[#This Row],[Team 2]],tblActuals354151923[[#This Row],[Team 1]],""))</f>
        <v/>
      </c>
      <c r="AB23" s="120" t="str">
        <f>IF(tblActuals354151923[[#This Row],[SCORE]]="","",LEFT(I23,FIND(":",I23,1)-1)*1)</f>
        <v/>
      </c>
      <c r="AC23" s="120" t="str">
        <f>IF(tblActuals354151923[[#This Row],[SCORE]]="","",MID(I23,FIND(":",I23,1)+1,LEN(I23)-FIND(":",I23,1)+1)*1)</f>
        <v/>
      </c>
      <c r="AD23" s="120" t="str">
        <f>IF(OR(tblActuals354151923[[#This Row],[Team 1 Goals]]="",tblActuals354151923[[#This Row],[Team 2 Goals]]=""),"",tblActuals354151923[[#This Row],[Team 1 Goals]]-tblActuals354151923[[#This Row],[Team 2 Goals]])</f>
        <v/>
      </c>
      <c r="AE23" s="120" t="str">
        <f>IF(OR(tblActuals354151923[[#This Row],[Team 1 Goals]]="",tblActuals354151923[[#This Row],[Team 2 Goals]]=""),"",tblActuals354151923[[#This Row],[Team 2 Goals]]-tblActuals354151923[[#This Row],[Team 1 Goals]])</f>
        <v/>
      </c>
      <c r="AF23" s="120" t="str">
        <f>IF(tblActuals354151923[[#This Row],[SCORE]]="","",IF(tblActuals354151923[[#This Row],[WINNER / RESULT]]="Draw",1,IF(tblActuals354151923[[#This Row],[WINNER / RESULT]]=tblActuals354151923[[#This Row],[Team 1]],3,0)))</f>
        <v/>
      </c>
      <c r="AG23" s="120" t="str">
        <f>IF(tblActuals354151923[[#This Row],[SCORE]]="","",IF(tblActuals354151923[[#This Row],[WINNER / RESULT]]="Draw",1,IF(tblActuals354151923[[#This Row],[WINNER / RESULT]]=tblActuals354151923[[#This Row],[Team 2]],3,0)))</f>
        <v/>
      </c>
      <c r="AH23" s="121"/>
      <c r="AI23" s="121"/>
      <c r="AJ23" s="121"/>
      <c r="AK23" s="121"/>
      <c r="AL23" s="120" t="e">
        <f>tblActuals354151923[[#This Row],[Team 1 Goals]]+tblActuals354151923[[#This Row],[Team 1 ET Goals]]&amp;":"&amp;tblActuals354151923[[#This Row],[Team 2 Goals]]+tblActuals354151923[[#This Row],[Team 2 ET Goals]]</f>
        <v>#VALUE!</v>
      </c>
      <c r="AM23" s="120" t="e">
        <f>+tblActuals354151923[[#This Row],[Team 1 Goals]]+tblActuals354151923[[#This Row],[Team 2 Goals]]</f>
        <v>#VALUE!</v>
      </c>
      <c r="AN23" s="161">
        <f t="shared" si="3"/>
        <v>45464</v>
      </c>
      <c r="AT23" s="78"/>
      <c r="AU23" s="179" t="s">
        <v>54</v>
      </c>
      <c r="AV23" s="180"/>
      <c r="AW23" s="133" t="s">
        <v>46</v>
      </c>
      <c r="AX23" s="134" t="s">
        <v>57</v>
      </c>
      <c r="AY23" s="135" t="s">
        <v>11</v>
      </c>
      <c r="AZ23" s="75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 t="str">
        <f t="shared" si="4"/>
        <v/>
      </c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U23" s="4" t="s">
        <v>132</v>
      </c>
      <c r="CV23" s="56">
        <f>SUMIFS(tblActuals354151923[Team 2 Points],tblActuals354151923[Team 2],$CU23,tblActuals354151923[Team 1],CV$3)+SUMIFS(tblActuals354151923[Team 1 Points],tblActuals354151923[Team 1],$CU23,tblActuals354151923[Team 2],CV$3)</f>
        <v>0</v>
      </c>
      <c r="CW23" s="56">
        <f>SUMIFS(tblActuals354151923[Team 2 Points],tblActuals354151923[Team 2],$CU23,tblActuals354151923[Team 1],CW$3)+SUMIFS(tblActuals354151923[Team 1 Points],tblActuals354151923[Team 1],$CU23,tblActuals354151923[Team 2],CW$3)</f>
        <v>0</v>
      </c>
      <c r="CX23" s="56">
        <f>SUMIFS(tblActuals354151923[Team 2 Points],tblActuals354151923[Team 2],$CU23,tblActuals354151923[Team 1],CX$3)+SUMIFS(tblActuals354151923[Team 1 Points],tblActuals354151923[Team 1],$CU23,tblActuals354151923[Team 2],CX$3)</f>
        <v>0</v>
      </c>
      <c r="CY23" s="56">
        <f>SUMIFS(tblActuals354151923[Team 2 Points],tblActuals354151923[Team 2],$CU23,tblActuals354151923[Team 1],CY$3)+SUMIFS(tblActuals354151923[Team 1 Points],tblActuals354151923[Team 1],$CU23,tblActuals354151923[Team 2],CY$3)</f>
        <v>0</v>
      </c>
      <c r="CZ23" s="56">
        <f>SUMIFS(tblActuals354151923[Team 2 Points],tblActuals354151923[Team 2],$CU23,tblActuals354151923[Team 1],CZ$3)+SUMIFS(tblActuals354151923[Team 1 Points],tblActuals354151923[Team 1],$CU23,tblActuals354151923[Team 2],CZ$3)</f>
        <v>0</v>
      </c>
      <c r="DA23" s="56">
        <f>SUMIFS(tblActuals354151923[Team 2 Points],tblActuals354151923[Team 2],$CU23,tblActuals354151923[Team 1],DA$3)+SUMIFS(tblActuals354151923[Team 1 Points],tblActuals354151923[Team 1],$CU23,tblActuals354151923[Team 2],DA$3)</f>
        <v>0</v>
      </c>
      <c r="DB23" s="56">
        <f>SUMIFS(tblActuals354151923[Team 2 Points],tblActuals354151923[Team 2],$CU23,tblActuals354151923[Team 1],DB$3)+SUMIFS(tblActuals354151923[Team 1 Points],tblActuals354151923[Team 1],$CU23,tblActuals354151923[Team 2],DB$3)</f>
        <v>0</v>
      </c>
      <c r="DC23" s="56">
        <f>SUMIFS(tblActuals354151923[Team 2 Points],tblActuals354151923[Team 2],$CU23,tblActuals354151923[Team 1],DC$3)+SUMIFS(tblActuals354151923[Team 1 Points],tblActuals354151923[Team 1],$CU23,tblActuals354151923[Team 2],DC$3)</f>
        <v>0</v>
      </c>
      <c r="DD23" s="56">
        <f>SUMIFS(tblActuals354151923[Team 2 Points],tblActuals354151923[Team 2],$CU23,tblActuals354151923[Team 1],DD$3)+SUMIFS(tblActuals354151923[Team 1 Points],tblActuals354151923[Team 1],$CU23,tblActuals354151923[Team 2],DD$3)</f>
        <v>0</v>
      </c>
      <c r="DE23" s="56">
        <f>SUMIFS(tblActuals354151923[Team 2 Points],tblActuals354151923[Team 2],$CU23,tblActuals354151923[Team 1],DE$3)+SUMIFS(tblActuals354151923[Team 1 Points],tblActuals354151923[Team 1],$CU23,tblActuals354151923[Team 2],DE$3)</f>
        <v>0</v>
      </c>
      <c r="DF23" s="56">
        <f>SUMIFS(tblActuals354151923[Team 2 Points],tblActuals354151923[Team 2],$CU23,tblActuals354151923[Team 1],DF$3)+SUMIFS(tblActuals354151923[Team 1 Points],tblActuals354151923[Team 1],$CU23,tblActuals354151923[Team 2],DF$3)</f>
        <v>0</v>
      </c>
      <c r="DG23" s="56">
        <f>SUMIFS(tblActuals354151923[Team 2 Points],tblActuals354151923[Team 2],$CU23,tblActuals354151923[Team 1],DG$3)+SUMIFS(tblActuals354151923[Team 1 Points],tblActuals354151923[Team 1],$CU23,tblActuals354151923[Team 2],DG$3)</f>
        <v>0</v>
      </c>
      <c r="DH23" s="56">
        <f>SUMIFS(tblActuals354151923[Team 2 Points],tblActuals354151923[Team 2],$CU23,tblActuals354151923[Team 1],DH$3)+SUMIFS(tblActuals354151923[Team 1 Points],tblActuals354151923[Team 1],$CU23,tblActuals354151923[Team 2],DH$3)</f>
        <v>0</v>
      </c>
      <c r="DI23" s="56">
        <f>SUMIFS(tblActuals354151923[Team 2 Points],tblActuals354151923[Team 2],$CU23,tblActuals354151923[Team 1],DI$3)+SUMIFS(tblActuals354151923[Team 1 Points],tblActuals354151923[Team 1],$CU23,tblActuals354151923[Team 2],DI$3)</f>
        <v>0</v>
      </c>
      <c r="DJ23" s="56">
        <f>SUMIFS(tblActuals354151923[Team 2 Points],tblActuals354151923[Team 2],$CU23,tblActuals354151923[Team 1],DJ$3)+SUMIFS(tblActuals354151923[Team 1 Points],tblActuals354151923[Team 1],$CU23,tblActuals354151923[Team 2],DJ$3)</f>
        <v>0</v>
      </c>
      <c r="DK23" s="56">
        <f>SUMIFS(tblActuals354151923[Team 2 Points],tblActuals354151923[Team 2],$CU23,tblActuals354151923[Team 1],DK$3)+SUMIFS(tblActuals354151923[Team 1 Points],tblActuals354151923[Team 1],$CU23,tblActuals354151923[Team 2],DK$3)</f>
        <v>0</v>
      </c>
      <c r="DL23" s="56">
        <f>SUMIFS(tblActuals354151923[Team 2 Points],tblActuals354151923[Team 2],$CU23,tblActuals354151923[Team 1],DL$3)+SUMIFS(tblActuals354151923[Team 1 Points],tblActuals354151923[Team 1],$CU23,tblActuals354151923[Team 2],DL$3)</f>
        <v>0</v>
      </c>
      <c r="DM23" s="56">
        <f>SUMIFS(tblActuals354151923[Team 2 Points],tblActuals354151923[Team 2],$CU23,tblActuals354151923[Team 1],DM$3)+SUMIFS(tblActuals354151923[Team 1 Points],tblActuals354151923[Team 1],$CU23,tblActuals354151923[Team 2],DM$3)</f>
        <v>0</v>
      </c>
      <c r="DN23" s="56">
        <f>SUMIFS(tblActuals354151923[Team 2 Points],tblActuals354151923[Team 2],$CU23,tblActuals354151923[Team 1],DN$3)+SUMIFS(tblActuals354151923[Team 1 Points],tblActuals354151923[Team 1],$CU23,tblActuals354151923[Team 2],DN$3)</f>
        <v>0</v>
      </c>
      <c r="DO23" s="56">
        <f>SUMIFS(tblActuals354151923[Team 2 Points],tblActuals354151923[Team 2],$CU23,tblActuals354151923[Team 1],DO$3)+SUMIFS(tblActuals354151923[Team 1 Points],tblActuals354151923[Team 1],$CU23,tblActuals354151923[Team 2],DO$3)</f>
        <v>0</v>
      </c>
      <c r="DP23" s="56">
        <f>SUMIFS(tblActuals354151923[Team 2 Points],tblActuals354151923[Team 2],$CU23,tblActuals354151923[Team 1],DP$3)+SUMIFS(tblActuals354151923[Team 1 Points],tblActuals354151923[Team 1],$CU23,tblActuals354151923[Team 2],DP$3)</f>
        <v>0</v>
      </c>
      <c r="DQ23" s="56">
        <f>SUMIFS(tblActuals354151923[Team 2 Points],tblActuals354151923[Team 2],$CU23,tblActuals354151923[Team 1],DQ$3)+SUMIFS(tblActuals354151923[Team 1 Points],tblActuals354151923[Team 1],$CU23,tblActuals354151923[Team 2],DQ$3)</f>
        <v>0</v>
      </c>
      <c r="DR23" s="56">
        <f>SUMIFS(tblActuals354151923[Team 2 Points],tblActuals354151923[Team 2],$CU23,tblActuals354151923[Team 1],DR$3)+SUMIFS(tblActuals354151923[Team 1 Points],tblActuals354151923[Team 1],$CU23,tblActuals354151923[Team 2],DR$3)</f>
        <v>0</v>
      </c>
      <c r="DS23" s="56">
        <f>SUMIFS(tblActuals354151923[Team 2 Points],tblActuals354151923[Team 2],$CU23,tblActuals354151923[Team 1],DS$3)+SUMIFS(tblActuals354151923[Team 1 Points],tblActuals354151923[Team 1],$CU23,tblActuals354151923[Team 2],DS$3)</f>
        <v>0</v>
      </c>
      <c r="DT23" s="57"/>
      <c r="DU23" s="57"/>
      <c r="DV23" s="57"/>
      <c r="DW23" s="57"/>
      <c r="DX23" s="57"/>
      <c r="DY23" s="57"/>
      <c r="DZ23" s="57"/>
      <c r="EA23" s="57"/>
      <c r="EB23" s="4"/>
      <c r="EC23" s="4" t="s">
        <v>132</v>
      </c>
      <c r="ED23" s="56">
        <f>SUMIFS(tblActuals354151923[Team 2 GD],tblActuals354151923[Team 2],$CU23,tblActuals354151923[Team 1],ED$3)+SUMIFS(tblActuals354151923[Team 1 GD],tblActuals354151923[Team 1],$CU23,tblActuals354151923[Team 2],ED$3)</f>
        <v>0</v>
      </c>
      <c r="EE23" s="56">
        <f>SUMIFS(tblActuals354151923[Team 2 GD],tblActuals354151923[Team 2],$CU23,tblActuals354151923[Team 1],EE$3)+SUMIFS(tblActuals354151923[Team 1 GD],tblActuals354151923[Team 1],$CU23,tblActuals354151923[Team 2],EE$3)</f>
        <v>0</v>
      </c>
      <c r="EF23" s="56">
        <f>SUMIFS(tblActuals354151923[Team 2 GD],tblActuals354151923[Team 2],$CU23,tblActuals354151923[Team 1],EF$3)+SUMIFS(tblActuals354151923[Team 1 GD],tblActuals354151923[Team 1],$CU23,tblActuals354151923[Team 2],EF$3)</f>
        <v>0</v>
      </c>
      <c r="EG23" s="56">
        <f>SUMIFS(tblActuals354151923[Team 2 GD],tblActuals354151923[Team 2],$CU23,tblActuals354151923[Team 1],EG$3)+SUMIFS(tblActuals354151923[Team 1 GD],tblActuals354151923[Team 1],$CU23,tblActuals354151923[Team 2],EG$3)</f>
        <v>0</v>
      </c>
      <c r="EH23" s="56">
        <f>SUMIFS(tblActuals354151923[Team 2 GD],tblActuals354151923[Team 2],$CU23,tblActuals354151923[Team 1],EH$3)+SUMIFS(tblActuals354151923[Team 1 GD],tblActuals354151923[Team 1],$CU23,tblActuals354151923[Team 2],EH$3)</f>
        <v>0</v>
      </c>
      <c r="EI23" s="56">
        <f>SUMIFS(tblActuals354151923[Team 2 GD],tblActuals354151923[Team 2],$CU23,tblActuals354151923[Team 1],EI$3)+SUMIFS(tblActuals354151923[Team 1 GD],tblActuals354151923[Team 1],$CU23,tblActuals354151923[Team 2],EI$3)</f>
        <v>0</v>
      </c>
      <c r="EJ23" s="56">
        <f>SUMIFS(tblActuals354151923[Team 2 GD],tblActuals354151923[Team 2],$CU23,tblActuals354151923[Team 1],EJ$3)+SUMIFS(tblActuals354151923[Team 1 GD],tblActuals354151923[Team 1],$CU23,tblActuals354151923[Team 2],EJ$3)</f>
        <v>0</v>
      </c>
      <c r="EK23" s="56">
        <f>SUMIFS(tblActuals354151923[Team 2 GD],tblActuals354151923[Team 2],$CU23,tblActuals354151923[Team 1],EK$3)+SUMIFS(tblActuals354151923[Team 1 GD],tblActuals354151923[Team 1],$CU23,tblActuals354151923[Team 2],EK$3)</f>
        <v>0</v>
      </c>
      <c r="EL23" s="56">
        <f>SUMIFS(tblActuals354151923[Team 2 GD],tblActuals354151923[Team 2],$CU23,tblActuals354151923[Team 1],EL$3)+SUMIFS(tblActuals354151923[Team 1 GD],tblActuals354151923[Team 1],$CU23,tblActuals354151923[Team 2],EL$3)</f>
        <v>0</v>
      </c>
      <c r="EM23" s="56">
        <f>SUMIFS(tblActuals354151923[Team 2 GD],tblActuals354151923[Team 2],$CU23,tblActuals354151923[Team 1],EM$3)+SUMIFS(tblActuals354151923[Team 1 GD],tblActuals354151923[Team 1],$CU23,tblActuals354151923[Team 2],EM$3)</f>
        <v>0</v>
      </c>
      <c r="EN23" s="56">
        <f>SUMIFS(tblActuals354151923[Team 2 GD],tblActuals354151923[Team 2],$CU23,tblActuals354151923[Team 1],EN$3)+SUMIFS(tblActuals354151923[Team 1 GD],tblActuals354151923[Team 1],$CU23,tblActuals354151923[Team 2],EN$3)</f>
        <v>0</v>
      </c>
      <c r="EO23" s="56">
        <f>SUMIFS(tblActuals354151923[Team 2 GD],tblActuals354151923[Team 2],$CU23,tblActuals354151923[Team 1],EO$3)+SUMIFS(tblActuals354151923[Team 1 GD],tblActuals354151923[Team 1],$CU23,tblActuals354151923[Team 2],EO$3)</f>
        <v>0</v>
      </c>
      <c r="EP23" s="56">
        <f>SUMIFS(tblActuals354151923[Team 2 GD],tblActuals354151923[Team 2],$CU23,tblActuals354151923[Team 1],EP$3)+SUMIFS(tblActuals354151923[Team 1 GD],tblActuals354151923[Team 1],$CU23,tblActuals354151923[Team 2],EP$3)</f>
        <v>0</v>
      </c>
      <c r="EQ23" s="56">
        <f>SUMIFS(tblActuals354151923[Team 2 GD],tblActuals354151923[Team 2],$CU23,tblActuals354151923[Team 1],EQ$3)+SUMIFS(tblActuals354151923[Team 1 GD],tblActuals354151923[Team 1],$CU23,tblActuals354151923[Team 2],EQ$3)</f>
        <v>0</v>
      </c>
      <c r="ER23" s="56">
        <f>SUMIFS(tblActuals354151923[Team 2 GD],tblActuals354151923[Team 2],$CU23,tblActuals354151923[Team 1],ER$3)+SUMIFS(tblActuals354151923[Team 1 GD],tblActuals354151923[Team 1],$CU23,tblActuals354151923[Team 2],ER$3)</f>
        <v>0</v>
      </c>
      <c r="ES23" s="56">
        <f>SUMIFS(tblActuals354151923[Team 2 GD],tblActuals354151923[Team 2],$CU23,tblActuals354151923[Team 1],ES$3)+SUMIFS(tblActuals354151923[Team 1 GD],tblActuals354151923[Team 1],$CU23,tblActuals354151923[Team 2],ES$3)</f>
        <v>0</v>
      </c>
      <c r="ET23" s="56">
        <f>SUMIFS(tblActuals354151923[Team 2 GD],tblActuals354151923[Team 2],$CU23,tblActuals354151923[Team 1],ET$3)+SUMIFS(tblActuals354151923[Team 1 GD],tblActuals354151923[Team 1],$CU23,tblActuals354151923[Team 2],ET$3)</f>
        <v>0</v>
      </c>
      <c r="EU23" s="56">
        <f>SUMIFS(tblActuals354151923[Team 2 GD],tblActuals354151923[Team 2],$CU23,tblActuals354151923[Team 1],EU$3)+SUMIFS(tblActuals354151923[Team 1 GD],tblActuals354151923[Team 1],$CU23,tblActuals354151923[Team 2],EU$3)</f>
        <v>0</v>
      </c>
      <c r="EV23" s="56">
        <f>SUMIFS(tblActuals354151923[Team 2 GD],tblActuals354151923[Team 2],$CU23,tblActuals354151923[Team 1],EV$3)+SUMIFS(tblActuals354151923[Team 1 GD],tblActuals354151923[Team 1],$CU23,tblActuals354151923[Team 2],EV$3)</f>
        <v>0</v>
      </c>
      <c r="EW23" s="56">
        <f>SUMIFS(tblActuals354151923[Team 2 GD],tblActuals354151923[Team 2],$CU23,tblActuals354151923[Team 1],EW$3)+SUMIFS(tblActuals354151923[Team 1 GD],tblActuals354151923[Team 1],$CU23,tblActuals354151923[Team 2],EW$3)</f>
        <v>0</v>
      </c>
      <c r="EX23" s="56">
        <f>SUMIFS(tblActuals354151923[Team 2 GD],tblActuals354151923[Team 2],$CU23,tblActuals354151923[Team 1],EX$3)+SUMIFS(tblActuals354151923[Team 1 GD],tblActuals354151923[Team 1],$CU23,tblActuals354151923[Team 2],EX$3)</f>
        <v>0</v>
      </c>
      <c r="EY23" s="56">
        <f>SUMIFS(tblActuals354151923[Team 2 GD],tblActuals354151923[Team 2],$CU23,tblActuals354151923[Team 1],EY$3)+SUMIFS(tblActuals354151923[Team 1 GD],tblActuals354151923[Team 1],$CU23,tblActuals354151923[Team 2],EY$3)</f>
        <v>0</v>
      </c>
      <c r="EZ23" s="56">
        <f>SUMIFS(tblActuals354151923[Team 2 GD],tblActuals354151923[Team 2],$CU23,tblActuals354151923[Team 1],EZ$3)+SUMIFS(tblActuals354151923[Team 1 GD],tblActuals354151923[Team 1],$CU23,tblActuals354151923[Team 2],EZ$3)</f>
        <v>0</v>
      </c>
      <c r="FA23" s="56">
        <f>SUMIFS(tblActuals354151923[Team 2 GD],tblActuals354151923[Team 2],$CU23,tblActuals354151923[Team 1],FA$3)+SUMIFS(tblActuals354151923[Team 1 GD],tblActuals354151923[Team 1],$CU23,tblActuals354151923[Team 2],FA$3)</f>
        <v>0</v>
      </c>
      <c r="FB23" s="57"/>
      <c r="FC23" s="57"/>
      <c r="FD23" s="57"/>
      <c r="FE23" s="57"/>
      <c r="FF23" s="57"/>
      <c r="FG23" s="57"/>
      <c r="FH23" s="57"/>
      <c r="FI23" s="57"/>
      <c r="FJ23" s="4"/>
      <c r="FK23" s="4" t="s">
        <v>132</v>
      </c>
      <c r="FL23" s="56">
        <f>SUMIFS(tblActuals354151923[Team 2 Goals],tblActuals354151923[Team 2],$CU23,tblActuals354151923[Team 1],FL$3)+SUMIFS(tblActuals354151923[Team 1 Goals],tblActuals354151923[Team 1],$CU23,tblActuals354151923[Team 2],FL$3)</f>
        <v>0</v>
      </c>
      <c r="FM23" s="56">
        <f>SUMIFS(tblActuals354151923[Team 2 Goals],tblActuals354151923[Team 2],$CU23,tblActuals354151923[Team 1],FM$3)+SUMIFS(tblActuals354151923[Team 1 Goals],tblActuals354151923[Team 1],$CU23,tblActuals354151923[Team 2],FM$3)</f>
        <v>0</v>
      </c>
      <c r="FN23" s="56">
        <f>SUMIFS(tblActuals354151923[Team 2 Goals],tblActuals354151923[Team 2],$CU23,tblActuals354151923[Team 1],FN$3)+SUMIFS(tblActuals354151923[Team 1 Goals],tblActuals354151923[Team 1],$CU23,tblActuals354151923[Team 2],FN$3)</f>
        <v>0</v>
      </c>
      <c r="FO23" s="56">
        <f>SUMIFS(tblActuals354151923[Team 2 Goals],tblActuals354151923[Team 2],$CU23,tblActuals354151923[Team 1],FO$3)+SUMIFS(tblActuals354151923[Team 1 Goals],tblActuals354151923[Team 1],$CU23,tblActuals354151923[Team 2],FO$3)</f>
        <v>0</v>
      </c>
      <c r="FP23" s="56">
        <f>SUMIFS(tblActuals354151923[Team 2 Goals],tblActuals354151923[Team 2],$CU23,tblActuals354151923[Team 1],FP$3)+SUMIFS(tblActuals354151923[Team 1 Goals],tblActuals354151923[Team 1],$CU23,tblActuals354151923[Team 2],FP$3)</f>
        <v>0</v>
      </c>
      <c r="FQ23" s="56">
        <f>SUMIFS(tblActuals354151923[Team 2 Goals],tblActuals354151923[Team 2],$CU23,tblActuals354151923[Team 1],FQ$3)+SUMIFS(tblActuals354151923[Team 1 Goals],tblActuals354151923[Team 1],$CU23,tblActuals354151923[Team 2],FQ$3)</f>
        <v>0</v>
      </c>
      <c r="FR23" s="56">
        <f>SUMIFS(tblActuals354151923[Team 2 Goals],tblActuals354151923[Team 2],$CU23,tblActuals354151923[Team 1],FR$3)+SUMIFS(tblActuals354151923[Team 1 Goals],tblActuals354151923[Team 1],$CU23,tblActuals354151923[Team 2],FR$3)</f>
        <v>0</v>
      </c>
      <c r="FS23" s="56">
        <f>SUMIFS(tblActuals354151923[Team 2 Goals],tblActuals354151923[Team 2],$CU23,tblActuals354151923[Team 1],FS$3)+SUMIFS(tblActuals354151923[Team 1 Goals],tblActuals354151923[Team 1],$CU23,tblActuals354151923[Team 2],FS$3)</f>
        <v>0</v>
      </c>
      <c r="FT23" s="56">
        <f>SUMIFS(tblActuals354151923[Team 2 Goals],tblActuals354151923[Team 2],$CU23,tblActuals354151923[Team 1],FT$3)+SUMIFS(tblActuals354151923[Team 1 Goals],tblActuals354151923[Team 1],$CU23,tblActuals354151923[Team 2],FT$3)</f>
        <v>0</v>
      </c>
      <c r="FU23" s="56">
        <f>SUMIFS(tblActuals354151923[Team 2 Goals],tblActuals354151923[Team 2],$CU23,tblActuals354151923[Team 1],FU$3)+SUMIFS(tblActuals354151923[Team 1 Goals],tblActuals354151923[Team 1],$CU23,tblActuals354151923[Team 2],FU$3)</f>
        <v>0</v>
      </c>
      <c r="FV23" s="56">
        <f>SUMIFS(tblActuals354151923[Team 2 Goals],tblActuals354151923[Team 2],$CU23,tblActuals354151923[Team 1],FV$3)+SUMIFS(tblActuals354151923[Team 1 Goals],tblActuals354151923[Team 1],$CU23,tblActuals354151923[Team 2],FV$3)</f>
        <v>0</v>
      </c>
      <c r="FW23" s="56">
        <f>SUMIFS(tblActuals354151923[Team 2 Goals],tblActuals354151923[Team 2],$CU23,tblActuals354151923[Team 1],FW$3)+SUMIFS(tblActuals354151923[Team 1 Goals],tblActuals354151923[Team 1],$CU23,tblActuals354151923[Team 2],FW$3)</f>
        <v>0</v>
      </c>
      <c r="FX23" s="56">
        <f>SUMIFS(tblActuals354151923[Team 2 Goals],tblActuals354151923[Team 2],$CU23,tblActuals354151923[Team 1],FX$3)+SUMIFS(tblActuals354151923[Team 1 Goals],tblActuals354151923[Team 1],$CU23,tblActuals354151923[Team 2],FX$3)</f>
        <v>0</v>
      </c>
      <c r="FY23" s="56">
        <f>SUMIFS(tblActuals354151923[Team 2 Goals],tblActuals354151923[Team 2],$CU23,tblActuals354151923[Team 1],FY$3)+SUMIFS(tblActuals354151923[Team 1 Goals],tblActuals354151923[Team 1],$CU23,tblActuals354151923[Team 2],FY$3)</f>
        <v>0</v>
      </c>
      <c r="FZ23" s="56">
        <f>SUMIFS(tblActuals354151923[Team 2 Goals],tblActuals354151923[Team 2],$CU23,tblActuals354151923[Team 1],FZ$3)+SUMIFS(tblActuals354151923[Team 1 Goals],tblActuals354151923[Team 1],$CU23,tblActuals354151923[Team 2],FZ$3)</f>
        <v>0</v>
      </c>
      <c r="GA23" s="56">
        <f>SUMIFS(tblActuals354151923[Team 2 Goals],tblActuals354151923[Team 2],$CU23,tblActuals354151923[Team 1],GA$3)+SUMIFS(tblActuals354151923[Team 1 Goals],tblActuals354151923[Team 1],$CU23,tblActuals354151923[Team 2],GA$3)</f>
        <v>0</v>
      </c>
      <c r="GB23" s="56">
        <f>SUMIFS(tblActuals354151923[Team 2 Goals],tblActuals354151923[Team 2],$CU23,tblActuals354151923[Team 1],GB$3)+SUMIFS(tblActuals354151923[Team 1 Goals],tblActuals354151923[Team 1],$CU23,tblActuals354151923[Team 2],GB$3)</f>
        <v>0</v>
      </c>
      <c r="GC23" s="56">
        <f>SUMIFS(tblActuals354151923[Team 2 Goals],tblActuals354151923[Team 2],$CU23,tblActuals354151923[Team 1],GC$3)+SUMIFS(tblActuals354151923[Team 1 Goals],tblActuals354151923[Team 1],$CU23,tblActuals354151923[Team 2],GC$3)</f>
        <v>0</v>
      </c>
      <c r="GD23" s="56">
        <f>SUMIFS(tblActuals354151923[Team 2 Goals],tblActuals354151923[Team 2],$CU23,tblActuals354151923[Team 1],GD$3)+SUMIFS(tblActuals354151923[Team 1 Goals],tblActuals354151923[Team 1],$CU23,tblActuals354151923[Team 2],GD$3)</f>
        <v>0</v>
      </c>
      <c r="GE23" s="56">
        <f>SUMIFS(tblActuals354151923[Team 2 Goals],tblActuals354151923[Team 2],$CU23,tblActuals354151923[Team 1],GE$3)+SUMIFS(tblActuals354151923[Team 1 Goals],tblActuals354151923[Team 1],$CU23,tblActuals354151923[Team 2],GE$3)</f>
        <v>0</v>
      </c>
      <c r="GF23" s="56">
        <f>SUMIFS(tblActuals354151923[Team 2 Goals],tblActuals354151923[Team 2],$CU23,tblActuals354151923[Team 1],GF$3)+SUMIFS(tblActuals354151923[Team 1 Goals],tblActuals354151923[Team 1],$CU23,tblActuals354151923[Team 2],GF$3)</f>
        <v>0</v>
      </c>
      <c r="GG23" s="56">
        <f>SUMIFS(tblActuals354151923[Team 2 Goals],tblActuals354151923[Team 2],$CU23,tblActuals354151923[Team 1],GG$3)+SUMIFS(tblActuals354151923[Team 1 Goals],tblActuals354151923[Team 1],$CU23,tblActuals354151923[Team 2],GG$3)</f>
        <v>0</v>
      </c>
      <c r="GH23" s="56">
        <f>SUMIFS(tblActuals354151923[Team 2 Goals],tblActuals354151923[Team 2],$CU23,tblActuals354151923[Team 1],GH$3)+SUMIFS(tblActuals354151923[Team 1 Goals],tblActuals354151923[Team 1],$CU23,tblActuals354151923[Team 2],GH$3)</f>
        <v>0</v>
      </c>
      <c r="GI23" s="56">
        <f>SUMIFS(tblActuals354151923[Team 2 Goals],tblActuals354151923[Team 2],$CU23,tblActuals354151923[Team 1],GI$3)+SUMIFS(tblActuals354151923[Team 1 Goals],tblActuals354151923[Team 1],$CU23,tblActuals354151923[Team 2],GI$3)</f>
        <v>0</v>
      </c>
      <c r="GJ23" s="57"/>
      <c r="GK23" s="57"/>
      <c r="GL23" s="37"/>
      <c r="GM23" s="37"/>
      <c r="GN23" s="37"/>
      <c r="GO23" s="37"/>
      <c r="GP23" s="37"/>
      <c r="GQ23" s="37"/>
      <c r="GR23" s="75"/>
      <c r="GS23" s="148"/>
      <c r="GT23" s="158"/>
      <c r="GU23" s="75"/>
      <c r="GV23" s="75"/>
      <c r="GW23" s="75"/>
      <c r="GX23" s="75"/>
      <c r="GY23" s="75"/>
      <c r="GZ23" s="75"/>
    </row>
    <row r="24" spans="1:221" s="11" customFormat="1" ht="30" customHeight="1" x14ac:dyDescent="0.25">
      <c r="A24" s="20"/>
      <c r="B24" s="122">
        <v>21</v>
      </c>
      <c r="C24" s="122" t="s">
        <v>12</v>
      </c>
      <c r="D24" s="123">
        <v>45464</v>
      </c>
      <c r="E24" s="122" t="s">
        <v>85</v>
      </c>
      <c r="F24" s="124">
        <v>0.625</v>
      </c>
      <c r="G24" s="125">
        <f t="shared" si="11"/>
        <v>45464.375</v>
      </c>
      <c r="H24" s="122" t="s">
        <v>109</v>
      </c>
      <c r="I24" s="126"/>
      <c r="J24" s="118"/>
      <c r="K24" s="118"/>
      <c r="L24" s="174">
        <f>IF(I24="",0,IFERROR(IF(SCORING.RULES!$C$8="No",1,((VLOOKUP($B24,ACTUALS!$B$4:$L$100,7,FALSE)=$H24)+(VLOOKUP($B24,ACTUALS!$B$4:$L$100,7,FALSE)=S24)))*(M24+N24+O24+P24+Q24),0))+$R24</f>
        <v>0</v>
      </c>
      <c r="M24" s="168">
        <f>IFERROR(IF($B24="","",IF(U24=INDEX(ACTUALS!$AA$4:$AA$100,MATCH($B24,ACTUALS!$B$4:$B$100,0),1),CorrectScore,0)),0)</f>
        <v>0</v>
      </c>
      <c r="N24" s="157" t="str">
        <f>IFERROR(IF(I24="","",IF(INDEX(ACTUALS!$AB$4:$AB$100,MATCH($B24,ACTUALS!$B$4:$B$100,0),1)=(AB24+AC24+AH24+AI24),CorrectNumberofGoals,0)),0)</f>
        <v/>
      </c>
      <c r="O24" s="157"/>
      <c r="P24" s="157">
        <f>IFERROR(IF(B24="","",IF(INDEX(ACTUALS!$L$4:$L$100,MATCH($B24,ACTUALS!$B$4:$B$100,0),1)=W24,CorrectResult,0)),0)</f>
        <v>3</v>
      </c>
      <c r="Q24" s="157"/>
      <c r="R24" s="157"/>
      <c r="S24" s="157" t="str">
        <f t="shared" si="0"/>
        <v/>
      </c>
      <c r="T24" s="157"/>
      <c r="U24" s="157" t="str">
        <f t="shared" si="1"/>
        <v/>
      </c>
      <c r="V24" s="157" t="str">
        <f t="shared" si="2"/>
        <v/>
      </c>
      <c r="W24" s="119" t="str">
        <f>IF(tblActuals354151923[[#This Row],[SCORE]]="","",IF(AB24=AC24,"Draw",IF(AB24&gt;AC24,X24,Y24)))</f>
        <v/>
      </c>
      <c r="X24" s="120" t="str">
        <f>IF(tblActuals354151923[[#This Row],[TEAMS]]="","",LEFT(H24,FIND(" -",H24,1)-1))</f>
        <v>Slovakia</v>
      </c>
      <c r="Y24" s="120" t="str">
        <f>IF(tblActuals354151923[[#This Row],[TEAMS]]="","",MID(H24,FIND("-",H24,1)+2,LEN(H24)-FIND("-",H24,1)+2))</f>
        <v>Ukraine</v>
      </c>
      <c r="Z24" s="120" t="str">
        <f>IF(tblActuals354151923[[#This Row],[Team 1 Goals]]&gt;tblActuals354151923[[#This Row],[Team 2 Goals]],tblActuals354151923[[#This Row],[Team 1]],IF(tblActuals354151923[[#This Row],[Team 2 Goals]]&gt;tblActuals354151923[[#This Row],[Team 1 Goals]],tblActuals354151923[[#This Row],[Team 2]],""))</f>
        <v/>
      </c>
      <c r="AA24" s="120" t="str">
        <f>IF(tblActuals354151923[[#This Row],[Winner]]=tblActuals354151923[[#This Row],[Team 1]],tblActuals354151923[[#This Row],[Team 2]],IF(tblActuals354151923[[#This Row],[Winner]]=tblActuals354151923[[#This Row],[Team 2]],tblActuals354151923[[#This Row],[Team 1]],""))</f>
        <v/>
      </c>
      <c r="AB24" s="120" t="str">
        <f>IF(tblActuals354151923[[#This Row],[SCORE]]="","",LEFT(I24,FIND(":",I24,1)-1)*1)</f>
        <v/>
      </c>
      <c r="AC24" s="120" t="str">
        <f>IF(tblActuals354151923[[#This Row],[SCORE]]="","",MID(I24,FIND(":",I24,1)+1,LEN(I24)-FIND(":",I24,1)+1)*1)</f>
        <v/>
      </c>
      <c r="AD24" s="120" t="str">
        <f>IF(OR(tblActuals354151923[[#This Row],[Team 1 Goals]]="",tblActuals354151923[[#This Row],[Team 2 Goals]]=""),"",tblActuals354151923[[#This Row],[Team 1 Goals]]-tblActuals354151923[[#This Row],[Team 2 Goals]])</f>
        <v/>
      </c>
      <c r="AE24" s="120" t="str">
        <f>IF(OR(tblActuals354151923[[#This Row],[Team 1 Goals]]="",tblActuals354151923[[#This Row],[Team 2 Goals]]=""),"",tblActuals354151923[[#This Row],[Team 2 Goals]]-tblActuals354151923[[#This Row],[Team 1 Goals]])</f>
        <v/>
      </c>
      <c r="AF24" s="120" t="str">
        <f>IF(tblActuals354151923[[#This Row],[SCORE]]="","",IF(tblActuals354151923[[#This Row],[WINNER / RESULT]]="Draw",1,IF(tblActuals354151923[[#This Row],[WINNER / RESULT]]=tblActuals354151923[[#This Row],[Team 1]],3,0)))</f>
        <v/>
      </c>
      <c r="AG24" s="120" t="str">
        <f>IF(tblActuals354151923[[#This Row],[SCORE]]="","",IF(tblActuals354151923[[#This Row],[WINNER / RESULT]]="Draw",1,IF(tblActuals354151923[[#This Row],[WINNER / RESULT]]=tblActuals354151923[[#This Row],[Team 2]],3,0)))</f>
        <v/>
      </c>
      <c r="AH24" s="121"/>
      <c r="AI24" s="121"/>
      <c r="AJ24" s="121"/>
      <c r="AK24" s="121"/>
      <c r="AL24" s="120" t="e">
        <f>tblActuals354151923[[#This Row],[Team 1 Goals]]+tblActuals354151923[[#This Row],[Team 1 ET Goals]]&amp;":"&amp;tblActuals354151923[[#This Row],[Team 2 Goals]]+tblActuals354151923[[#This Row],[Team 2 ET Goals]]</f>
        <v>#VALUE!</v>
      </c>
      <c r="AM24" s="120" t="e">
        <f>+tblActuals354151923[[#This Row],[Team 1 Goals]]+tblActuals354151923[[#This Row],[Team 2 Goals]]</f>
        <v>#VALUE!</v>
      </c>
      <c r="AN24" s="161">
        <f t="shared" si="3"/>
        <v>45464</v>
      </c>
      <c r="AT24" s="77" t="s">
        <v>7</v>
      </c>
      <c r="AU24" s="136">
        <v>1</v>
      </c>
      <c r="AV24" s="137" t="str">
        <f ca="1">IFERROR(INDEX(BD:BD,MATCH("1"&amp;AT24,BN:BN,0),1),"")</f>
        <v>Austria</v>
      </c>
      <c r="AW24" s="137" t="str">
        <f ca="1">IF(AV24="","",VLOOKUP(AV24,BD:BI,2,FALSE)&amp;"-"&amp;VLOOKUP(AV24,BD:BI,3,FALSE)&amp;"-"&amp;VLOOKUP(AV24,BD:BI,4,FALSE))</f>
        <v>0-0-0</v>
      </c>
      <c r="AX24" s="137">
        <f ca="1">IF(AV24="","",VLOOKUP(AV24,BD:BK,8,FALSE))</f>
        <v>0</v>
      </c>
      <c r="AY24" s="138">
        <f ca="1">IF(AV24="","",VLOOKUP(AV24,BD:BN,5,FALSE))</f>
        <v>0</v>
      </c>
      <c r="AZ24" s="75"/>
      <c r="BA24" s="4"/>
      <c r="BB24" s="4"/>
      <c r="BC24" s="4" t="s">
        <v>12</v>
      </c>
      <c r="BD24" s="4" t="s">
        <v>29</v>
      </c>
      <c r="BE24" s="4">
        <f>COUNTIF(tblActuals354151923[Winner],BD24)</f>
        <v>0</v>
      </c>
      <c r="BF24" s="4">
        <f>COUNTIFS(tblActuals354151923[Team 2],BD24,tblActuals354151923[WINNER / RESULT],"Draw")+COUNTIFS(tblActuals354151923[Team 1],BD24,tblActuals354151923[WINNER / RESULT],"Draw")</f>
        <v>0</v>
      </c>
      <c r="BG24" s="4">
        <f>COUNTIF(tblActuals354151923[Loser],BD24)</f>
        <v>0</v>
      </c>
      <c r="BH24" s="4">
        <f>BF24+(3*BE24)</f>
        <v>0</v>
      </c>
      <c r="BI24" s="4">
        <f>SUMIFS(tblActuals354151923[Team 1 Goals],tblActuals354151923[Team 1],BD24)+SUMIFS(tblActuals354151923[Team 2 Goals],tblActuals354151923[Team 2],BD24)</f>
        <v>0</v>
      </c>
      <c r="BJ24" s="4">
        <f>SUMIFS(tblActuals354151923[Team 2 Goals],tblActuals354151923[Team 1],BD24)+SUMIFS(tblActuals354151923[Team 1 Goals],tblActuals354151923[Team 2],BD24)</f>
        <v>0</v>
      </c>
      <c r="BK24" s="4">
        <f>BI24-BJ24</f>
        <v>0</v>
      </c>
      <c r="BL24" s="4">
        <f ca="1">RANK(BY24,$BY$24:$BY$27,1)</f>
        <v>1</v>
      </c>
      <c r="BM24" s="4" t="str">
        <f t="shared" si="4"/>
        <v/>
      </c>
      <c r="BN24" s="4" t="str">
        <f ca="1">IF(BM24="",BL24&amp;BC24,BM24&amp;BC24)</f>
        <v>1E</v>
      </c>
      <c r="BO24" s="4">
        <f>RANK(BH24,$BH$24:$BH$27,0)</f>
        <v>1</v>
      </c>
      <c r="BP24" s="4" cm="1">
        <f t="array" aca="1" ref="BP24" ca="1">SUMPRODUCT((OFFSET($CV$3:$EA$3,MATCH($BD24,$CU$4:$CU$35,0),0))*((IF($BO26=$BO24,$CV$3:$EA$3=$BD26,0))+(IF($BO27=$BO24,$CV$3:$EA$3=$BD27,0))+(IF($BO25=$BO24,$CV$3:$EA$3=$BD25,0))))</f>
        <v>0</v>
      </c>
      <c r="BQ24" s="4" cm="1">
        <f t="array" aca="1" ref="BQ24" ca="1">SUMPRODUCT((OFFSET($ED$3:$FI$3,MATCH($BD24,$EC$4:$EC$35,0),0))*((IF($BO26=$BO24,$ED$3:$FI$3=$BD26,0))+(IF($BO27=$BO24,$ED$3:$FI$3=$BD27,0))+(IF($BO25=$BO24,$ED$3:$FI$3=$BD25,0))))</f>
        <v>0</v>
      </c>
      <c r="BR24" s="4" cm="1">
        <f t="array" aca="1" ref="BR24" ca="1">SUMPRODUCT((OFFSET($FL$3:$GQ$3,MATCH($BD24,$FK$4:$FK$35,0),0))*((IF($BO26=$BO24,$FL$3:$GQ$3=$BD26,0))+(IF($BO27=$BO24,$FL$3:$GQ$3=$BD27,0))+(IF($BO25=$BO24,$FL$3:$GQ$3=$BD25,0))))</f>
        <v>0</v>
      </c>
      <c r="BS24" s="4" cm="1">
        <f t="array" aca="1" ref="BS24" ca="1">SUMPRODUCT((OFFSET($CV$3:$EA$3,MATCH($BD24,$CU$4:$CU$35,0),0))*((IF($BO26&lt;&gt;$BO24,$CV$3:$EA$3=$BD26,0))+(IF($BO27&lt;&gt;$BO24,$CV$3:$EA$3=$BD27,0))+(IF($BO25&lt;&gt;$BO24,$CV$3:$EA$3=$BD25,0))))</f>
        <v>0</v>
      </c>
      <c r="BT24" s="4" cm="1">
        <f t="array" aca="1" ref="BT24" ca="1">SUMPRODUCT((OFFSET($ED$3:$FI$3,MATCH($BD24,$EC$4:$EC$35,0),0))*((IF($BO26&lt;&gt;$BO24,$ED$3:$FI$3=$BD26,0))+(IF($BO27&lt;&gt;$BO24,$ED$3:$FI$3=$BD27,0))+(IF($BO25&lt;&gt;$BO24,$ED$3:$FI$3=$BD25,0))))</f>
        <v>0</v>
      </c>
      <c r="BU24" s="4" cm="1">
        <f t="array" aca="1" ref="BU24" ca="1">SUMPRODUCT((OFFSET($FL$3:$GQ$3,MATCH($BD24,$FK$4:$FK$35,0),0))*((IF($BO26&lt;&gt;$BO24,$FL$3:$GQ$3=$BD26,0))+(IF($BO27&lt;&gt;$BO24,$FL$3:$GQ$3=$BD27,0))+(IF($BO25&lt;&gt;$BO24,$FL$3:$GQ$3=$BD25,0))))</f>
        <v>0</v>
      </c>
      <c r="BV24" s="4">
        <f>BK24</f>
        <v>0</v>
      </c>
      <c r="BW24" s="4">
        <f>BI24</f>
        <v>0</v>
      </c>
      <c r="BX24" s="4">
        <f ca="1">(BP24/10)+(BQ24/100)+(BR24/1000)+(BT24/10000)+(BU24/100000)+(BV24/1000000)+(BW24/10000000)+(ROW(BS27)/100000000)</f>
        <v>2.7000000000000001E-7</v>
      </c>
      <c r="BY24" s="4">
        <f ca="1">+BO24-BX24</f>
        <v>0.99999972999999998</v>
      </c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U24" s="4" t="s">
        <v>133</v>
      </c>
      <c r="CV24" s="56">
        <f>SUMIFS(tblActuals354151923[Team 2 Points],tblActuals354151923[Team 2],$CU24,tblActuals354151923[Team 1],CV$3)+SUMIFS(tblActuals354151923[Team 1 Points],tblActuals354151923[Team 1],$CU24,tblActuals354151923[Team 2],CV$3)</f>
        <v>0</v>
      </c>
      <c r="CW24" s="56">
        <f>SUMIFS(tblActuals354151923[Team 2 Points],tblActuals354151923[Team 2],$CU24,tblActuals354151923[Team 1],CW$3)+SUMIFS(tblActuals354151923[Team 1 Points],tblActuals354151923[Team 1],$CU24,tblActuals354151923[Team 2],CW$3)</f>
        <v>0</v>
      </c>
      <c r="CX24" s="56">
        <f>SUMIFS(tblActuals354151923[Team 2 Points],tblActuals354151923[Team 2],$CU24,tblActuals354151923[Team 1],CX$3)+SUMIFS(tblActuals354151923[Team 1 Points],tblActuals354151923[Team 1],$CU24,tblActuals354151923[Team 2],CX$3)</f>
        <v>0</v>
      </c>
      <c r="CY24" s="56">
        <f>SUMIFS(tblActuals354151923[Team 2 Points],tblActuals354151923[Team 2],$CU24,tblActuals354151923[Team 1],CY$3)+SUMIFS(tblActuals354151923[Team 1 Points],tblActuals354151923[Team 1],$CU24,tblActuals354151923[Team 2],CY$3)</f>
        <v>0</v>
      </c>
      <c r="CZ24" s="56">
        <f>SUMIFS(tblActuals354151923[Team 2 Points],tblActuals354151923[Team 2],$CU24,tblActuals354151923[Team 1],CZ$3)+SUMIFS(tblActuals354151923[Team 1 Points],tblActuals354151923[Team 1],$CU24,tblActuals354151923[Team 2],CZ$3)</f>
        <v>0</v>
      </c>
      <c r="DA24" s="56">
        <f>SUMIFS(tblActuals354151923[Team 2 Points],tblActuals354151923[Team 2],$CU24,tblActuals354151923[Team 1],DA$3)+SUMIFS(tblActuals354151923[Team 1 Points],tblActuals354151923[Team 1],$CU24,tblActuals354151923[Team 2],DA$3)</f>
        <v>0</v>
      </c>
      <c r="DB24" s="56">
        <f>SUMIFS(tblActuals354151923[Team 2 Points],tblActuals354151923[Team 2],$CU24,tblActuals354151923[Team 1],DB$3)+SUMIFS(tblActuals354151923[Team 1 Points],tblActuals354151923[Team 1],$CU24,tblActuals354151923[Team 2],DB$3)</f>
        <v>0</v>
      </c>
      <c r="DC24" s="56">
        <f>SUMIFS(tblActuals354151923[Team 2 Points],tblActuals354151923[Team 2],$CU24,tblActuals354151923[Team 1],DC$3)+SUMIFS(tblActuals354151923[Team 1 Points],tblActuals354151923[Team 1],$CU24,tblActuals354151923[Team 2],DC$3)</f>
        <v>0</v>
      </c>
      <c r="DD24" s="56">
        <f>SUMIFS(tblActuals354151923[Team 2 Points],tblActuals354151923[Team 2],$CU24,tblActuals354151923[Team 1],DD$3)+SUMIFS(tblActuals354151923[Team 1 Points],tblActuals354151923[Team 1],$CU24,tblActuals354151923[Team 2],DD$3)</f>
        <v>0</v>
      </c>
      <c r="DE24" s="56">
        <f>SUMIFS(tblActuals354151923[Team 2 Points],tblActuals354151923[Team 2],$CU24,tblActuals354151923[Team 1],DE$3)+SUMIFS(tblActuals354151923[Team 1 Points],tblActuals354151923[Team 1],$CU24,tblActuals354151923[Team 2],DE$3)</f>
        <v>0</v>
      </c>
      <c r="DF24" s="56">
        <f>SUMIFS(tblActuals354151923[Team 2 Points],tblActuals354151923[Team 2],$CU24,tblActuals354151923[Team 1],DF$3)+SUMIFS(tblActuals354151923[Team 1 Points],tblActuals354151923[Team 1],$CU24,tblActuals354151923[Team 2],DF$3)</f>
        <v>0</v>
      </c>
      <c r="DG24" s="56">
        <f>SUMIFS(tblActuals354151923[Team 2 Points],tblActuals354151923[Team 2],$CU24,tblActuals354151923[Team 1],DG$3)+SUMIFS(tblActuals354151923[Team 1 Points],tblActuals354151923[Team 1],$CU24,tblActuals354151923[Team 2],DG$3)</f>
        <v>0</v>
      </c>
      <c r="DH24" s="56">
        <f>SUMIFS(tblActuals354151923[Team 2 Points],tblActuals354151923[Team 2],$CU24,tblActuals354151923[Team 1],DH$3)+SUMIFS(tblActuals354151923[Team 1 Points],tblActuals354151923[Team 1],$CU24,tblActuals354151923[Team 2],DH$3)</f>
        <v>0</v>
      </c>
      <c r="DI24" s="56">
        <f>SUMIFS(tblActuals354151923[Team 2 Points],tblActuals354151923[Team 2],$CU24,tblActuals354151923[Team 1],DI$3)+SUMIFS(tblActuals354151923[Team 1 Points],tblActuals354151923[Team 1],$CU24,tblActuals354151923[Team 2],DI$3)</f>
        <v>0</v>
      </c>
      <c r="DJ24" s="56">
        <f>SUMIFS(tblActuals354151923[Team 2 Points],tblActuals354151923[Team 2],$CU24,tblActuals354151923[Team 1],DJ$3)+SUMIFS(tblActuals354151923[Team 1 Points],tblActuals354151923[Team 1],$CU24,tblActuals354151923[Team 2],DJ$3)</f>
        <v>0</v>
      </c>
      <c r="DK24" s="56">
        <f>SUMIFS(tblActuals354151923[Team 2 Points],tblActuals354151923[Team 2],$CU24,tblActuals354151923[Team 1],DK$3)+SUMIFS(tblActuals354151923[Team 1 Points],tblActuals354151923[Team 1],$CU24,tblActuals354151923[Team 2],DK$3)</f>
        <v>0</v>
      </c>
      <c r="DL24" s="56">
        <f>SUMIFS(tblActuals354151923[Team 2 Points],tblActuals354151923[Team 2],$CU24,tblActuals354151923[Team 1],DL$3)+SUMIFS(tblActuals354151923[Team 1 Points],tblActuals354151923[Team 1],$CU24,tblActuals354151923[Team 2],DL$3)</f>
        <v>0</v>
      </c>
      <c r="DM24" s="56">
        <f>SUMIFS(tblActuals354151923[Team 2 Points],tblActuals354151923[Team 2],$CU24,tblActuals354151923[Team 1],DM$3)+SUMIFS(tblActuals354151923[Team 1 Points],tblActuals354151923[Team 1],$CU24,tblActuals354151923[Team 2],DM$3)</f>
        <v>0</v>
      </c>
      <c r="DN24" s="56">
        <f>SUMIFS(tblActuals354151923[Team 2 Points],tblActuals354151923[Team 2],$CU24,tblActuals354151923[Team 1],DN$3)+SUMIFS(tblActuals354151923[Team 1 Points],tblActuals354151923[Team 1],$CU24,tblActuals354151923[Team 2],DN$3)</f>
        <v>0</v>
      </c>
      <c r="DO24" s="56">
        <f>SUMIFS(tblActuals354151923[Team 2 Points],tblActuals354151923[Team 2],$CU24,tblActuals354151923[Team 1],DO$3)+SUMIFS(tblActuals354151923[Team 1 Points],tblActuals354151923[Team 1],$CU24,tblActuals354151923[Team 2],DO$3)</f>
        <v>0</v>
      </c>
      <c r="DP24" s="56">
        <f>SUMIFS(tblActuals354151923[Team 2 Points],tblActuals354151923[Team 2],$CU24,tblActuals354151923[Team 1],DP$3)+SUMIFS(tblActuals354151923[Team 1 Points],tblActuals354151923[Team 1],$CU24,tblActuals354151923[Team 2],DP$3)</f>
        <v>0</v>
      </c>
      <c r="DQ24" s="56">
        <f>SUMIFS(tblActuals354151923[Team 2 Points],tblActuals354151923[Team 2],$CU24,tblActuals354151923[Team 1],DQ$3)+SUMIFS(tblActuals354151923[Team 1 Points],tblActuals354151923[Team 1],$CU24,tblActuals354151923[Team 2],DQ$3)</f>
        <v>0</v>
      </c>
      <c r="DR24" s="56">
        <f>SUMIFS(tblActuals354151923[Team 2 Points],tblActuals354151923[Team 2],$CU24,tblActuals354151923[Team 1],DR$3)+SUMIFS(tblActuals354151923[Team 1 Points],tblActuals354151923[Team 1],$CU24,tblActuals354151923[Team 2],DR$3)</f>
        <v>0</v>
      </c>
      <c r="DS24" s="56">
        <f>SUMIFS(tblActuals354151923[Team 2 Points],tblActuals354151923[Team 2],$CU24,tblActuals354151923[Team 1],DS$3)+SUMIFS(tblActuals354151923[Team 1 Points],tblActuals354151923[Team 1],$CU24,tblActuals354151923[Team 2],DS$3)</f>
        <v>0</v>
      </c>
      <c r="DT24" s="57"/>
      <c r="DU24" s="57"/>
      <c r="DV24" s="57"/>
      <c r="DW24" s="57"/>
      <c r="DX24" s="57"/>
      <c r="DY24" s="57"/>
      <c r="DZ24" s="57"/>
      <c r="EA24" s="57"/>
      <c r="EB24" s="4"/>
      <c r="EC24" s="4" t="s">
        <v>133</v>
      </c>
      <c r="ED24" s="56">
        <f>SUMIFS(tblActuals354151923[Team 2 GD],tblActuals354151923[Team 2],$CU24,tblActuals354151923[Team 1],ED$3)+SUMIFS(tblActuals354151923[Team 1 GD],tblActuals354151923[Team 1],$CU24,tblActuals354151923[Team 2],ED$3)</f>
        <v>0</v>
      </c>
      <c r="EE24" s="56">
        <f>SUMIFS(tblActuals354151923[Team 2 GD],tblActuals354151923[Team 2],$CU24,tblActuals354151923[Team 1],EE$3)+SUMIFS(tblActuals354151923[Team 1 GD],tblActuals354151923[Team 1],$CU24,tblActuals354151923[Team 2],EE$3)</f>
        <v>0</v>
      </c>
      <c r="EF24" s="56">
        <f>SUMIFS(tblActuals354151923[Team 2 GD],tblActuals354151923[Team 2],$CU24,tblActuals354151923[Team 1],EF$3)+SUMIFS(tblActuals354151923[Team 1 GD],tblActuals354151923[Team 1],$CU24,tblActuals354151923[Team 2],EF$3)</f>
        <v>0</v>
      </c>
      <c r="EG24" s="56">
        <f>SUMIFS(tblActuals354151923[Team 2 GD],tblActuals354151923[Team 2],$CU24,tblActuals354151923[Team 1],EG$3)+SUMIFS(tblActuals354151923[Team 1 GD],tblActuals354151923[Team 1],$CU24,tblActuals354151923[Team 2],EG$3)</f>
        <v>0</v>
      </c>
      <c r="EH24" s="56">
        <f>SUMIFS(tblActuals354151923[Team 2 GD],tblActuals354151923[Team 2],$CU24,tblActuals354151923[Team 1],EH$3)+SUMIFS(tblActuals354151923[Team 1 GD],tblActuals354151923[Team 1],$CU24,tblActuals354151923[Team 2],EH$3)</f>
        <v>0</v>
      </c>
      <c r="EI24" s="56">
        <f>SUMIFS(tblActuals354151923[Team 2 GD],tblActuals354151923[Team 2],$CU24,tblActuals354151923[Team 1],EI$3)+SUMIFS(tblActuals354151923[Team 1 GD],tblActuals354151923[Team 1],$CU24,tblActuals354151923[Team 2],EI$3)</f>
        <v>0</v>
      </c>
      <c r="EJ24" s="56">
        <f>SUMIFS(tblActuals354151923[Team 2 GD],tblActuals354151923[Team 2],$CU24,tblActuals354151923[Team 1],EJ$3)+SUMIFS(tblActuals354151923[Team 1 GD],tblActuals354151923[Team 1],$CU24,tblActuals354151923[Team 2],EJ$3)</f>
        <v>0</v>
      </c>
      <c r="EK24" s="56">
        <f>SUMIFS(tblActuals354151923[Team 2 GD],tblActuals354151923[Team 2],$CU24,tblActuals354151923[Team 1],EK$3)+SUMIFS(tblActuals354151923[Team 1 GD],tblActuals354151923[Team 1],$CU24,tblActuals354151923[Team 2],EK$3)</f>
        <v>0</v>
      </c>
      <c r="EL24" s="56">
        <f>SUMIFS(tblActuals354151923[Team 2 GD],tblActuals354151923[Team 2],$CU24,tblActuals354151923[Team 1],EL$3)+SUMIFS(tblActuals354151923[Team 1 GD],tblActuals354151923[Team 1],$CU24,tblActuals354151923[Team 2],EL$3)</f>
        <v>0</v>
      </c>
      <c r="EM24" s="56">
        <f>SUMIFS(tblActuals354151923[Team 2 GD],tblActuals354151923[Team 2],$CU24,tblActuals354151923[Team 1],EM$3)+SUMIFS(tblActuals354151923[Team 1 GD],tblActuals354151923[Team 1],$CU24,tblActuals354151923[Team 2],EM$3)</f>
        <v>0</v>
      </c>
      <c r="EN24" s="56">
        <f>SUMIFS(tblActuals354151923[Team 2 GD],tblActuals354151923[Team 2],$CU24,tblActuals354151923[Team 1],EN$3)+SUMIFS(tblActuals354151923[Team 1 GD],tblActuals354151923[Team 1],$CU24,tblActuals354151923[Team 2],EN$3)</f>
        <v>0</v>
      </c>
      <c r="EO24" s="56">
        <f>SUMIFS(tblActuals354151923[Team 2 GD],tblActuals354151923[Team 2],$CU24,tblActuals354151923[Team 1],EO$3)+SUMIFS(tblActuals354151923[Team 1 GD],tblActuals354151923[Team 1],$CU24,tblActuals354151923[Team 2],EO$3)</f>
        <v>0</v>
      </c>
      <c r="EP24" s="56">
        <f>SUMIFS(tblActuals354151923[Team 2 GD],tblActuals354151923[Team 2],$CU24,tblActuals354151923[Team 1],EP$3)+SUMIFS(tblActuals354151923[Team 1 GD],tblActuals354151923[Team 1],$CU24,tblActuals354151923[Team 2],EP$3)</f>
        <v>0</v>
      </c>
      <c r="EQ24" s="56">
        <f>SUMIFS(tblActuals354151923[Team 2 GD],tblActuals354151923[Team 2],$CU24,tblActuals354151923[Team 1],EQ$3)+SUMIFS(tblActuals354151923[Team 1 GD],tblActuals354151923[Team 1],$CU24,tblActuals354151923[Team 2],EQ$3)</f>
        <v>0</v>
      </c>
      <c r="ER24" s="56">
        <f>SUMIFS(tblActuals354151923[Team 2 GD],tblActuals354151923[Team 2],$CU24,tblActuals354151923[Team 1],ER$3)+SUMIFS(tblActuals354151923[Team 1 GD],tblActuals354151923[Team 1],$CU24,tblActuals354151923[Team 2],ER$3)</f>
        <v>0</v>
      </c>
      <c r="ES24" s="56">
        <f>SUMIFS(tblActuals354151923[Team 2 GD],tblActuals354151923[Team 2],$CU24,tblActuals354151923[Team 1],ES$3)+SUMIFS(tblActuals354151923[Team 1 GD],tblActuals354151923[Team 1],$CU24,tblActuals354151923[Team 2],ES$3)</f>
        <v>0</v>
      </c>
      <c r="ET24" s="56">
        <f>SUMIFS(tblActuals354151923[Team 2 GD],tblActuals354151923[Team 2],$CU24,tblActuals354151923[Team 1],ET$3)+SUMIFS(tblActuals354151923[Team 1 GD],tblActuals354151923[Team 1],$CU24,tblActuals354151923[Team 2],ET$3)</f>
        <v>0</v>
      </c>
      <c r="EU24" s="56">
        <f>SUMIFS(tblActuals354151923[Team 2 GD],tblActuals354151923[Team 2],$CU24,tblActuals354151923[Team 1],EU$3)+SUMIFS(tblActuals354151923[Team 1 GD],tblActuals354151923[Team 1],$CU24,tblActuals354151923[Team 2],EU$3)</f>
        <v>0</v>
      </c>
      <c r="EV24" s="56">
        <f>SUMIFS(tblActuals354151923[Team 2 GD],tblActuals354151923[Team 2],$CU24,tblActuals354151923[Team 1],EV$3)+SUMIFS(tblActuals354151923[Team 1 GD],tblActuals354151923[Team 1],$CU24,tblActuals354151923[Team 2],EV$3)</f>
        <v>0</v>
      </c>
      <c r="EW24" s="56">
        <f>SUMIFS(tblActuals354151923[Team 2 GD],tblActuals354151923[Team 2],$CU24,tblActuals354151923[Team 1],EW$3)+SUMIFS(tblActuals354151923[Team 1 GD],tblActuals354151923[Team 1],$CU24,tblActuals354151923[Team 2],EW$3)</f>
        <v>0</v>
      </c>
      <c r="EX24" s="56">
        <f>SUMIFS(tblActuals354151923[Team 2 GD],tblActuals354151923[Team 2],$CU24,tblActuals354151923[Team 1],EX$3)+SUMIFS(tblActuals354151923[Team 1 GD],tblActuals354151923[Team 1],$CU24,tblActuals354151923[Team 2],EX$3)</f>
        <v>0</v>
      </c>
      <c r="EY24" s="56">
        <f>SUMIFS(tblActuals354151923[Team 2 GD],tblActuals354151923[Team 2],$CU24,tblActuals354151923[Team 1],EY$3)+SUMIFS(tblActuals354151923[Team 1 GD],tblActuals354151923[Team 1],$CU24,tblActuals354151923[Team 2],EY$3)</f>
        <v>0</v>
      </c>
      <c r="EZ24" s="56">
        <f>SUMIFS(tblActuals354151923[Team 2 GD],tblActuals354151923[Team 2],$CU24,tblActuals354151923[Team 1],EZ$3)+SUMIFS(tblActuals354151923[Team 1 GD],tblActuals354151923[Team 1],$CU24,tblActuals354151923[Team 2],EZ$3)</f>
        <v>0</v>
      </c>
      <c r="FA24" s="56">
        <f>SUMIFS(tblActuals354151923[Team 2 GD],tblActuals354151923[Team 2],$CU24,tblActuals354151923[Team 1],FA$3)+SUMIFS(tblActuals354151923[Team 1 GD],tblActuals354151923[Team 1],$CU24,tblActuals354151923[Team 2],FA$3)</f>
        <v>0</v>
      </c>
      <c r="FB24" s="57"/>
      <c r="FC24" s="57"/>
      <c r="FD24" s="57"/>
      <c r="FE24" s="57"/>
      <c r="FF24" s="57"/>
      <c r="FG24" s="57"/>
      <c r="FH24" s="57"/>
      <c r="FI24" s="57"/>
      <c r="FJ24" s="4"/>
      <c r="FK24" s="4" t="s">
        <v>133</v>
      </c>
      <c r="FL24" s="56">
        <f>SUMIFS(tblActuals354151923[Team 2 Goals],tblActuals354151923[Team 2],$CU24,tblActuals354151923[Team 1],FL$3)+SUMIFS(tblActuals354151923[Team 1 Goals],tblActuals354151923[Team 1],$CU24,tblActuals354151923[Team 2],FL$3)</f>
        <v>0</v>
      </c>
      <c r="FM24" s="56">
        <f>SUMIFS(tblActuals354151923[Team 2 Goals],tblActuals354151923[Team 2],$CU24,tblActuals354151923[Team 1],FM$3)+SUMIFS(tblActuals354151923[Team 1 Goals],tblActuals354151923[Team 1],$CU24,tblActuals354151923[Team 2],FM$3)</f>
        <v>0</v>
      </c>
      <c r="FN24" s="56">
        <f>SUMIFS(tblActuals354151923[Team 2 Goals],tblActuals354151923[Team 2],$CU24,tblActuals354151923[Team 1],FN$3)+SUMIFS(tblActuals354151923[Team 1 Goals],tblActuals354151923[Team 1],$CU24,tblActuals354151923[Team 2],FN$3)</f>
        <v>0</v>
      </c>
      <c r="FO24" s="56">
        <f>SUMIFS(tblActuals354151923[Team 2 Goals],tblActuals354151923[Team 2],$CU24,tblActuals354151923[Team 1],FO$3)+SUMIFS(tblActuals354151923[Team 1 Goals],tblActuals354151923[Team 1],$CU24,tblActuals354151923[Team 2],FO$3)</f>
        <v>0</v>
      </c>
      <c r="FP24" s="56">
        <f>SUMIFS(tblActuals354151923[Team 2 Goals],tblActuals354151923[Team 2],$CU24,tblActuals354151923[Team 1],FP$3)+SUMIFS(tblActuals354151923[Team 1 Goals],tblActuals354151923[Team 1],$CU24,tblActuals354151923[Team 2],FP$3)</f>
        <v>0</v>
      </c>
      <c r="FQ24" s="56">
        <f>SUMIFS(tblActuals354151923[Team 2 Goals],tblActuals354151923[Team 2],$CU24,tblActuals354151923[Team 1],FQ$3)+SUMIFS(tblActuals354151923[Team 1 Goals],tblActuals354151923[Team 1],$CU24,tblActuals354151923[Team 2],FQ$3)</f>
        <v>0</v>
      </c>
      <c r="FR24" s="56">
        <f>SUMIFS(tblActuals354151923[Team 2 Goals],tblActuals354151923[Team 2],$CU24,tblActuals354151923[Team 1],FR$3)+SUMIFS(tblActuals354151923[Team 1 Goals],tblActuals354151923[Team 1],$CU24,tblActuals354151923[Team 2],FR$3)</f>
        <v>0</v>
      </c>
      <c r="FS24" s="56">
        <f>SUMIFS(tblActuals354151923[Team 2 Goals],tblActuals354151923[Team 2],$CU24,tblActuals354151923[Team 1],FS$3)+SUMIFS(tblActuals354151923[Team 1 Goals],tblActuals354151923[Team 1],$CU24,tblActuals354151923[Team 2],FS$3)</f>
        <v>0</v>
      </c>
      <c r="FT24" s="56">
        <f>SUMIFS(tblActuals354151923[Team 2 Goals],tblActuals354151923[Team 2],$CU24,tblActuals354151923[Team 1],FT$3)+SUMIFS(tblActuals354151923[Team 1 Goals],tblActuals354151923[Team 1],$CU24,tblActuals354151923[Team 2],FT$3)</f>
        <v>0</v>
      </c>
      <c r="FU24" s="56">
        <f>SUMIFS(tblActuals354151923[Team 2 Goals],tblActuals354151923[Team 2],$CU24,tblActuals354151923[Team 1],FU$3)+SUMIFS(tblActuals354151923[Team 1 Goals],tblActuals354151923[Team 1],$CU24,tblActuals354151923[Team 2],FU$3)</f>
        <v>0</v>
      </c>
      <c r="FV24" s="56">
        <f>SUMIFS(tblActuals354151923[Team 2 Goals],tblActuals354151923[Team 2],$CU24,tblActuals354151923[Team 1],FV$3)+SUMIFS(tblActuals354151923[Team 1 Goals],tblActuals354151923[Team 1],$CU24,tblActuals354151923[Team 2],FV$3)</f>
        <v>0</v>
      </c>
      <c r="FW24" s="56">
        <f>SUMIFS(tblActuals354151923[Team 2 Goals],tblActuals354151923[Team 2],$CU24,tblActuals354151923[Team 1],FW$3)+SUMIFS(tblActuals354151923[Team 1 Goals],tblActuals354151923[Team 1],$CU24,tblActuals354151923[Team 2],FW$3)</f>
        <v>0</v>
      </c>
      <c r="FX24" s="56">
        <f>SUMIFS(tblActuals354151923[Team 2 Goals],tblActuals354151923[Team 2],$CU24,tblActuals354151923[Team 1],FX$3)+SUMIFS(tblActuals354151923[Team 1 Goals],tblActuals354151923[Team 1],$CU24,tblActuals354151923[Team 2],FX$3)</f>
        <v>0</v>
      </c>
      <c r="FY24" s="56">
        <f>SUMIFS(tblActuals354151923[Team 2 Goals],tblActuals354151923[Team 2],$CU24,tblActuals354151923[Team 1],FY$3)+SUMIFS(tblActuals354151923[Team 1 Goals],tblActuals354151923[Team 1],$CU24,tblActuals354151923[Team 2],FY$3)</f>
        <v>0</v>
      </c>
      <c r="FZ24" s="56">
        <f>SUMIFS(tblActuals354151923[Team 2 Goals],tblActuals354151923[Team 2],$CU24,tblActuals354151923[Team 1],FZ$3)+SUMIFS(tblActuals354151923[Team 1 Goals],tblActuals354151923[Team 1],$CU24,tblActuals354151923[Team 2],FZ$3)</f>
        <v>0</v>
      </c>
      <c r="GA24" s="56">
        <f>SUMIFS(tblActuals354151923[Team 2 Goals],tblActuals354151923[Team 2],$CU24,tblActuals354151923[Team 1],GA$3)+SUMIFS(tblActuals354151923[Team 1 Goals],tblActuals354151923[Team 1],$CU24,tblActuals354151923[Team 2],GA$3)</f>
        <v>0</v>
      </c>
      <c r="GB24" s="56">
        <f>SUMIFS(tblActuals354151923[Team 2 Goals],tblActuals354151923[Team 2],$CU24,tblActuals354151923[Team 1],GB$3)+SUMIFS(tblActuals354151923[Team 1 Goals],tblActuals354151923[Team 1],$CU24,tblActuals354151923[Team 2],GB$3)</f>
        <v>0</v>
      </c>
      <c r="GC24" s="56">
        <f>SUMIFS(tblActuals354151923[Team 2 Goals],tblActuals354151923[Team 2],$CU24,tblActuals354151923[Team 1],GC$3)+SUMIFS(tblActuals354151923[Team 1 Goals],tblActuals354151923[Team 1],$CU24,tblActuals354151923[Team 2],GC$3)</f>
        <v>0</v>
      </c>
      <c r="GD24" s="56">
        <f>SUMIFS(tblActuals354151923[Team 2 Goals],tblActuals354151923[Team 2],$CU24,tblActuals354151923[Team 1],GD$3)+SUMIFS(tblActuals354151923[Team 1 Goals],tblActuals354151923[Team 1],$CU24,tblActuals354151923[Team 2],GD$3)</f>
        <v>0</v>
      </c>
      <c r="GE24" s="56">
        <f>SUMIFS(tblActuals354151923[Team 2 Goals],tblActuals354151923[Team 2],$CU24,tblActuals354151923[Team 1],GE$3)+SUMIFS(tblActuals354151923[Team 1 Goals],tblActuals354151923[Team 1],$CU24,tblActuals354151923[Team 2],GE$3)</f>
        <v>0</v>
      </c>
      <c r="GF24" s="56">
        <f>SUMIFS(tblActuals354151923[Team 2 Goals],tblActuals354151923[Team 2],$CU24,tblActuals354151923[Team 1],GF$3)+SUMIFS(tblActuals354151923[Team 1 Goals],tblActuals354151923[Team 1],$CU24,tblActuals354151923[Team 2],GF$3)</f>
        <v>0</v>
      </c>
      <c r="GG24" s="56">
        <f>SUMIFS(tblActuals354151923[Team 2 Goals],tblActuals354151923[Team 2],$CU24,tblActuals354151923[Team 1],GG$3)+SUMIFS(tblActuals354151923[Team 1 Goals],tblActuals354151923[Team 1],$CU24,tblActuals354151923[Team 2],GG$3)</f>
        <v>0</v>
      </c>
      <c r="GH24" s="56">
        <f>SUMIFS(tblActuals354151923[Team 2 Goals],tblActuals354151923[Team 2],$CU24,tblActuals354151923[Team 1],GH$3)+SUMIFS(tblActuals354151923[Team 1 Goals],tblActuals354151923[Team 1],$CU24,tblActuals354151923[Team 2],GH$3)</f>
        <v>0</v>
      </c>
      <c r="GI24" s="56">
        <f>SUMIFS(tblActuals354151923[Team 2 Goals],tblActuals354151923[Team 2],$CU24,tblActuals354151923[Team 1],GI$3)+SUMIFS(tblActuals354151923[Team 1 Goals],tblActuals354151923[Team 1],$CU24,tblActuals354151923[Team 2],GI$3)</f>
        <v>0</v>
      </c>
      <c r="GJ24" s="57"/>
      <c r="GK24" s="57"/>
      <c r="GL24" s="37"/>
      <c r="GM24" s="37"/>
      <c r="GN24" s="37"/>
      <c r="GO24" s="37"/>
      <c r="GP24" s="37"/>
      <c r="GQ24" s="37"/>
      <c r="GR24" s="75"/>
      <c r="GS24" s="148"/>
      <c r="GT24" s="148"/>
      <c r="GU24" s="75"/>
      <c r="GV24" s="75"/>
      <c r="GW24" s="75"/>
      <c r="GX24" s="75"/>
      <c r="GY24" s="75"/>
      <c r="GZ24" s="75"/>
    </row>
    <row r="25" spans="1:221" s="11" customFormat="1" ht="30" customHeight="1" x14ac:dyDescent="0.25">
      <c r="A25" s="20"/>
      <c r="B25" s="122">
        <v>22</v>
      </c>
      <c r="C25" s="122" t="s">
        <v>12</v>
      </c>
      <c r="D25" s="123">
        <v>45465</v>
      </c>
      <c r="E25" s="122" t="s">
        <v>79</v>
      </c>
      <c r="F25" s="124">
        <v>0.875</v>
      </c>
      <c r="G25" s="125">
        <f t="shared" si="11"/>
        <v>45465.625</v>
      </c>
      <c r="H25" s="122" t="s">
        <v>110</v>
      </c>
      <c r="I25" s="126"/>
      <c r="J25" s="118"/>
      <c r="K25" s="118"/>
      <c r="L25" s="174">
        <f>IF(I25="",0,IFERROR(IF(SCORING.RULES!$C$8="No",1,((VLOOKUP($B25,ACTUALS!$B$4:$L$100,7,FALSE)=$H25)+(VLOOKUP($B25,ACTUALS!$B$4:$L$100,7,FALSE)=S25)))*(M25+N25+O25+P25+Q25),0))+$R25</f>
        <v>0</v>
      </c>
      <c r="M25" s="168">
        <f>IFERROR(IF($B25="","",IF(U25=INDEX(ACTUALS!$AA$4:$AA$100,MATCH($B25,ACTUALS!$B$4:$B$100,0),1),CorrectScore,0)),0)</f>
        <v>0</v>
      </c>
      <c r="N25" s="157" t="str">
        <f>IFERROR(IF(I25="","",IF(INDEX(ACTUALS!$AB$4:$AB$100,MATCH($B25,ACTUALS!$B$4:$B$100,0),1)=(AB25+AC25+AH25+AI25),CorrectNumberofGoals,0)),0)</f>
        <v/>
      </c>
      <c r="O25" s="157"/>
      <c r="P25" s="157">
        <f>IFERROR(IF(B25="","",IF(INDEX(ACTUALS!$L$4:$L$100,MATCH($B25,ACTUALS!$B$4:$B$100,0),1)=W25,CorrectResult,0)),0)</f>
        <v>3</v>
      </c>
      <c r="Q25" s="157"/>
      <c r="R25" s="157"/>
      <c r="S25" s="157" t="str">
        <f t="shared" si="0"/>
        <v/>
      </c>
      <c r="T25" s="157"/>
      <c r="U25" s="157" t="str">
        <f t="shared" si="1"/>
        <v/>
      </c>
      <c r="V25" s="157" t="str">
        <f t="shared" si="2"/>
        <v/>
      </c>
      <c r="W25" s="119" t="str">
        <f>IF(tblActuals354151923[[#This Row],[SCORE]]="","",IF(AB25=AC25,"Draw",IF(AB25&gt;AC25,X25,Y25)))</f>
        <v/>
      </c>
      <c r="X25" s="120" t="str">
        <f>IF(tblActuals354151923[[#This Row],[TEAMS]]="","",LEFT(H25,FIND(" -",H25,1)-1))</f>
        <v>Belgium</v>
      </c>
      <c r="Y25" s="120" t="str">
        <f>IF(tblActuals354151923[[#This Row],[TEAMS]]="","",MID(H25,FIND("-",H25,1)+2,LEN(H25)-FIND("-",H25,1)+2))</f>
        <v>Romania</v>
      </c>
      <c r="Z25" s="120" t="str">
        <f>IF(tblActuals354151923[[#This Row],[Team 1 Goals]]&gt;tblActuals354151923[[#This Row],[Team 2 Goals]],tblActuals354151923[[#This Row],[Team 1]],IF(tblActuals354151923[[#This Row],[Team 2 Goals]]&gt;tblActuals354151923[[#This Row],[Team 1 Goals]],tblActuals354151923[[#This Row],[Team 2]],""))</f>
        <v/>
      </c>
      <c r="AA25" s="120" t="str">
        <f>IF(tblActuals354151923[[#This Row],[Winner]]=tblActuals354151923[[#This Row],[Team 1]],tblActuals354151923[[#This Row],[Team 2]],IF(tblActuals354151923[[#This Row],[Winner]]=tblActuals354151923[[#This Row],[Team 2]],tblActuals354151923[[#This Row],[Team 1]],""))</f>
        <v/>
      </c>
      <c r="AB25" s="120" t="str">
        <f>IF(tblActuals354151923[[#This Row],[SCORE]]="","",LEFT(I25,FIND(":",I25,1)-1)*1)</f>
        <v/>
      </c>
      <c r="AC25" s="120" t="str">
        <f>IF(tblActuals354151923[[#This Row],[SCORE]]="","",MID(I25,FIND(":",I25,1)+1,LEN(I25)-FIND(":",I25,1)+1)*1)</f>
        <v/>
      </c>
      <c r="AD25" s="120" t="str">
        <f>IF(OR(tblActuals354151923[[#This Row],[Team 1 Goals]]="",tblActuals354151923[[#This Row],[Team 2 Goals]]=""),"",tblActuals354151923[[#This Row],[Team 1 Goals]]-tblActuals354151923[[#This Row],[Team 2 Goals]])</f>
        <v/>
      </c>
      <c r="AE25" s="120" t="str">
        <f>IF(OR(tblActuals354151923[[#This Row],[Team 1 Goals]]="",tblActuals354151923[[#This Row],[Team 2 Goals]]=""),"",tblActuals354151923[[#This Row],[Team 2 Goals]]-tblActuals354151923[[#This Row],[Team 1 Goals]])</f>
        <v/>
      </c>
      <c r="AF25" s="120" t="str">
        <f>IF(tblActuals354151923[[#This Row],[SCORE]]="","",IF(tblActuals354151923[[#This Row],[WINNER / RESULT]]="Draw",1,IF(tblActuals354151923[[#This Row],[WINNER / RESULT]]=tblActuals354151923[[#This Row],[Team 1]],3,0)))</f>
        <v/>
      </c>
      <c r="AG25" s="120" t="str">
        <f>IF(tblActuals354151923[[#This Row],[SCORE]]="","",IF(tblActuals354151923[[#This Row],[WINNER / RESULT]]="Draw",1,IF(tblActuals354151923[[#This Row],[WINNER / RESULT]]=tblActuals354151923[[#This Row],[Team 2]],3,0)))</f>
        <v/>
      </c>
      <c r="AH25" s="121"/>
      <c r="AI25" s="121"/>
      <c r="AJ25" s="121"/>
      <c r="AK25" s="121"/>
      <c r="AL25" s="120" t="e">
        <f>tblActuals354151923[[#This Row],[Team 1 Goals]]+tblActuals354151923[[#This Row],[Team 1 ET Goals]]&amp;":"&amp;tblActuals354151923[[#This Row],[Team 2 Goals]]+tblActuals354151923[[#This Row],[Team 2 ET Goals]]</f>
        <v>#VALUE!</v>
      </c>
      <c r="AM25" s="120" t="e">
        <f>+tblActuals354151923[[#This Row],[Team 1 Goals]]+tblActuals354151923[[#This Row],[Team 2 Goals]]</f>
        <v>#VALUE!</v>
      </c>
      <c r="AN25" s="161">
        <f t="shared" si="3"/>
        <v>45465</v>
      </c>
      <c r="AT25" s="77" t="s">
        <v>7</v>
      </c>
      <c r="AU25" s="139">
        <v>2</v>
      </c>
      <c r="AV25" s="140" t="str">
        <f ca="1">IFERROR(INDEX(BD:BD,MATCH("2"&amp;AT25,BN:BN,0),1),"")</f>
        <v>France</v>
      </c>
      <c r="AW25" s="140" t="str">
        <f ca="1">IF(AV25="","",VLOOKUP(AV25,BD:BI,2,FALSE)&amp;"-"&amp;VLOOKUP(AV25,BD:BI,3,FALSE)&amp;"-"&amp;VLOOKUP(AV25,BD:BI,4,FALSE))</f>
        <v>0-0-0</v>
      </c>
      <c r="AX25" s="140">
        <f ca="1">IF(AV25="","",VLOOKUP(AV25,BD:BK,8,FALSE))</f>
        <v>0</v>
      </c>
      <c r="AY25" s="141">
        <f ca="1">IF(AV25="","",VLOOKUP(AV25,BD:BN,5,FALSE))</f>
        <v>0</v>
      </c>
      <c r="AZ25" s="75"/>
      <c r="BA25" s="4"/>
      <c r="BB25" s="4"/>
      <c r="BC25" s="4" t="s">
        <v>12</v>
      </c>
      <c r="BD25" s="4" t="s">
        <v>131</v>
      </c>
      <c r="BE25" s="4">
        <f>COUNTIF(tblActuals354151923[Winner],BD25)</f>
        <v>0</v>
      </c>
      <c r="BF25" s="4">
        <f>COUNTIFS(tblActuals354151923[Team 2],BD25,tblActuals354151923[WINNER / RESULT],"Draw")+COUNTIFS(tblActuals354151923[Team 1],BD25,tblActuals354151923[WINNER / RESULT],"Draw")</f>
        <v>0</v>
      </c>
      <c r="BG25" s="4">
        <f>COUNTIF(tblActuals354151923[Loser],BD25)</f>
        <v>0</v>
      </c>
      <c r="BH25" s="4">
        <f>BF25+(3*BE25)</f>
        <v>0</v>
      </c>
      <c r="BI25" s="4">
        <f>SUMIFS(tblActuals354151923[Team 1 Goals],tblActuals354151923[Team 1],BD25)+SUMIFS(tblActuals354151923[Team 2 Goals],tblActuals354151923[Team 2],BD25)</f>
        <v>0</v>
      </c>
      <c r="BJ25" s="4">
        <f>SUMIFS(tblActuals354151923[Team 2 Goals],tblActuals354151923[Team 1],BD25)+SUMIFS(tblActuals354151923[Team 1 Goals],tblActuals354151923[Team 2],BD25)</f>
        <v>0</v>
      </c>
      <c r="BK25" s="4">
        <f>BI25-BJ25</f>
        <v>0</v>
      </c>
      <c r="BL25" s="4">
        <f ca="1">RANK(BY25,$BY$24:$BY$27,1)</f>
        <v>2</v>
      </c>
      <c r="BM25" s="4" t="str">
        <f t="shared" si="4"/>
        <v/>
      </c>
      <c r="BN25" s="4" t="str">
        <f ca="1">IF(BM25="",BL25&amp;BC25,BM25&amp;BC25)</f>
        <v>2E</v>
      </c>
      <c r="BO25" s="4">
        <f>RANK(BH25,$BH$24:$BH$27,0)</f>
        <v>1</v>
      </c>
      <c r="BP25" s="4" cm="1">
        <f t="array" aca="1" ref="BP25" ca="1">SUMPRODUCT((OFFSET($CV$3:$EA$3,MATCH($BD25,$CU$4:$CU$35,0),0))*((IF($BO26=$BO25,$CV$3:$EA$3=$BD26,0))+(IF($BO27=$BO25,$CV$3:$EA$3=$BD27,0))+(IF($BO24=$BO25,$CV$3:$EA$3=$BD24,0))))</f>
        <v>0</v>
      </c>
      <c r="BQ25" s="4" cm="1">
        <f t="array" aca="1" ref="BQ25" ca="1">SUMPRODUCT((OFFSET($ED$3:$FI$3,MATCH($BD25,$EC$4:$EC$35,0),0))*((IF($BO26=$BO25,$ED$3:$FI$3=$BD26,0))+(IF($BO27=$BO25,$ED$3:$FI$3=$BD27,0))+(IF($BO24=$BO25,$ED$3:$FI$3=$BD24,0))))</f>
        <v>0</v>
      </c>
      <c r="BR25" s="4" cm="1">
        <f t="array" aca="1" ref="BR25" ca="1">SUMPRODUCT((OFFSET($FL$3:$GQ$3,MATCH($BD25,$FK$4:$FK$35,0),0))*((IF($BO26=$BO25,$FL$3:$GQ$3=$BD26,0))+(IF($BO27=$BO25,$FL$3:$GQ$3=$BD27,0))+(IF($BO24=$BO25,$FL$3:$GQ$3=$BD24,0))))</f>
        <v>0</v>
      </c>
      <c r="BS25" s="4" cm="1">
        <f t="array" aca="1" ref="BS25" ca="1">SUMPRODUCT((OFFSET($CV$3:$EA$3,MATCH($BD25,$CU$4:$CU$35,0),0))*((IF($BO26&lt;&gt;$BO25,$CV$3:$EA$3=$BD26,0))+(IF($BO27&lt;&gt;$BO25,$CV$3:$EA$3=$BD27,0))+(IF($BO24&lt;&gt;$BO25,$CV$3:$EA$3=$BD24,0))))</f>
        <v>0</v>
      </c>
      <c r="BT25" s="4" cm="1">
        <f t="array" aca="1" ref="BT25" ca="1">SUMPRODUCT((OFFSET($ED$3:$FI$3,MATCH($BD25,$EC$4:$EC$35,0),0))*((IF($BO26&lt;&gt;$BO25,$ED$3:$FI$3=$BD26,0))+(IF($BO27&lt;&gt;$BO25,$ED$3:$FI$3=$BD27,0))+(IF($BO24&lt;&gt;$BO25,$ED$3:$FI$3=$BD24,0))))</f>
        <v>0</v>
      </c>
      <c r="BU25" s="4" cm="1">
        <f t="array" aca="1" ref="BU25" ca="1">SUMPRODUCT((OFFSET($FL$3:$GQ$3,MATCH($BD25,$FK$4:$FK$35,0),0))*((IF($BO26&lt;&gt;$BO25,$FL$3:$GQ$3=$BD26,0))+(IF($BO27&lt;&gt;$BO25,$FL$3:$GQ$3=$BD27,0))+(IF($BO24&lt;&gt;$BO25,$FL$3:$GQ$3=$BD24,0))))</f>
        <v>0</v>
      </c>
      <c r="BV25" s="4">
        <f>BK25</f>
        <v>0</v>
      </c>
      <c r="BW25" s="4">
        <f>BI25</f>
        <v>0</v>
      </c>
      <c r="BX25" s="4">
        <f ca="1">(BP25/10)+(BQ25/100)+(BR25/1000)+(BT25/10000)+(BU25/100000)+(BV25/1000000)+(BW25/10000000)+(ROW(BS26)/100000000)</f>
        <v>2.6E-7</v>
      </c>
      <c r="BY25" s="4">
        <f ca="1">+BO25-BX25</f>
        <v>0.99999974000000003</v>
      </c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U25" s="4" t="s">
        <v>134</v>
      </c>
      <c r="CV25" s="56">
        <f>SUMIFS(tblActuals354151923[Team 2 Points],tblActuals354151923[Team 2],$CU25,tblActuals354151923[Team 1],CV$3)+SUMIFS(tblActuals354151923[Team 1 Points],tblActuals354151923[Team 1],$CU25,tblActuals354151923[Team 2],CV$3)</f>
        <v>0</v>
      </c>
      <c r="CW25" s="56">
        <f>SUMIFS(tblActuals354151923[Team 2 Points],tblActuals354151923[Team 2],$CU25,tblActuals354151923[Team 1],CW$3)+SUMIFS(tblActuals354151923[Team 1 Points],tblActuals354151923[Team 1],$CU25,tblActuals354151923[Team 2],CW$3)</f>
        <v>0</v>
      </c>
      <c r="CX25" s="56">
        <f>SUMIFS(tblActuals354151923[Team 2 Points],tblActuals354151923[Team 2],$CU25,tblActuals354151923[Team 1],CX$3)+SUMIFS(tblActuals354151923[Team 1 Points],tblActuals354151923[Team 1],$CU25,tblActuals354151923[Team 2],CX$3)</f>
        <v>0</v>
      </c>
      <c r="CY25" s="56">
        <f>SUMIFS(tblActuals354151923[Team 2 Points],tblActuals354151923[Team 2],$CU25,tblActuals354151923[Team 1],CY$3)+SUMIFS(tblActuals354151923[Team 1 Points],tblActuals354151923[Team 1],$CU25,tblActuals354151923[Team 2],CY$3)</f>
        <v>0</v>
      </c>
      <c r="CZ25" s="56">
        <f>SUMIFS(tblActuals354151923[Team 2 Points],tblActuals354151923[Team 2],$CU25,tblActuals354151923[Team 1],CZ$3)+SUMIFS(tblActuals354151923[Team 1 Points],tblActuals354151923[Team 1],$CU25,tblActuals354151923[Team 2],CZ$3)</f>
        <v>0</v>
      </c>
      <c r="DA25" s="56">
        <f>SUMIFS(tblActuals354151923[Team 2 Points],tblActuals354151923[Team 2],$CU25,tblActuals354151923[Team 1],DA$3)+SUMIFS(tblActuals354151923[Team 1 Points],tblActuals354151923[Team 1],$CU25,tblActuals354151923[Team 2],DA$3)</f>
        <v>0</v>
      </c>
      <c r="DB25" s="56">
        <f>SUMIFS(tblActuals354151923[Team 2 Points],tblActuals354151923[Team 2],$CU25,tblActuals354151923[Team 1],DB$3)+SUMIFS(tblActuals354151923[Team 1 Points],tblActuals354151923[Team 1],$CU25,tblActuals354151923[Team 2],DB$3)</f>
        <v>0</v>
      </c>
      <c r="DC25" s="56">
        <f>SUMIFS(tblActuals354151923[Team 2 Points],tblActuals354151923[Team 2],$CU25,tblActuals354151923[Team 1],DC$3)+SUMIFS(tblActuals354151923[Team 1 Points],tblActuals354151923[Team 1],$CU25,tblActuals354151923[Team 2],DC$3)</f>
        <v>0</v>
      </c>
      <c r="DD25" s="56">
        <f>SUMIFS(tblActuals354151923[Team 2 Points],tblActuals354151923[Team 2],$CU25,tblActuals354151923[Team 1],DD$3)+SUMIFS(tblActuals354151923[Team 1 Points],tblActuals354151923[Team 1],$CU25,tblActuals354151923[Team 2],DD$3)</f>
        <v>0</v>
      </c>
      <c r="DE25" s="56">
        <f>SUMIFS(tblActuals354151923[Team 2 Points],tblActuals354151923[Team 2],$CU25,tblActuals354151923[Team 1],DE$3)+SUMIFS(tblActuals354151923[Team 1 Points],tblActuals354151923[Team 1],$CU25,tblActuals354151923[Team 2],DE$3)</f>
        <v>0</v>
      </c>
      <c r="DF25" s="56">
        <f>SUMIFS(tblActuals354151923[Team 2 Points],tblActuals354151923[Team 2],$CU25,tblActuals354151923[Team 1],DF$3)+SUMIFS(tblActuals354151923[Team 1 Points],tblActuals354151923[Team 1],$CU25,tblActuals354151923[Team 2],DF$3)</f>
        <v>0</v>
      </c>
      <c r="DG25" s="56">
        <f>SUMIFS(tblActuals354151923[Team 2 Points],tblActuals354151923[Team 2],$CU25,tblActuals354151923[Team 1],DG$3)+SUMIFS(tblActuals354151923[Team 1 Points],tblActuals354151923[Team 1],$CU25,tblActuals354151923[Team 2],DG$3)</f>
        <v>0</v>
      </c>
      <c r="DH25" s="56">
        <f>SUMIFS(tblActuals354151923[Team 2 Points],tblActuals354151923[Team 2],$CU25,tblActuals354151923[Team 1],DH$3)+SUMIFS(tblActuals354151923[Team 1 Points],tblActuals354151923[Team 1],$CU25,tblActuals354151923[Team 2],DH$3)</f>
        <v>0</v>
      </c>
      <c r="DI25" s="56">
        <f>SUMIFS(tblActuals354151923[Team 2 Points],tblActuals354151923[Team 2],$CU25,tblActuals354151923[Team 1],DI$3)+SUMIFS(tblActuals354151923[Team 1 Points],tblActuals354151923[Team 1],$CU25,tblActuals354151923[Team 2],DI$3)</f>
        <v>0</v>
      </c>
      <c r="DJ25" s="56">
        <f>SUMIFS(tblActuals354151923[Team 2 Points],tblActuals354151923[Team 2],$CU25,tblActuals354151923[Team 1],DJ$3)+SUMIFS(tblActuals354151923[Team 1 Points],tblActuals354151923[Team 1],$CU25,tblActuals354151923[Team 2],DJ$3)</f>
        <v>0</v>
      </c>
      <c r="DK25" s="56">
        <f>SUMIFS(tblActuals354151923[Team 2 Points],tblActuals354151923[Team 2],$CU25,tblActuals354151923[Team 1],DK$3)+SUMIFS(tblActuals354151923[Team 1 Points],tblActuals354151923[Team 1],$CU25,tblActuals354151923[Team 2],DK$3)</f>
        <v>0</v>
      </c>
      <c r="DL25" s="56">
        <f>SUMIFS(tblActuals354151923[Team 2 Points],tblActuals354151923[Team 2],$CU25,tblActuals354151923[Team 1],DL$3)+SUMIFS(tblActuals354151923[Team 1 Points],tblActuals354151923[Team 1],$CU25,tblActuals354151923[Team 2],DL$3)</f>
        <v>0</v>
      </c>
      <c r="DM25" s="56">
        <f>SUMIFS(tblActuals354151923[Team 2 Points],tblActuals354151923[Team 2],$CU25,tblActuals354151923[Team 1],DM$3)+SUMIFS(tblActuals354151923[Team 1 Points],tblActuals354151923[Team 1],$CU25,tblActuals354151923[Team 2],DM$3)</f>
        <v>0</v>
      </c>
      <c r="DN25" s="56">
        <f>SUMIFS(tblActuals354151923[Team 2 Points],tblActuals354151923[Team 2],$CU25,tblActuals354151923[Team 1],DN$3)+SUMIFS(tblActuals354151923[Team 1 Points],tblActuals354151923[Team 1],$CU25,tblActuals354151923[Team 2],DN$3)</f>
        <v>0</v>
      </c>
      <c r="DO25" s="56">
        <f>SUMIFS(tblActuals354151923[Team 2 Points],tblActuals354151923[Team 2],$CU25,tblActuals354151923[Team 1],DO$3)+SUMIFS(tblActuals354151923[Team 1 Points],tblActuals354151923[Team 1],$CU25,tblActuals354151923[Team 2],DO$3)</f>
        <v>0</v>
      </c>
      <c r="DP25" s="56">
        <f>SUMIFS(tblActuals354151923[Team 2 Points],tblActuals354151923[Team 2],$CU25,tblActuals354151923[Team 1],DP$3)+SUMIFS(tblActuals354151923[Team 1 Points],tblActuals354151923[Team 1],$CU25,tblActuals354151923[Team 2],DP$3)</f>
        <v>0</v>
      </c>
      <c r="DQ25" s="56">
        <f>SUMIFS(tblActuals354151923[Team 2 Points],tblActuals354151923[Team 2],$CU25,tblActuals354151923[Team 1],DQ$3)+SUMIFS(tblActuals354151923[Team 1 Points],tblActuals354151923[Team 1],$CU25,tblActuals354151923[Team 2],DQ$3)</f>
        <v>0</v>
      </c>
      <c r="DR25" s="56">
        <f>SUMIFS(tblActuals354151923[Team 2 Points],tblActuals354151923[Team 2],$CU25,tblActuals354151923[Team 1],DR$3)+SUMIFS(tblActuals354151923[Team 1 Points],tblActuals354151923[Team 1],$CU25,tblActuals354151923[Team 2],DR$3)</f>
        <v>0</v>
      </c>
      <c r="DS25" s="56">
        <f>SUMIFS(tblActuals354151923[Team 2 Points],tblActuals354151923[Team 2],$CU25,tblActuals354151923[Team 1],DS$3)+SUMIFS(tblActuals354151923[Team 1 Points],tblActuals354151923[Team 1],$CU25,tblActuals354151923[Team 2],DS$3)</f>
        <v>0</v>
      </c>
      <c r="DT25" s="57"/>
      <c r="DU25" s="57"/>
      <c r="DV25" s="57"/>
      <c r="DW25" s="57"/>
      <c r="DX25" s="57"/>
      <c r="DY25" s="57"/>
      <c r="DZ25" s="57"/>
      <c r="EA25" s="57"/>
      <c r="EB25" s="4"/>
      <c r="EC25" s="4" t="s">
        <v>134</v>
      </c>
      <c r="ED25" s="56">
        <f>SUMIFS(tblActuals354151923[Team 2 GD],tblActuals354151923[Team 2],$CU25,tblActuals354151923[Team 1],ED$3)+SUMIFS(tblActuals354151923[Team 1 GD],tblActuals354151923[Team 1],$CU25,tblActuals354151923[Team 2],ED$3)</f>
        <v>0</v>
      </c>
      <c r="EE25" s="56">
        <f>SUMIFS(tblActuals354151923[Team 2 GD],tblActuals354151923[Team 2],$CU25,tblActuals354151923[Team 1],EE$3)+SUMIFS(tblActuals354151923[Team 1 GD],tblActuals354151923[Team 1],$CU25,tblActuals354151923[Team 2],EE$3)</f>
        <v>0</v>
      </c>
      <c r="EF25" s="56">
        <f>SUMIFS(tblActuals354151923[Team 2 GD],tblActuals354151923[Team 2],$CU25,tblActuals354151923[Team 1],EF$3)+SUMIFS(tblActuals354151923[Team 1 GD],tblActuals354151923[Team 1],$CU25,tblActuals354151923[Team 2],EF$3)</f>
        <v>0</v>
      </c>
      <c r="EG25" s="56">
        <f>SUMIFS(tblActuals354151923[Team 2 GD],tblActuals354151923[Team 2],$CU25,tblActuals354151923[Team 1],EG$3)+SUMIFS(tblActuals354151923[Team 1 GD],tblActuals354151923[Team 1],$CU25,tblActuals354151923[Team 2],EG$3)</f>
        <v>0</v>
      </c>
      <c r="EH25" s="56">
        <f>SUMIFS(tblActuals354151923[Team 2 GD],tblActuals354151923[Team 2],$CU25,tblActuals354151923[Team 1],EH$3)+SUMIFS(tblActuals354151923[Team 1 GD],tblActuals354151923[Team 1],$CU25,tblActuals354151923[Team 2],EH$3)</f>
        <v>0</v>
      </c>
      <c r="EI25" s="56">
        <f>SUMIFS(tblActuals354151923[Team 2 GD],tblActuals354151923[Team 2],$CU25,tblActuals354151923[Team 1],EI$3)+SUMIFS(tblActuals354151923[Team 1 GD],tblActuals354151923[Team 1],$CU25,tblActuals354151923[Team 2],EI$3)</f>
        <v>0</v>
      </c>
      <c r="EJ25" s="56">
        <f>SUMIFS(tblActuals354151923[Team 2 GD],tblActuals354151923[Team 2],$CU25,tblActuals354151923[Team 1],EJ$3)+SUMIFS(tblActuals354151923[Team 1 GD],tblActuals354151923[Team 1],$CU25,tblActuals354151923[Team 2],EJ$3)</f>
        <v>0</v>
      </c>
      <c r="EK25" s="56">
        <f>SUMIFS(tblActuals354151923[Team 2 GD],tblActuals354151923[Team 2],$CU25,tblActuals354151923[Team 1],EK$3)+SUMIFS(tblActuals354151923[Team 1 GD],tblActuals354151923[Team 1],$CU25,tblActuals354151923[Team 2],EK$3)</f>
        <v>0</v>
      </c>
      <c r="EL25" s="56">
        <f>SUMIFS(tblActuals354151923[Team 2 GD],tblActuals354151923[Team 2],$CU25,tblActuals354151923[Team 1],EL$3)+SUMIFS(tblActuals354151923[Team 1 GD],tblActuals354151923[Team 1],$CU25,tblActuals354151923[Team 2],EL$3)</f>
        <v>0</v>
      </c>
      <c r="EM25" s="56">
        <f>SUMIFS(tblActuals354151923[Team 2 GD],tblActuals354151923[Team 2],$CU25,tblActuals354151923[Team 1],EM$3)+SUMIFS(tblActuals354151923[Team 1 GD],tblActuals354151923[Team 1],$CU25,tblActuals354151923[Team 2],EM$3)</f>
        <v>0</v>
      </c>
      <c r="EN25" s="56">
        <f>SUMIFS(tblActuals354151923[Team 2 GD],tblActuals354151923[Team 2],$CU25,tblActuals354151923[Team 1],EN$3)+SUMIFS(tblActuals354151923[Team 1 GD],tblActuals354151923[Team 1],$CU25,tblActuals354151923[Team 2],EN$3)</f>
        <v>0</v>
      </c>
      <c r="EO25" s="56">
        <f>SUMIFS(tblActuals354151923[Team 2 GD],tblActuals354151923[Team 2],$CU25,tblActuals354151923[Team 1],EO$3)+SUMIFS(tblActuals354151923[Team 1 GD],tblActuals354151923[Team 1],$CU25,tblActuals354151923[Team 2],EO$3)</f>
        <v>0</v>
      </c>
      <c r="EP25" s="56">
        <f>SUMIFS(tblActuals354151923[Team 2 GD],tblActuals354151923[Team 2],$CU25,tblActuals354151923[Team 1],EP$3)+SUMIFS(tblActuals354151923[Team 1 GD],tblActuals354151923[Team 1],$CU25,tblActuals354151923[Team 2],EP$3)</f>
        <v>0</v>
      </c>
      <c r="EQ25" s="56">
        <f>SUMIFS(tblActuals354151923[Team 2 GD],tblActuals354151923[Team 2],$CU25,tblActuals354151923[Team 1],EQ$3)+SUMIFS(tblActuals354151923[Team 1 GD],tblActuals354151923[Team 1],$CU25,tblActuals354151923[Team 2],EQ$3)</f>
        <v>0</v>
      </c>
      <c r="ER25" s="56">
        <f>SUMIFS(tblActuals354151923[Team 2 GD],tblActuals354151923[Team 2],$CU25,tblActuals354151923[Team 1],ER$3)+SUMIFS(tblActuals354151923[Team 1 GD],tblActuals354151923[Team 1],$CU25,tblActuals354151923[Team 2],ER$3)</f>
        <v>0</v>
      </c>
      <c r="ES25" s="56">
        <f>SUMIFS(tblActuals354151923[Team 2 GD],tblActuals354151923[Team 2],$CU25,tblActuals354151923[Team 1],ES$3)+SUMIFS(tblActuals354151923[Team 1 GD],tblActuals354151923[Team 1],$CU25,tblActuals354151923[Team 2],ES$3)</f>
        <v>0</v>
      </c>
      <c r="ET25" s="56">
        <f>SUMIFS(tblActuals354151923[Team 2 GD],tblActuals354151923[Team 2],$CU25,tblActuals354151923[Team 1],ET$3)+SUMIFS(tblActuals354151923[Team 1 GD],tblActuals354151923[Team 1],$CU25,tblActuals354151923[Team 2],ET$3)</f>
        <v>0</v>
      </c>
      <c r="EU25" s="56">
        <f>SUMIFS(tblActuals354151923[Team 2 GD],tblActuals354151923[Team 2],$CU25,tblActuals354151923[Team 1],EU$3)+SUMIFS(tblActuals354151923[Team 1 GD],tblActuals354151923[Team 1],$CU25,tblActuals354151923[Team 2],EU$3)</f>
        <v>0</v>
      </c>
      <c r="EV25" s="56">
        <f>SUMIFS(tblActuals354151923[Team 2 GD],tblActuals354151923[Team 2],$CU25,tblActuals354151923[Team 1],EV$3)+SUMIFS(tblActuals354151923[Team 1 GD],tblActuals354151923[Team 1],$CU25,tblActuals354151923[Team 2],EV$3)</f>
        <v>0</v>
      </c>
      <c r="EW25" s="56">
        <f>SUMIFS(tblActuals354151923[Team 2 GD],tblActuals354151923[Team 2],$CU25,tblActuals354151923[Team 1],EW$3)+SUMIFS(tblActuals354151923[Team 1 GD],tblActuals354151923[Team 1],$CU25,tblActuals354151923[Team 2],EW$3)</f>
        <v>0</v>
      </c>
      <c r="EX25" s="56">
        <f>SUMIFS(tblActuals354151923[Team 2 GD],tblActuals354151923[Team 2],$CU25,tblActuals354151923[Team 1],EX$3)+SUMIFS(tblActuals354151923[Team 1 GD],tblActuals354151923[Team 1],$CU25,tblActuals354151923[Team 2],EX$3)</f>
        <v>0</v>
      </c>
      <c r="EY25" s="56">
        <f>SUMIFS(tblActuals354151923[Team 2 GD],tblActuals354151923[Team 2],$CU25,tblActuals354151923[Team 1],EY$3)+SUMIFS(tblActuals354151923[Team 1 GD],tblActuals354151923[Team 1],$CU25,tblActuals354151923[Team 2],EY$3)</f>
        <v>0</v>
      </c>
      <c r="EZ25" s="56">
        <f>SUMIFS(tblActuals354151923[Team 2 GD],tblActuals354151923[Team 2],$CU25,tblActuals354151923[Team 1],EZ$3)+SUMIFS(tblActuals354151923[Team 1 GD],tblActuals354151923[Team 1],$CU25,tblActuals354151923[Team 2],EZ$3)</f>
        <v>0</v>
      </c>
      <c r="FA25" s="56">
        <f>SUMIFS(tblActuals354151923[Team 2 GD],tblActuals354151923[Team 2],$CU25,tblActuals354151923[Team 1],FA$3)+SUMIFS(tblActuals354151923[Team 1 GD],tblActuals354151923[Team 1],$CU25,tblActuals354151923[Team 2],FA$3)</f>
        <v>0</v>
      </c>
      <c r="FB25" s="57"/>
      <c r="FC25" s="57"/>
      <c r="FD25" s="57"/>
      <c r="FE25" s="57"/>
      <c r="FF25" s="57"/>
      <c r="FG25" s="57"/>
      <c r="FH25" s="57"/>
      <c r="FI25" s="57"/>
      <c r="FJ25" s="4"/>
      <c r="FK25" s="4" t="s">
        <v>134</v>
      </c>
      <c r="FL25" s="56">
        <f>SUMIFS(tblActuals354151923[Team 2 Goals],tblActuals354151923[Team 2],$CU25,tblActuals354151923[Team 1],FL$3)+SUMIFS(tblActuals354151923[Team 1 Goals],tblActuals354151923[Team 1],$CU25,tblActuals354151923[Team 2],FL$3)</f>
        <v>0</v>
      </c>
      <c r="FM25" s="56">
        <f>SUMIFS(tblActuals354151923[Team 2 Goals],tblActuals354151923[Team 2],$CU25,tblActuals354151923[Team 1],FM$3)+SUMIFS(tblActuals354151923[Team 1 Goals],tblActuals354151923[Team 1],$CU25,tblActuals354151923[Team 2],FM$3)</f>
        <v>0</v>
      </c>
      <c r="FN25" s="56">
        <f>SUMIFS(tblActuals354151923[Team 2 Goals],tblActuals354151923[Team 2],$CU25,tblActuals354151923[Team 1],FN$3)+SUMIFS(tblActuals354151923[Team 1 Goals],tblActuals354151923[Team 1],$CU25,tblActuals354151923[Team 2],FN$3)</f>
        <v>0</v>
      </c>
      <c r="FO25" s="56">
        <f>SUMIFS(tblActuals354151923[Team 2 Goals],tblActuals354151923[Team 2],$CU25,tblActuals354151923[Team 1],FO$3)+SUMIFS(tblActuals354151923[Team 1 Goals],tblActuals354151923[Team 1],$CU25,tblActuals354151923[Team 2],FO$3)</f>
        <v>0</v>
      </c>
      <c r="FP25" s="56">
        <f>SUMIFS(tblActuals354151923[Team 2 Goals],tblActuals354151923[Team 2],$CU25,tblActuals354151923[Team 1],FP$3)+SUMIFS(tblActuals354151923[Team 1 Goals],tblActuals354151923[Team 1],$CU25,tblActuals354151923[Team 2],FP$3)</f>
        <v>0</v>
      </c>
      <c r="FQ25" s="56">
        <f>SUMIFS(tblActuals354151923[Team 2 Goals],tblActuals354151923[Team 2],$CU25,tblActuals354151923[Team 1],FQ$3)+SUMIFS(tblActuals354151923[Team 1 Goals],tblActuals354151923[Team 1],$CU25,tblActuals354151923[Team 2],FQ$3)</f>
        <v>0</v>
      </c>
      <c r="FR25" s="56">
        <f>SUMIFS(tblActuals354151923[Team 2 Goals],tblActuals354151923[Team 2],$CU25,tblActuals354151923[Team 1],FR$3)+SUMIFS(tblActuals354151923[Team 1 Goals],tblActuals354151923[Team 1],$CU25,tblActuals354151923[Team 2],FR$3)</f>
        <v>0</v>
      </c>
      <c r="FS25" s="56">
        <f>SUMIFS(tblActuals354151923[Team 2 Goals],tblActuals354151923[Team 2],$CU25,tblActuals354151923[Team 1],FS$3)+SUMIFS(tblActuals354151923[Team 1 Goals],tblActuals354151923[Team 1],$CU25,tblActuals354151923[Team 2],FS$3)</f>
        <v>0</v>
      </c>
      <c r="FT25" s="56">
        <f>SUMIFS(tblActuals354151923[Team 2 Goals],tblActuals354151923[Team 2],$CU25,tblActuals354151923[Team 1],FT$3)+SUMIFS(tblActuals354151923[Team 1 Goals],tblActuals354151923[Team 1],$CU25,tblActuals354151923[Team 2],FT$3)</f>
        <v>0</v>
      </c>
      <c r="FU25" s="56">
        <f>SUMIFS(tblActuals354151923[Team 2 Goals],tblActuals354151923[Team 2],$CU25,tblActuals354151923[Team 1],FU$3)+SUMIFS(tblActuals354151923[Team 1 Goals],tblActuals354151923[Team 1],$CU25,tblActuals354151923[Team 2],FU$3)</f>
        <v>0</v>
      </c>
      <c r="FV25" s="56">
        <f>SUMIFS(tblActuals354151923[Team 2 Goals],tblActuals354151923[Team 2],$CU25,tblActuals354151923[Team 1],FV$3)+SUMIFS(tblActuals354151923[Team 1 Goals],tblActuals354151923[Team 1],$CU25,tblActuals354151923[Team 2],FV$3)</f>
        <v>0</v>
      </c>
      <c r="FW25" s="56">
        <f>SUMIFS(tblActuals354151923[Team 2 Goals],tblActuals354151923[Team 2],$CU25,tblActuals354151923[Team 1],FW$3)+SUMIFS(tblActuals354151923[Team 1 Goals],tblActuals354151923[Team 1],$CU25,tblActuals354151923[Team 2],FW$3)</f>
        <v>0</v>
      </c>
      <c r="FX25" s="56">
        <f>SUMIFS(tblActuals354151923[Team 2 Goals],tblActuals354151923[Team 2],$CU25,tblActuals354151923[Team 1],FX$3)+SUMIFS(tblActuals354151923[Team 1 Goals],tblActuals354151923[Team 1],$CU25,tblActuals354151923[Team 2],FX$3)</f>
        <v>0</v>
      </c>
      <c r="FY25" s="56">
        <f>SUMIFS(tblActuals354151923[Team 2 Goals],tblActuals354151923[Team 2],$CU25,tblActuals354151923[Team 1],FY$3)+SUMIFS(tblActuals354151923[Team 1 Goals],tblActuals354151923[Team 1],$CU25,tblActuals354151923[Team 2],FY$3)</f>
        <v>0</v>
      </c>
      <c r="FZ25" s="56">
        <f>SUMIFS(tblActuals354151923[Team 2 Goals],tblActuals354151923[Team 2],$CU25,tblActuals354151923[Team 1],FZ$3)+SUMIFS(tblActuals354151923[Team 1 Goals],tblActuals354151923[Team 1],$CU25,tblActuals354151923[Team 2],FZ$3)</f>
        <v>0</v>
      </c>
      <c r="GA25" s="56">
        <f>SUMIFS(tblActuals354151923[Team 2 Goals],tblActuals354151923[Team 2],$CU25,tblActuals354151923[Team 1],GA$3)+SUMIFS(tblActuals354151923[Team 1 Goals],tblActuals354151923[Team 1],$CU25,tblActuals354151923[Team 2],GA$3)</f>
        <v>0</v>
      </c>
      <c r="GB25" s="56">
        <f>SUMIFS(tblActuals354151923[Team 2 Goals],tblActuals354151923[Team 2],$CU25,tblActuals354151923[Team 1],GB$3)+SUMIFS(tblActuals354151923[Team 1 Goals],tblActuals354151923[Team 1],$CU25,tblActuals354151923[Team 2],GB$3)</f>
        <v>0</v>
      </c>
      <c r="GC25" s="56">
        <f>SUMIFS(tblActuals354151923[Team 2 Goals],tblActuals354151923[Team 2],$CU25,tblActuals354151923[Team 1],GC$3)+SUMIFS(tblActuals354151923[Team 1 Goals],tblActuals354151923[Team 1],$CU25,tblActuals354151923[Team 2],GC$3)</f>
        <v>0</v>
      </c>
      <c r="GD25" s="56">
        <f>SUMIFS(tblActuals354151923[Team 2 Goals],tblActuals354151923[Team 2],$CU25,tblActuals354151923[Team 1],GD$3)+SUMIFS(tblActuals354151923[Team 1 Goals],tblActuals354151923[Team 1],$CU25,tblActuals354151923[Team 2],GD$3)</f>
        <v>0</v>
      </c>
      <c r="GE25" s="56">
        <f>SUMIFS(tblActuals354151923[Team 2 Goals],tblActuals354151923[Team 2],$CU25,tblActuals354151923[Team 1],GE$3)+SUMIFS(tblActuals354151923[Team 1 Goals],tblActuals354151923[Team 1],$CU25,tblActuals354151923[Team 2],GE$3)</f>
        <v>0</v>
      </c>
      <c r="GF25" s="56">
        <f>SUMIFS(tblActuals354151923[Team 2 Goals],tblActuals354151923[Team 2],$CU25,tblActuals354151923[Team 1],GF$3)+SUMIFS(tblActuals354151923[Team 1 Goals],tblActuals354151923[Team 1],$CU25,tblActuals354151923[Team 2],GF$3)</f>
        <v>0</v>
      </c>
      <c r="GG25" s="56">
        <f>SUMIFS(tblActuals354151923[Team 2 Goals],tblActuals354151923[Team 2],$CU25,tblActuals354151923[Team 1],GG$3)+SUMIFS(tblActuals354151923[Team 1 Goals],tblActuals354151923[Team 1],$CU25,tblActuals354151923[Team 2],GG$3)</f>
        <v>0</v>
      </c>
      <c r="GH25" s="56">
        <f>SUMIFS(tblActuals354151923[Team 2 Goals],tblActuals354151923[Team 2],$CU25,tblActuals354151923[Team 1],GH$3)+SUMIFS(tblActuals354151923[Team 1 Goals],tblActuals354151923[Team 1],$CU25,tblActuals354151923[Team 2],GH$3)</f>
        <v>0</v>
      </c>
      <c r="GI25" s="56">
        <f>SUMIFS(tblActuals354151923[Team 2 Goals],tblActuals354151923[Team 2],$CU25,tblActuals354151923[Team 1],GI$3)+SUMIFS(tblActuals354151923[Team 1 Goals],tblActuals354151923[Team 1],$CU25,tblActuals354151923[Team 2],GI$3)</f>
        <v>0</v>
      </c>
      <c r="GJ25" s="57"/>
      <c r="GK25" s="57"/>
      <c r="GL25" s="37"/>
      <c r="GM25" s="37"/>
      <c r="GN25" s="37"/>
      <c r="GO25" s="37"/>
      <c r="GP25" s="37"/>
      <c r="GQ25" s="37"/>
      <c r="GR25" s="75"/>
      <c r="GS25" s="148"/>
      <c r="GT25" s="148"/>
      <c r="GU25" s="75"/>
      <c r="GV25" s="75"/>
      <c r="GW25" s="75"/>
      <c r="GX25" s="75"/>
      <c r="GY25" s="75"/>
      <c r="GZ25" s="75"/>
    </row>
    <row r="26" spans="1:221" s="11" customFormat="1" ht="30" customHeight="1" x14ac:dyDescent="0.25">
      <c r="A26" s="20"/>
      <c r="B26" s="122">
        <v>23</v>
      </c>
      <c r="C26" s="122" t="s">
        <v>45</v>
      </c>
      <c r="D26" s="123">
        <v>45465</v>
      </c>
      <c r="E26" s="122" t="s">
        <v>81</v>
      </c>
      <c r="F26" s="124">
        <v>0.75</v>
      </c>
      <c r="G26" s="125">
        <f t="shared" si="11"/>
        <v>45465.5</v>
      </c>
      <c r="H26" s="122" t="s">
        <v>111</v>
      </c>
      <c r="I26" s="126"/>
      <c r="J26" s="118"/>
      <c r="K26" s="118"/>
      <c r="L26" s="174">
        <f>IF(I26="",0,IFERROR(IF(SCORING.RULES!$C$8="No",1,((VLOOKUP($B26,ACTUALS!$B$4:$L$100,7,FALSE)=$H26)+(VLOOKUP($B26,ACTUALS!$B$4:$L$100,7,FALSE)=S26)))*(M26+N26+O26+P26+Q26),0))+$R26</f>
        <v>0</v>
      </c>
      <c r="M26" s="168">
        <f>IFERROR(IF($B26="","",IF(U26=INDEX(ACTUALS!$AA$4:$AA$100,MATCH($B26,ACTUALS!$B$4:$B$100,0),1),CorrectScore,0)),0)</f>
        <v>0</v>
      </c>
      <c r="N26" s="157" t="str">
        <f>IFERROR(IF(I26="","",IF(INDEX(ACTUALS!$AB$4:$AB$100,MATCH($B26,ACTUALS!$B$4:$B$100,0),1)=(AB26+AC26+AH26+AI26),CorrectNumberofGoals,0)),0)</f>
        <v/>
      </c>
      <c r="O26" s="157"/>
      <c r="P26" s="157">
        <f>IFERROR(IF(B26="","",IF(INDEX(ACTUALS!$L$4:$L$100,MATCH($B26,ACTUALS!$B$4:$B$100,0),1)=W26,CorrectResult,0)),0)</f>
        <v>3</v>
      </c>
      <c r="Q26" s="157"/>
      <c r="R26" s="157"/>
      <c r="S26" s="157" t="str">
        <f t="shared" si="0"/>
        <v/>
      </c>
      <c r="T26" s="157"/>
      <c r="U26" s="157" t="str">
        <f t="shared" si="1"/>
        <v/>
      </c>
      <c r="V26" s="157" t="str">
        <f t="shared" si="2"/>
        <v/>
      </c>
      <c r="W26" s="119" t="str">
        <f>IF(tblActuals354151923[[#This Row],[SCORE]]="","",IF(AB26=AC26,"Draw",IF(AB26&gt;AC26,X26,Y26)))</f>
        <v/>
      </c>
      <c r="X26" s="120" t="str">
        <f>IF(tblActuals354151923[[#This Row],[TEAMS]]="","",LEFT(H26,FIND(" -",H26,1)-1))</f>
        <v>Turkey</v>
      </c>
      <c r="Y26" s="120" t="str">
        <f>IF(tblActuals354151923[[#This Row],[TEAMS]]="","",MID(H26,FIND("-",H26,1)+2,LEN(H26)-FIND("-",H26,1)+2))</f>
        <v>Portugal</v>
      </c>
      <c r="Z26" s="120" t="str">
        <f>IF(tblActuals354151923[[#This Row],[Team 1 Goals]]&gt;tblActuals354151923[[#This Row],[Team 2 Goals]],tblActuals354151923[[#This Row],[Team 1]],IF(tblActuals354151923[[#This Row],[Team 2 Goals]]&gt;tblActuals354151923[[#This Row],[Team 1 Goals]],tblActuals354151923[[#This Row],[Team 2]],""))</f>
        <v/>
      </c>
      <c r="AA26" s="120" t="str">
        <f>IF(tblActuals354151923[[#This Row],[Winner]]=tblActuals354151923[[#This Row],[Team 1]],tblActuals354151923[[#This Row],[Team 2]],IF(tblActuals354151923[[#This Row],[Winner]]=tblActuals354151923[[#This Row],[Team 2]],tblActuals354151923[[#This Row],[Team 1]],""))</f>
        <v/>
      </c>
      <c r="AB26" s="120" t="str">
        <f>IF(tblActuals354151923[[#This Row],[SCORE]]="","",LEFT(I26,FIND(":",I26,1)-1)*1)</f>
        <v/>
      </c>
      <c r="AC26" s="120" t="str">
        <f>IF(tblActuals354151923[[#This Row],[SCORE]]="","",MID(I26,FIND(":",I26,1)+1,LEN(I26)-FIND(":",I26,1)+1)*1)</f>
        <v/>
      </c>
      <c r="AD26" s="120" t="str">
        <f>IF(OR(tblActuals354151923[[#This Row],[Team 1 Goals]]="",tblActuals354151923[[#This Row],[Team 2 Goals]]=""),"",tblActuals354151923[[#This Row],[Team 1 Goals]]-tblActuals354151923[[#This Row],[Team 2 Goals]])</f>
        <v/>
      </c>
      <c r="AE26" s="120" t="str">
        <f>IF(OR(tblActuals354151923[[#This Row],[Team 1 Goals]]="",tblActuals354151923[[#This Row],[Team 2 Goals]]=""),"",tblActuals354151923[[#This Row],[Team 2 Goals]]-tblActuals354151923[[#This Row],[Team 1 Goals]])</f>
        <v/>
      </c>
      <c r="AF26" s="120" t="str">
        <f>IF(tblActuals354151923[[#This Row],[SCORE]]="","",IF(tblActuals354151923[[#This Row],[WINNER / RESULT]]="Draw",1,IF(tblActuals354151923[[#This Row],[WINNER / RESULT]]=tblActuals354151923[[#This Row],[Team 1]],3,0)))</f>
        <v/>
      </c>
      <c r="AG26" s="120" t="str">
        <f>IF(tblActuals354151923[[#This Row],[SCORE]]="","",IF(tblActuals354151923[[#This Row],[WINNER / RESULT]]="Draw",1,IF(tblActuals354151923[[#This Row],[WINNER / RESULT]]=tblActuals354151923[[#This Row],[Team 2]],3,0)))</f>
        <v/>
      </c>
      <c r="AH26" s="121"/>
      <c r="AI26" s="121"/>
      <c r="AJ26" s="121"/>
      <c r="AK26" s="121"/>
      <c r="AL26" s="120" t="e">
        <f>tblActuals354151923[[#This Row],[Team 1 Goals]]+tblActuals354151923[[#This Row],[Team 1 ET Goals]]&amp;":"&amp;tblActuals354151923[[#This Row],[Team 2 Goals]]+tblActuals354151923[[#This Row],[Team 2 ET Goals]]</f>
        <v>#VALUE!</v>
      </c>
      <c r="AM26" s="120" t="e">
        <f>+tblActuals354151923[[#This Row],[Team 1 Goals]]+tblActuals354151923[[#This Row],[Team 2 Goals]]</f>
        <v>#VALUE!</v>
      </c>
      <c r="AN26" s="161">
        <f t="shared" si="3"/>
        <v>45465</v>
      </c>
      <c r="AT26" s="77" t="s">
        <v>7</v>
      </c>
      <c r="AU26" s="142">
        <v>3</v>
      </c>
      <c r="AV26" s="143" t="str">
        <f ca="1">IFERROR(INDEX(BD:BD,MATCH("3"&amp;AT26,BN:BN,0),1),"")</f>
        <v>Netherlands</v>
      </c>
      <c r="AW26" s="143" t="str">
        <f ca="1">IF(AV26="","",VLOOKUP(AV26,BD:BI,2,FALSE)&amp;"-"&amp;VLOOKUP(AV26,BD:BI,3,FALSE)&amp;"-"&amp;VLOOKUP(AV26,BD:BI,4,FALSE))</f>
        <v>0-0-0</v>
      </c>
      <c r="AX26" s="143">
        <f ca="1">IF(AV26="","",VLOOKUP(AV26,BD:BK,8,FALSE))</f>
        <v>0</v>
      </c>
      <c r="AY26" s="144">
        <f ca="1">IF(AV26="","",VLOOKUP(AV26,BD:BN,5,FALSE))</f>
        <v>0</v>
      </c>
      <c r="AZ26" s="75" t="str">
        <f ca="1">IF(INDEX($AU$43:$AU$48,MATCH(AV26,$AV$43:$AV$48,0),1)&lt;=4,"X","")</f>
        <v>X</v>
      </c>
      <c r="BA26" s="4"/>
      <c r="BB26" s="4"/>
      <c r="BC26" s="4" t="s">
        <v>12</v>
      </c>
      <c r="BD26" s="4" t="s">
        <v>130</v>
      </c>
      <c r="BE26" s="4">
        <f>COUNTIF(tblActuals354151923[Winner],BD26)</f>
        <v>0</v>
      </c>
      <c r="BF26" s="4">
        <f>COUNTIFS(tblActuals354151923[Team 2],BD26,tblActuals354151923[WINNER / RESULT],"Draw")+COUNTIFS(tblActuals354151923[Team 1],BD26,tblActuals354151923[WINNER / RESULT],"Draw")</f>
        <v>0</v>
      </c>
      <c r="BG26" s="4">
        <f>COUNTIF(tblActuals354151923[Loser],BD26)</f>
        <v>0</v>
      </c>
      <c r="BH26" s="4">
        <f>BF26+(3*BE26)</f>
        <v>0</v>
      </c>
      <c r="BI26" s="4">
        <f>SUMIFS(tblActuals354151923[Team 1 Goals],tblActuals354151923[Team 1],BD26)+SUMIFS(tblActuals354151923[Team 2 Goals],tblActuals354151923[Team 2],BD26)</f>
        <v>0</v>
      </c>
      <c r="BJ26" s="4">
        <f>SUMIFS(tblActuals354151923[Team 2 Goals],tblActuals354151923[Team 1],BD26)+SUMIFS(tblActuals354151923[Team 1 Goals],tblActuals354151923[Team 2],BD26)</f>
        <v>0</v>
      </c>
      <c r="BK26" s="4">
        <f>BI26-BJ26</f>
        <v>0</v>
      </c>
      <c r="BL26" s="4">
        <f ca="1">RANK(BY26,$BY$24:$BY$27,1)</f>
        <v>3</v>
      </c>
      <c r="BM26" s="4" t="str">
        <f t="shared" si="4"/>
        <v/>
      </c>
      <c r="BN26" s="4" t="str">
        <f ca="1">IF(BM26="",BL26&amp;BC26,BM26&amp;BC26)</f>
        <v>3E</v>
      </c>
      <c r="BO26" s="4">
        <f>RANK(BH26,$BH$24:$BH$27,0)</f>
        <v>1</v>
      </c>
      <c r="BP26" s="4" cm="1">
        <f t="array" aca="1" ref="BP26" ca="1">SUMPRODUCT((OFFSET($CV$3:$EA$3,MATCH($BD26,$CU$4:$CU$35,0),0))*((IF($BO24=$BO26,$CV$3:$EA$3=$BD24,0))+(IF($BO27=$BO26,$CV$3:$EA$3=$BD27,0))+(IF($BO25=$BO26,$CV$3:$EA$3=$BD25,0))))</f>
        <v>0</v>
      </c>
      <c r="BQ26" s="4" cm="1">
        <f t="array" aca="1" ref="BQ26" ca="1">SUMPRODUCT((OFFSET($ED$3:$FI$3,MATCH($BD26,$EC$4:$EC$35,0),0))*((IF($BO24=$BO26,$ED$3:$FI$3=$BD24,0))+(IF($BO27=$BO26,$ED$3:$FI$3=$BD27,0))+(IF($BO25=$BO26,$ED$3:$FI$3=$BD25,0))))</f>
        <v>0</v>
      </c>
      <c r="BR26" s="4" cm="1">
        <f t="array" aca="1" ref="BR26" ca="1">SUMPRODUCT((OFFSET($FL$3:$GQ$3,MATCH($BD26,$FK$4:$FK$35,0),0))*((IF($BO24=$BO26,$FL$3:$GQ$3=$BD24,0))+(IF($BO27=$BO26,$FL$3:$GQ$3=$BD27,0))+(IF($BO25=$BO26,$FL$3:$GQ$3=$BD25,0))))</f>
        <v>0</v>
      </c>
      <c r="BS26" s="4" cm="1">
        <f t="array" aca="1" ref="BS26" ca="1">SUMPRODUCT((OFFSET($CV$3:$EA$3,MATCH($BD26,$CU$4:$CU$35,0),0))*((IF($BO24&lt;&gt;$BO26,$CV$3:$EA$3=$BD24,0))+(IF($BO27&lt;&gt;$BO26,$CV$3:$EA$3=$BD27,0))+(IF($BO25&lt;&gt;$BO26,$CV$3:$EA$3=$BD25,0))))</f>
        <v>0</v>
      </c>
      <c r="BT26" s="4" cm="1">
        <f t="array" aca="1" ref="BT26" ca="1">SUMPRODUCT((OFFSET($ED$3:$FI$3,MATCH($BD26,$EC$4:$EC$35,0),0))*((IF($BO24&lt;&gt;$BO26,$ED$3:$FI$3=$BD24,0))+(IF($BO27&lt;&gt;$BO26,$ED$3:$FI$3=$BD27,0))+(IF($BO25&lt;&gt;$BO26,$ED$3:$FI$3=$BD25,0))))</f>
        <v>0</v>
      </c>
      <c r="BU26" s="4" cm="1">
        <f t="array" aca="1" ref="BU26" ca="1">SUMPRODUCT((OFFSET($FL$3:$GQ$3,MATCH($BD26,$FK$4:$FK$35,0),0))*((IF($BO24&lt;&gt;$BO26,$FL$3:$GQ$3=$BD24,0))+(IF($BO27&lt;&gt;$BO26,$FL$3:$GQ$3=$BD27,0))+(IF($BO25&lt;&gt;$BO26,$FL$3:$GQ$3=$BD25,0))))</f>
        <v>0</v>
      </c>
      <c r="BV26" s="4">
        <f>BK26</f>
        <v>0</v>
      </c>
      <c r="BW26" s="4">
        <f>BI26</f>
        <v>0</v>
      </c>
      <c r="BX26" s="4">
        <f ca="1">(BP26/10)+(BQ26/100)+(BR26/1000)+(BT26/10000)+(BU26/100000)+(BV26/1000000)+(BW26/10000000)+(ROW(BS25)/100000000)</f>
        <v>2.4999999999999999E-7</v>
      </c>
      <c r="BY26" s="4">
        <f ca="1">+BO26-BX26</f>
        <v>0.99999974999999997</v>
      </c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U26" s="4" t="s">
        <v>30</v>
      </c>
      <c r="CV26" s="56">
        <f>SUMIFS(tblActuals354151923[Team 2 Points],tblActuals354151923[Team 2],$CU26,tblActuals354151923[Team 1],CV$3)+SUMIFS(tblActuals354151923[Team 1 Points],tblActuals354151923[Team 1],$CU26,tblActuals354151923[Team 2],CV$3)</f>
        <v>0</v>
      </c>
      <c r="CW26" s="56">
        <f>SUMIFS(tblActuals354151923[Team 2 Points],tblActuals354151923[Team 2],$CU26,tblActuals354151923[Team 1],CW$3)+SUMIFS(tblActuals354151923[Team 1 Points],tblActuals354151923[Team 1],$CU26,tblActuals354151923[Team 2],CW$3)</f>
        <v>0</v>
      </c>
      <c r="CX26" s="56">
        <f>SUMIFS(tblActuals354151923[Team 2 Points],tblActuals354151923[Team 2],$CU26,tblActuals354151923[Team 1],CX$3)+SUMIFS(tblActuals354151923[Team 1 Points],tblActuals354151923[Team 1],$CU26,tblActuals354151923[Team 2],CX$3)</f>
        <v>0</v>
      </c>
      <c r="CY26" s="56">
        <f>SUMIFS(tblActuals354151923[Team 2 Points],tblActuals354151923[Team 2],$CU26,tblActuals354151923[Team 1],CY$3)+SUMIFS(tblActuals354151923[Team 1 Points],tblActuals354151923[Team 1],$CU26,tblActuals354151923[Team 2],CY$3)</f>
        <v>0</v>
      </c>
      <c r="CZ26" s="56">
        <f>SUMIFS(tblActuals354151923[Team 2 Points],tblActuals354151923[Team 2],$CU26,tblActuals354151923[Team 1],CZ$3)+SUMIFS(tblActuals354151923[Team 1 Points],tblActuals354151923[Team 1],$CU26,tblActuals354151923[Team 2],CZ$3)</f>
        <v>0</v>
      </c>
      <c r="DA26" s="56">
        <f>SUMIFS(tblActuals354151923[Team 2 Points],tblActuals354151923[Team 2],$CU26,tblActuals354151923[Team 1],DA$3)+SUMIFS(tblActuals354151923[Team 1 Points],tblActuals354151923[Team 1],$CU26,tblActuals354151923[Team 2],DA$3)</f>
        <v>0</v>
      </c>
      <c r="DB26" s="56">
        <f>SUMIFS(tblActuals354151923[Team 2 Points],tblActuals354151923[Team 2],$CU26,tblActuals354151923[Team 1],DB$3)+SUMIFS(tblActuals354151923[Team 1 Points],tblActuals354151923[Team 1],$CU26,tblActuals354151923[Team 2],DB$3)</f>
        <v>0</v>
      </c>
      <c r="DC26" s="56">
        <f>SUMIFS(tblActuals354151923[Team 2 Points],tblActuals354151923[Team 2],$CU26,tblActuals354151923[Team 1],DC$3)+SUMIFS(tblActuals354151923[Team 1 Points],tblActuals354151923[Team 1],$CU26,tblActuals354151923[Team 2],DC$3)</f>
        <v>0</v>
      </c>
      <c r="DD26" s="56">
        <f>SUMIFS(tblActuals354151923[Team 2 Points],tblActuals354151923[Team 2],$CU26,tblActuals354151923[Team 1],DD$3)+SUMIFS(tblActuals354151923[Team 1 Points],tblActuals354151923[Team 1],$CU26,tblActuals354151923[Team 2],DD$3)</f>
        <v>0</v>
      </c>
      <c r="DE26" s="56">
        <f>SUMIFS(tblActuals354151923[Team 2 Points],tblActuals354151923[Team 2],$CU26,tblActuals354151923[Team 1],DE$3)+SUMIFS(tblActuals354151923[Team 1 Points],tblActuals354151923[Team 1],$CU26,tblActuals354151923[Team 2],DE$3)</f>
        <v>0</v>
      </c>
      <c r="DF26" s="56">
        <f>SUMIFS(tblActuals354151923[Team 2 Points],tblActuals354151923[Team 2],$CU26,tblActuals354151923[Team 1],DF$3)+SUMIFS(tblActuals354151923[Team 1 Points],tblActuals354151923[Team 1],$CU26,tblActuals354151923[Team 2],DF$3)</f>
        <v>0</v>
      </c>
      <c r="DG26" s="56">
        <f>SUMIFS(tblActuals354151923[Team 2 Points],tblActuals354151923[Team 2],$CU26,tblActuals354151923[Team 1],DG$3)+SUMIFS(tblActuals354151923[Team 1 Points],tblActuals354151923[Team 1],$CU26,tblActuals354151923[Team 2],DG$3)</f>
        <v>0</v>
      </c>
      <c r="DH26" s="56">
        <f>SUMIFS(tblActuals354151923[Team 2 Points],tblActuals354151923[Team 2],$CU26,tblActuals354151923[Team 1],DH$3)+SUMIFS(tblActuals354151923[Team 1 Points],tblActuals354151923[Team 1],$CU26,tblActuals354151923[Team 2],DH$3)</f>
        <v>0</v>
      </c>
      <c r="DI26" s="56">
        <f>SUMIFS(tblActuals354151923[Team 2 Points],tblActuals354151923[Team 2],$CU26,tblActuals354151923[Team 1],DI$3)+SUMIFS(tblActuals354151923[Team 1 Points],tblActuals354151923[Team 1],$CU26,tblActuals354151923[Team 2],DI$3)</f>
        <v>0</v>
      </c>
      <c r="DJ26" s="56">
        <f>SUMIFS(tblActuals354151923[Team 2 Points],tblActuals354151923[Team 2],$CU26,tblActuals354151923[Team 1],DJ$3)+SUMIFS(tblActuals354151923[Team 1 Points],tblActuals354151923[Team 1],$CU26,tblActuals354151923[Team 2],DJ$3)</f>
        <v>0</v>
      </c>
      <c r="DK26" s="56">
        <f>SUMIFS(tblActuals354151923[Team 2 Points],tblActuals354151923[Team 2],$CU26,tblActuals354151923[Team 1],DK$3)+SUMIFS(tblActuals354151923[Team 1 Points],tblActuals354151923[Team 1],$CU26,tblActuals354151923[Team 2],DK$3)</f>
        <v>0</v>
      </c>
      <c r="DL26" s="56">
        <f>SUMIFS(tblActuals354151923[Team 2 Points],tblActuals354151923[Team 2],$CU26,tblActuals354151923[Team 1],DL$3)+SUMIFS(tblActuals354151923[Team 1 Points],tblActuals354151923[Team 1],$CU26,tblActuals354151923[Team 2],DL$3)</f>
        <v>0</v>
      </c>
      <c r="DM26" s="56">
        <f>SUMIFS(tblActuals354151923[Team 2 Points],tblActuals354151923[Team 2],$CU26,tblActuals354151923[Team 1],DM$3)+SUMIFS(tblActuals354151923[Team 1 Points],tblActuals354151923[Team 1],$CU26,tblActuals354151923[Team 2],DM$3)</f>
        <v>0</v>
      </c>
      <c r="DN26" s="56">
        <f>SUMIFS(tblActuals354151923[Team 2 Points],tblActuals354151923[Team 2],$CU26,tblActuals354151923[Team 1],DN$3)+SUMIFS(tblActuals354151923[Team 1 Points],tblActuals354151923[Team 1],$CU26,tblActuals354151923[Team 2],DN$3)</f>
        <v>0</v>
      </c>
      <c r="DO26" s="56">
        <f>SUMIFS(tblActuals354151923[Team 2 Points],tblActuals354151923[Team 2],$CU26,tblActuals354151923[Team 1],DO$3)+SUMIFS(tblActuals354151923[Team 1 Points],tblActuals354151923[Team 1],$CU26,tblActuals354151923[Team 2],DO$3)</f>
        <v>0</v>
      </c>
      <c r="DP26" s="56">
        <f>SUMIFS(tblActuals354151923[Team 2 Points],tblActuals354151923[Team 2],$CU26,tblActuals354151923[Team 1],DP$3)+SUMIFS(tblActuals354151923[Team 1 Points],tblActuals354151923[Team 1],$CU26,tblActuals354151923[Team 2],DP$3)</f>
        <v>0</v>
      </c>
      <c r="DQ26" s="56">
        <f>SUMIFS(tblActuals354151923[Team 2 Points],tblActuals354151923[Team 2],$CU26,tblActuals354151923[Team 1],DQ$3)+SUMIFS(tblActuals354151923[Team 1 Points],tblActuals354151923[Team 1],$CU26,tblActuals354151923[Team 2],DQ$3)</f>
        <v>0</v>
      </c>
      <c r="DR26" s="56">
        <f>SUMIFS(tblActuals354151923[Team 2 Points],tblActuals354151923[Team 2],$CU26,tblActuals354151923[Team 1],DR$3)+SUMIFS(tblActuals354151923[Team 1 Points],tblActuals354151923[Team 1],$CU26,tblActuals354151923[Team 2],DR$3)</f>
        <v>0</v>
      </c>
      <c r="DS26" s="56">
        <f>SUMIFS(tblActuals354151923[Team 2 Points],tblActuals354151923[Team 2],$CU26,tblActuals354151923[Team 1],DS$3)+SUMIFS(tblActuals354151923[Team 1 Points],tblActuals354151923[Team 1],$CU26,tblActuals354151923[Team 2],DS$3)</f>
        <v>0</v>
      </c>
      <c r="DT26" s="57"/>
      <c r="DU26" s="57"/>
      <c r="DV26" s="57"/>
      <c r="DW26" s="57"/>
      <c r="DX26" s="57"/>
      <c r="DY26" s="57"/>
      <c r="DZ26" s="57"/>
      <c r="EA26" s="57"/>
      <c r="EB26" s="4"/>
      <c r="EC26" s="4" t="s">
        <v>30</v>
      </c>
      <c r="ED26" s="56">
        <f>SUMIFS(tblActuals354151923[Team 2 GD],tblActuals354151923[Team 2],$CU26,tblActuals354151923[Team 1],ED$3)+SUMIFS(tblActuals354151923[Team 1 GD],tblActuals354151923[Team 1],$CU26,tblActuals354151923[Team 2],ED$3)</f>
        <v>0</v>
      </c>
      <c r="EE26" s="56">
        <f>SUMIFS(tblActuals354151923[Team 2 GD],tblActuals354151923[Team 2],$CU26,tblActuals354151923[Team 1],EE$3)+SUMIFS(tblActuals354151923[Team 1 GD],tblActuals354151923[Team 1],$CU26,tblActuals354151923[Team 2],EE$3)</f>
        <v>0</v>
      </c>
      <c r="EF26" s="56">
        <f>SUMIFS(tblActuals354151923[Team 2 GD],tblActuals354151923[Team 2],$CU26,tblActuals354151923[Team 1],EF$3)+SUMIFS(tblActuals354151923[Team 1 GD],tblActuals354151923[Team 1],$CU26,tblActuals354151923[Team 2],EF$3)</f>
        <v>0</v>
      </c>
      <c r="EG26" s="56">
        <f>SUMIFS(tblActuals354151923[Team 2 GD],tblActuals354151923[Team 2],$CU26,tblActuals354151923[Team 1],EG$3)+SUMIFS(tblActuals354151923[Team 1 GD],tblActuals354151923[Team 1],$CU26,tblActuals354151923[Team 2],EG$3)</f>
        <v>0</v>
      </c>
      <c r="EH26" s="56">
        <f>SUMIFS(tblActuals354151923[Team 2 GD],tblActuals354151923[Team 2],$CU26,tblActuals354151923[Team 1],EH$3)+SUMIFS(tblActuals354151923[Team 1 GD],tblActuals354151923[Team 1],$CU26,tblActuals354151923[Team 2],EH$3)</f>
        <v>0</v>
      </c>
      <c r="EI26" s="56">
        <f>SUMIFS(tblActuals354151923[Team 2 GD],tblActuals354151923[Team 2],$CU26,tblActuals354151923[Team 1],EI$3)+SUMIFS(tblActuals354151923[Team 1 GD],tblActuals354151923[Team 1],$CU26,tblActuals354151923[Team 2],EI$3)</f>
        <v>0</v>
      </c>
      <c r="EJ26" s="56">
        <f>SUMIFS(tblActuals354151923[Team 2 GD],tblActuals354151923[Team 2],$CU26,tblActuals354151923[Team 1],EJ$3)+SUMIFS(tblActuals354151923[Team 1 GD],tblActuals354151923[Team 1],$CU26,tblActuals354151923[Team 2],EJ$3)</f>
        <v>0</v>
      </c>
      <c r="EK26" s="56">
        <f>SUMIFS(tblActuals354151923[Team 2 GD],tblActuals354151923[Team 2],$CU26,tblActuals354151923[Team 1],EK$3)+SUMIFS(tblActuals354151923[Team 1 GD],tblActuals354151923[Team 1],$CU26,tblActuals354151923[Team 2],EK$3)</f>
        <v>0</v>
      </c>
      <c r="EL26" s="56">
        <f>SUMIFS(tblActuals354151923[Team 2 GD],tblActuals354151923[Team 2],$CU26,tblActuals354151923[Team 1],EL$3)+SUMIFS(tblActuals354151923[Team 1 GD],tblActuals354151923[Team 1],$CU26,tblActuals354151923[Team 2],EL$3)</f>
        <v>0</v>
      </c>
      <c r="EM26" s="56">
        <f>SUMIFS(tblActuals354151923[Team 2 GD],tblActuals354151923[Team 2],$CU26,tblActuals354151923[Team 1],EM$3)+SUMIFS(tblActuals354151923[Team 1 GD],tblActuals354151923[Team 1],$CU26,tblActuals354151923[Team 2],EM$3)</f>
        <v>0</v>
      </c>
      <c r="EN26" s="56">
        <f>SUMIFS(tblActuals354151923[Team 2 GD],tblActuals354151923[Team 2],$CU26,tblActuals354151923[Team 1],EN$3)+SUMIFS(tblActuals354151923[Team 1 GD],tblActuals354151923[Team 1],$CU26,tblActuals354151923[Team 2],EN$3)</f>
        <v>0</v>
      </c>
      <c r="EO26" s="56">
        <f>SUMIFS(tblActuals354151923[Team 2 GD],tblActuals354151923[Team 2],$CU26,tblActuals354151923[Team 1],EO$3)+SUMIFS(tblActuals354151923[Team 1 GD],tblActuals354151923[Team 1],$CU26,tblActuals354151923[Team 2],EO$3)</f>
        <v>0</v>
      </c>
      <c r="EP26" s="56">
        <f>SUMIFS(tblActuals354151923[Team 2 GD],tblActuals354151923[Team 2],$CU26,tblActuals354151923[Team 1],EP$3)+SUMIFS(tblActuals354151923[Team 1 GD],tblActuals354151923[Team 1],$CU26,tblActuals354151923[Team 2],EP$3)</f>
        <v>0</v>
      </c>
      <c r="EQ26" s="56">
        <f>SUMIFS(tblActuals354151923[Team 2 GD],tblActuals354151923[Team 2],$CU26,tblActuals354151923[Team 1],EQ$3)+SUMIFS(tblActuals354151923[Team 1 GD],tblActuals354151923[Team 1],$CU26,tblActuals354151923[Team 2],EQ$3)</f>
        <v>0</v>
      </c>
      <c r="ER26" s="56">
        <f>SUMIFS(tblActuals354151923[Team 2 GD],tblActuals354151923[Team 2],$CU26,tblActuals354151923[Team 1],ER$3)+SUMIFS(tblActuals354151923[Team 1 GD],tblActuals354151923[Team 1],$CU26,tblActuals354151923[Team 2],ER$3)</f>
        <v>0</v>
      </c>
      <c r="ES26" s="56">
        <f>SUMIFS(tblActuals354151923[Team 2 GD],tblActuals354151923[Team 2],$CU26,tblActuals354151923[Team 1],ES$3)+SUMIFS(tblActuals354151923[Team 1 GD],tblActuals354151923[Team 1],$CU26,tblActuals354151923[Team 2],ES$3)</f>
        <v>0</v>
      </c>
      <c r="ET26" s="56">
        <f>SUMIFS(tblActuals354151923[Team 2 GD],tblActuals354151923[Team 2],$CU26,tblActuals354151923[Team 1],ET$3)+SUMIFS(tblActuals354151923[Team 1 GD],tblActuals354151923[Team 1],$CU26,tblActuals354151923[Team 2],ET$3)</f>
        <v>0</v>
      </c>
      <c r="EU26" s="56">
        <f>SUMIFS(tblActuals354151923[Team 2 GD],tblActuals354151923[Team 2],$CU26,tblActuals354151923[Team 1],EU$3)+SUMIFS(tblActuals354151923[Team 1 GD],tblActuals354151923[Team 1],$CU26,tblActuals354151923[Team 2],EU$3)</f>
        <v>0</v>
      </c>
      <c r="EV26" s="56">
        <f>SUMIFS(tblActuals354151923[Team 2 GD],tblActuals354151923[Team 2],$CU26,tblActuals354151923[Team 1],EV$3)+SUMIFS(tblActuals354151923[Team 1 GD],tblActuals354151923[Team 1],$CU26,tblActuals354151923[Team 2],EV$3)</f>
        <v>0</v>
      </c>
      <c r="EW26" s="56">
        <f>SUMIFS(tblActuals354151923[Team 2 GD],tblActuals354151923[Team 2],$CU26,tblActuals354151923[Team 1],EW$3)+SUMIFS(tblActuals354151923[Team 1 GD],tblActuals354151923[Team 1],$CU26,tblActuals354151923[Team 2],EW$3)</f>
        <v>0</v>
      </c>
      <c r="EX26" s="56">
        <f>SUMIFS(tblActuals354151923[Team 2 GD],tblActuals354151923[Team 2],$CU26,tblActuals354151923[Team 1],EX$3)+SUMIFS(tblActuals354151923[Team 1 GD],tblActuals354151923[Team 1],$CU26,tblActuals354151923[Team 2],EX$3)</f>
        <v>0</v>
      </c>
      <c r="EY26" s="56">
        <f>SUMIFS(tblActuals354151923[Team 2 GD],tblActuals354151923[Team 2],$CU26,tblActuals354151923[Team 1],EY$3)+SUMIFS(tblActuals354151923[Team 1 GD],tblActuals354151923[Team 1],$CU26,tblActuals354151923[Team 2],EY$3)</f>
        <v>0</v>
      </c>
      <c r="EZ26" s="56">
        <f>SUMIFS(tblActuals354151923[Team 2 GD],tblActuals354151923[Team 2],$CU26,tblActuals354151923[Team 1],EZ$3)+SUMIFS(tblActuals354151923[Team 1 GD],tblActuals354151923[Team 1],$CU26,tblActuals354151923[Team 2],EZ$3)</f>
        <v>0</v>
      </c>
      <c r="FA26" s="56">
        <f>SUMIFS(tblActuals354151923[Team 2 GD],tblActuals354151923[Team 2],$CU26,tblActuals354151923[Team 1],FA$3)+SUMIFS(tblActuals354151923[Team 1 GD],tblActuals354151923[Team 1],$CU26,tblActuals354151923[Team 2],FA$3)</f>
        <v>0</v>
      </c>
      <c r="FB26" s="57"/>
      <c r="FC26" s="57"/>
      <c r="FD26" s="57"/>
      <c r="FE26" s="57"/>
      <c r="FF26" s="57"/>
      <c r="FG26" s="57"/>
      <c r="FH26" s="57"/>
      <c r="FI26" s="57"/>
      <c r="FJ26" s="4"/>
      <c r="FK26" s="4" t="s">
        <v>30</v>
      </c>
      <c r="FL26" s="56">
        <f>SUMIFS(tblActuals354151923[Team 2 Goals],tblActuals354151923[Team 2],$CU26,tblActuals354151923[Team 1],FL$3)+SUMIFS(tblActuals354151923[Team 1 Goals],tblActuals354151923[Team 1],$CU26,tblActuals354151923[Team 2],FL$3)</f>
        <v>0</v>
      </c>
      <c r="FM26" s="56">
        <f>SUMIFS(tblActuals354151923[Team 2 Goals],tblActuals354151923[Team 2],$CU26,tblActuals354151923[Team 1],FM$3)+SUMIFS(tblActuals354151923[Team 1 Goals],tblActuals354151923[Team 1],$CU26,tblActuals354151923[Team 2],FM$3)</f>
        <v>0</v>
      </c>
      <c r="FN26" s="56">
        <f>SUMIFS(tblActuals354151923[Team 2 Goals],tblActuals354151923[Team 2],$CU26,tblActuals354151923[Team 1],FN$3)+SUMIFS(tblActuals354151923[Team 1 Goals],tblActuals354151923[Team 1],$CU26,tblActuals354151923[Team 2],FN$3)</f>
        <v>0</v>
      </c>
      <c r="FO26" s="56">
        <f>SUMIFS(tblActuals354151923[Team 2 Goals],tblActuals354151923[Team 2],$CU26,tblActuals354151923[Team 1],FO$3)+SUMIFS(tblActuals354151923[Team 1 Goals],tblActuals354151923[Team 1],$CU26,tblActuals354151923[Team 2],FO$3)</f>
        <v>0</v>
      </c>
      <c r="FP26" s="56">
        <f>SUMIFS(tblActuals354151923[Team 2 Goals],tblActuals354151923[Team 2],$CU26,tblActuals354151923[Team 1],FP$3)+SUMIFS(tblActuals354151923[Team 1 Goals],tblActuals354151923[Team 1],$CU26,tblActuals354151923[Team 2],FP$3)</f>
        <v>0</v>
      </c>
      <c r="FQ26" s="56">
        <f>SUMIFS(tblActuals354151923[Team 2 Goals],tblActuals354151923[Team 2],$CU26,tblActuals354151923[Team 1],FQ$3)+SUMIFS(tblActuals354151923[Team 1 Goals],tblActuals354151923[Team 1],$CU26,tblActuals354151923[Team 2],FQ$3)</f>
        <v>0</v>
      </c>
      <c r="FR26" s="56">
        <f>SUMIFS(tblActuals354151923[Team 2 Goals],tblActuals354151923[Team 2],$CU26,tblActuals354151923[Team 1],FR$3)+SUMIFS(tblActuals354151923[Team 1 Goals],tblActuals354151923[Team 1],$CU26,tblActuals354151923[Team 2],FR$3)</f>
        <v>0</v>
      </c>
      <c r="FS26" s="56">
        <f>SUMIFS(tblActuals354151923[Team 2 Goals],tblActuals354151923[Team 2],$CU26,tblActuals354151923[Team 1],FS$3)+SUMIFS(tblActuals354151923[Team 1 Goals],tblActuals354151923[Team 1],$CU26,tblActuals354151923[Team 2],FS$3)</f>
        <v>0</v>
      </c>
      <c r="FT26" s="56">
        <f>SUMIFS(tblActuals354151923[Team 2 Goals],tblActuals354151923[Team 2],$CU26,tblActuals354151923[Team 1],FT$3)+SUMIFS(tblActuals354151923[Team 1 Goals],tblActuals354151923[Team 1],$CU26,tblActuals354151923[Team 2],FT$3)</f>
        <v>0</v>
      </c>
      <c r="FU26" s="56">
        <f>SUMIFS(tblActuals354151923[Team 2 Goals],tblActuals354151923[Team 2],$CU26,tblActuals354151923[Team 1],FU$3)+SUMIFS(tblActuals354151923[Team 1 Goals],tblActuals354151923[Team 1],$CU26,tblActuals354151923[Team 2],FU$3)</f>
        <v>0</v>
      </c>
      <c r="FV26" s="56">
        <f>SUMIFS(tblActuals354151923[Team 2 Goals],tblActuals354151923[Team 2],$CU26,tblActuals354151923[Team 1],FV$3)+SUMIFS(tblActuals354151923[Team 1 Goals],tblActuals354151923[Team 1],$CU26,tblActuals354151923[Team 2],FV$3)</f>
        <v>0</v>
      </c>
      <c r="FW26" s="56">
        <f>SUMIFS(tblActuals354151923[Team 2 Goals],tblActuals354151923[Team 2],$CU26,tblActuals354151923[Team 1],FW$3)+SUMIFS(tblActuals354151923[Team 1 Goals],tblActuals354151923[Team 1],$CU26,tblActuals354151923[Team 2],FW$3)</f>
        <v>0</v>
      </c>
      <c r="FX26" s="56">
        <f>SUMIFS(tblActuals354151923[Team 2 Goals],tblActuals354151923[Team 2],$CU26,tblActuals354151923[Team 1],FX$3)+SUMIFS(tblActuals354151923[Team 1 Goals],tblActuals354151923[Team 1],$CU26,tblActuals354151923[Team 2],FX$3)</f>
        <v>0</v>
      </c>
      <c r="FY26" s="56">
        <f>SUMIFS(tblActuals354151923[Team 2 Goals],tblActuals354151923[Team 2],$CU26,tblActuals354151923[Team 1],FY$3)+SUMIFS(tblActuals354151923[Team 1 Goals],tblActuals354151923[Team 1],$CU26,tblActuals354151923[Team 2],FY$3)</f>
        <v>0</v>
      </c>
      <c r="FZ26" s="56">
        <f>SUMIFS(tblActuals354151923[Team 2 Goals],tblActuals354151923[Team 2],$CU26,tblActuals354151923[Team 1],FZ$3)+SUMIFS(tblActuals354151923[Team 1 Goals],tblActuals354151923[Team 1],$CU26,tblActuals354151923[Team 2],FZ$3)</f>
        <v>0</v>
      </c>
      <c r="GA26" s="56">
        <f>SUMIFS(tblActuals354151923[Team 2 Goals],tblActuals354151923[Team 2],$CU26,tblActuals354151923[Team 1],GA$3)+SUMIFS(tblActuals354151923[Team 1 Goals],tblActuals354151923[Team 1],$CU26,tblActuals354151923[Team 2],GA$3)</f>
        <v>0</v>
      </c>
      <c r="GB26" s="56">
        <f>SUMIFS(tblActuals354151923[Team 2 Goals],tblActuals354151923[Team 2],$CU26,tblActuals354151923[Team 1],GB$3)+SUMIFS(tblActuals354151923[Team 1 Goals],tblActuals354151923[Team 1],$CU26,tblActuals354151923[Team 2],GB$3)</f>
        <v>0</v>
      </c>
      <c r="GC26" s="56">
        <f>SUMIFS(tblActuals354151923[Team 2 Goals],tblActuals354151923[Team 2],$CU26,tblActuals354151923[Team 1],GC$3)+SUMIFS(tblActuals354151923[Team 1 Goals],tblActuals354151923[Team 1],$CU26,tblActuals354151923[Team 2],GC$3)</f>
        <v>0</v>
      </c>
      <c r="GD26" s="56">
        <f>SUMIFS(tblActuals354151923[Team 2 Goals],tblActuals354151923[Team 2],$CU26,tblActuals354151923[Team 1],GD$3)+SUMIFS(tblActuals354151923[Team 1 Goals],tblActuals354151923[Team 1],$CU26,tblActuals354151923[Team 2],GD$3)</f>
        <v>0</v>
      </c>
      <c r="GE26" s="56">
        <f>SUMIFS(tblActuals354151923[Team 2 Goals],tblActuals354151923[Team 2],$CU26,tblActuals354151923[Team 1],GE$3)+SUMIFS(tblActuals354151923[Team 1 Goals],tblActuals354151923[Team 1],$CU26,tblActuals354151923[Team 2],GE$3)</f>
        <v>0</v>
      </c>
      <c r="GF26" s="56">
        <f>SUMIFS(tblActuals354151923[Team 2 Goals],tblActuals354151923[Team 2],$CU26,tblActuals354151923[Team 1],GF$3)+SUMIFS(tblActuals354151923[Team 1 Goals],tblActuals354151923[Team 1],$CU26,tblActuals354151923[Team 2],GF$3)</f>
        <v>0</v>
      </c>
      <c r="GG26" s="56">
        <f>SUMIFS(tblActuals354151923[Team 2 Goals],tblActuals354151923[Team 2],$CU26,tblActuals354151923[Team 1],GG$3)+SUMIFS(tblActuals354151923[Team 1 Goals],tblActuals354151923[Team 1],$CU26,tblActuals354151923[Team 2],GG$3)</f>
        <v>0</v>
      </c>
      <c r="GH26" s="56">
        <f>SUMIFS(tblActuals354151923[Team 2 Goals],tblActuals354151923[Team 2],$CU26,tblActuals354151923[Team 1],GH$3)+SUMIFS(tblActuals354151923[Team 1 Goals],tblActuals354151923[Team 1],$CU26,tblActuals354151923[Team 2],GH$3)</f>
        <v>0</v>
      </c>
      <c r="GI26" s="56">
        <f>SUMIFS(tblActuals354151923[Team 2 Goals],tblActuals354151923[Team 2],$CU26,tblActuals354151923[Team 1],GI$3)+SUMIFS(tblActuals354151923[Team 1 Goals],tblActuals354151923[Team 1],$CU26,tblActuals354151923[Team 2],GI$3)</f>
        <v>0</v>
      </c>
      <c r="GJ26" s="57"/>
      <c r="GK26" s="57"/>
      <c r="GL26" s="37"/>
      <c r="GM26" s="37"/>
      <c r="GN26" s="37"/>
      <c r="GO26" s="37"/>
      <c r="GP26" s="37"/>
      <c r="GQ26" s="37"/>
      <c r="GR26" s="75"/>
      <c r="GS26" s="148"/>
      <c r="GT26" s="148"/>
      <c r="GU26" s="75"/>
      <c r="GV26" s="75"/>
      <c r="GW26" s="75"/>
      <c r="GX26" s="75"/>
      <c r="GY26" s="75"/>
      <c r="GZ26" s="75"/>
    </row>
    <row r="27" spans="1:221" s="11" customFormat="1" ht="30" customHeight="1" thickBot="1" x14ac:dyDescent="0.3">
      <c r="A27" s="20"/>
      <c r="B27" s="122">
        <v>24</v>
      </c>
      <c r="C27" s="122" t="s">
        <v>45</v>
      </c>
      <c r="D27" s="123">
        <v>45465</v>
      </c>
      <c r="E27" s="122" t="s">
        <v>84</v>
      </c>
      <c r="F27" s="124">
        <v>0.625</v>
      </c>
      <c r="G27" s="125">
        <f t="shared" si="11"/>
        <v>45465.375</v>
      </c>
      <c r="H27" s="122" t="s">
        <v>112</v>
      </c>
      <c r="I27" s="126"/>
      <c r="J27" s="118"/>
      <c r="K27" s="118"/>
      <c r="L27" s="174">
        <f>IF(I27="",0,IFERROR(IF(SCORING.RULES!$C$8="No",1,((VLOOKUP($B27,ACTUALS!$B$4:$L$100,7,FALSE)=$H27)+(VLOOKUP($B27,ACTUALS!$B$4:$L$100,7,FALSE)=S27)))*(M27+N27+O27+P27+Q27),0))+$R27</f>
        <v>0</v>
      </c>
      <c r="M27" s="168">
        <f>IFERROR(IF($B27="","",IF(U27=INDEX(ACTUALS!$AA$4:$AA$100,MATCH($B27,ACTUALS!$B$4:$B$100,0),1),CorrectScore,0)),0)</f>
        <v>0</v>
      </c>
      <c r="N27" s="157" t="str">
        <f>IFERROR(IF(I27="","",IF(INDEX(ACTUALS!$AB$4:$AB$100,MATCH($B27,ACTUALS!$B$4:$B$100,0),1)=(AB27+AC27+AH27+AI27),CorrectNumberofGoals,0)),0)</f>
        <v/>
      </c>
      <c r="O27" s="157"/>
      <c r="P27" s="157">
        <f>IFERROR(IF(B27="","",IF(INDEX(ACTUALS!$L$4:$L$100,MATCH($B27,ACTUALS!$B$4:$B$100,0),1)=W27,CorrectResult,0)),0)</f>
        <v>3</v>
      </c>
      <c r="Q27" s="157"/>
      <c r="R27" s="157"/>
      <c r="S27" s="157" t="str">
        <f t="shared" si="0"/>
        <v/>
      </c>
      <c r="T27" s="157"/>
      <c r="U27" s="157" t="str">
        <f t="shared" si="1"/>
        <v/>
      </c>
      <c r="V27" s="157" t="str">
        <f t="shared" si="2"/>
        <v/>
      </c>
      <c r="W27" s="119" t="str">
        <f>IF(tblActuals354151923[[#This Row],[SCORE]]="","",IF(AB27=AC27,"Draw",IF(AB27&gt;AC27,X27,Y27)))</f>
        <v/>
      </c>
      <c r="X27" s="120" t="str">
        <f>IF(tblActuals354151923[[#This Row],[TEAMS]]="","",LEFT(H27,FIND(" -",H27,1)-1))</f>
        <v>Georgia</v>
      </c>
      <c r="Y27" s="120" t="str">
        <f>IF(tblActuals354151923[[#This Row],[TEAMS]]="","",MID(H27,FIND("-",H27,1)+2,LEN(H27)-FIND("-",H27,1)+2))</f>
        <v>Czechia</v>
      </c>
      <c r="Z27" s="120" t="str">
        <f>IF(tblActuals354151923[[#This Row],[Team 1 Goals]]&gt;tblActuals354151923[[#This Row],[Team 2 Goals]],tblActuals354151923[[#This Row],[Team 1]],IF(tblActuals354151923[[#This Row],[Team 2 Goals]]&gt;tblActuals354151923[[#This Row],[Team 1 Goals]],tblActuals354151923[[#This Row],[Team 2]],""))</f>
        <v/>
      </c>
      <c r="AA27" s="120" t="str">
        <f>IF(tblActuals354151923[[#This Row],[Winner]]=tblActuals354151923[[#This Row],[Team 1]],tblActuals354151923[[#This Row],[Team 2]],IF(tblActuals354151923[[#This Row],[Winner]]=tblActuals354151923[[#This Row],[Team 2]],tblActuals354151923[[#This Row],[Team 1]],""))</f>
        <v/>
      </c>
      <c r="AB27" s="120" t="str">
        <f>IF(tblActuals354151923[[#This Row],[SCORE]]="","",LEFT(I27,FIND(":",I27,1)-1)*1)</f>
        <v/>
      </c>
      <c r="AC27" s="120" t="str">
        <f>IF(tblActuals354151923[[#This Row],[SCORE]]="","",MID(I27,FIND(":",I27,1)+1,LEN(I27)-FIND(":",I27,1)+1)*1)</f>
        <v/>
      </c>
      <c r="AD27" s="120" t="str">
        <f>IF(OR(tblActuals354151923[[#This Row],[Team 1 Goals]]="",tblActuals354151923[[#This Row],[Team 2 Goals]]=""),"",tblActuals354151923[[#This Row],[Team 1 Goals]]-tblActuals354151923[[#This Row],[Team 2 Goals]])</f>
        <v/>
      </c>
      <c r="AE27" s="120" t="str">
        <f>IF(OR(tblActuals354151923[[#This Row],[Team 1 Goals]]="",tblActuals354151923[[#This Row],[Team 2 Goals]]=""),"",tblActuals354151923[[#This Row],[Team 2 Goals]]-tblActuals354151923[[#This Row],[Team 1 Goals]])</f>
        <v/>
      </c>
      <c r="AF27" s="120" t="str">
        <f>IF(tblActuals354151923[[#This Row],[SCORE]]="","",IF(tblActuals354151923[[#This Row],[WINNER / RESULT]]="Draw",1,IF(tblActuals354151923[[#This Row],[WINNER / RESULT]]=tblActuals354151923[[#This Row],[Team 1]],3,0)))</f>
        <v/>
      </c>
      <c r="AG27" s="120" t="str">
        <f>IF(tblActuals354151923[[#This Row],[SCORE]]="","",IF(tblActuals354151923[[#This Row],[WINNER / RESULT]]="Draw",1,IF(tblActuals354151923[[#This Row],[WINNER / RESULT]]=tblActuals354151923[[#This Row],[Team 2]],3,0)))</f>
        <v/>
      </c>
      <c r="AH27" s="121"/>
      <c r="AI27" s="121"/>
      <c r="AJ27" s="121"/>
      <c r="AK27" s="121"/>
      <c r="AL27" s="120" t="e">
        <f>tblActuals354151923[[#This Row],[Team 1 Goals]]+tblActuals354151923[[#This Row],[Team 1 ET Goals]]&amp;":"&amp;tblActuals354151923[[#This Row],[Team 2 Goals]]+tblActuals354151923[[#This Row],[Team 2 ET Goals]]</f>
        <v>#VALUE!</v>
      </c>
      <c r="AM27" s="120" t="e">
        <f>+tblActuals354151923[[#This Row],[Team 1 Goals]]+tblActuals354151923[[#This Row],[Team 2 Goals]]</f>
        <v>#VALUE!</v>
      </c>
      <c r="AN27" s="161">
        <f t="shared" si="3"/>
        <v>45465</v>
      </c>
      <c r="AT27" s="77" t="s">
        <v>7</v>
      </c>
      <c r="AU27" s="145">
        <v>4</v>
      </c>
      <c r="AV27" s="146" t="str">
        <f ca="1">IFERROR(INDEX(BD:BD,MATCH("4"&amp;AT27,BN:BN,0),1),"")</f>
        <v>Poland</v>
      </c>
      <c r="AW27" s="146" t="str">
        <f ca="1">IF(AV27="","",VLOOKUP(AV27,BD:BI,2,FALSE)&amp;"-"&amp;VLOOKUP(AV27,BD:BI,3,FALSE)&amp;"-"&amp;VLOOKUP(AV27,BD:BI,4,FALSE))</f>
        <v>0-0-0</v>
      </c>
      <c r="AX27" s="146">
        <f ca="1">IF(AV27="","",VLOOKUP(AV27,BD:BK,8,FALSE))</f>
        <v>0</v>
      </c>
      <c r="AY27" s="147">
        <f ca="1">IF(AV27="","",VLOOKUP(AV27,BD:BN,5,FALSE))</f>
        <v>0</v>
      </c>
      <c r="AZ27" s="75"/>
      <c r="BA27" s="4"/>
      <c r="BB27" s="4"/>
      <c r="BC27" s="4" t="s">
        <v>12</v>
      </c>
      <c r="BD27" s="4" t="s">
        <v>132</v>
      </c>
      <c r="BE27" s="4">
        <f>COUNTIF(tblActuals354151923[Winner],BD27)</f>
        <v>0</v>
      </c>
      <c r="BF27" s="4">
        <f>COUNTIFS(tblActuals354151923[Team 2],BD27,tblActuals354151923[WINNER / RESULT],"Draw")+COUNTIFS(tblActuals354151923[Team 1],BD27,tblActuals354151923[WINNER / RESULT],"Draw")</f>
        <v>0</v>
      </c>
      <c r="BG27" s="4">
        <f>COUNTIF(tblActuals354151923[Loser],BD27)</f>
        <v>0</v>
      </c>
      <c r="BH27" s="4">
        <f>BF27+(3*BE27)</f>
        <v>0</v>
      </c>
      <c r="BI27" s="4">
        <f>SUMIFS(tblActuals354151923[Team 1 Goals],tblActuals354151923[Team 1],BD27)+SUMIFS(tblActuals354151923[Team 2 Goals],tblActuals354151923[Team 2],BD27)</f>
        <v>0</v>
      </c>
      <c r="BJ27" s="4">
        <f>SUMIFS(tblActuals354151923[Team 2 Goals],tblActuals354151923[Team 1],BD27)+SUMIFS(tblActuals354151923[Team 1 Goals],tblActuals354151923[Team 2],BD27)</f>
        <v>0</v>
      </c>
      <c r="BK27" s="4">
        <f>BI27-BJ27</f>
        <v>0</v>
      </c>
      <c r="BL27" s="4">
        <f ca="1">RANK(BY27,$BY$24:$BY$27,1)</f>
        <v>4</v>
      </c>
      <c r="BM27" s="4" t="str">
        <f t="shared" si="4"/>
        <v/>
      </c>
      <c r="BN27" s="4" t="str">
        <f ca="1">IF(BM27="",BL27&amp;BC27,BM27&amp;BC27)</f>
        <v>4E</v>
      </c>
      <c r="BO27" s="4">
        <f>RANK(BH27,$BH$24:$BH$27,0)</f>
        <v>1</v>
      </c>
      <c r="BP27" s="4" cm="1">
        <f t="array" aca="1" ref="BP27" ca="1">SUMPRODUCT((OFFSET($CV$3:$EA$3,MATCH($BD27,$CU$4:$CU$35,0),0))*((IF($BO25=$BO27,$CV$3:$EA$3=$BD25,0))+(IF($BO24=$BO27,$CV$3:$EA$3=$BD24,0))+(IF($BO26=$BO27,$CV$3:$EA$3=$BD26,0))))</f>
        <v>0</v>
      </c>
      <c r="BQ27" s="4" cm="1">
        <f t="array" aca="1" ref="BQ27" ca="1">SUMPRODUCT((OFFSET($ED$3:$FI$3,MATCH($BD27,$EC$4:$EC$35,0),0))*((IF($BO25=$BO27,$ED$3:$FI$3=$BD25,0))+(IF($BO24=$BO27,$ED$3:$FI$3=$BD24,0))+(IF($BO26=$BO27,$ED$3:$FI$3=$BD26,0))))</f>
        <v>0</v>
      </c>
      <c r="BR27" s="4" cm="1">
        <f t="array" aca="1" ref="BR27" ca="1">SUMPRODUCT((OFFSET($FL$3:$GQ$3,MATCH($BD27,$FK$4:$FK$35,0),0))*((IF($BO25=$BO27,$FL$3:$GQ$3=$BD25,0))+(IF($BO24=$BO27,$FL$3:$GQ$3=$BD24,0))+(IF($BO26=$BO27,$FL$3:$GQ$3=$BD26,0))))</f>
        <v>0</v>
      </c>
      <c r="BS27" s="4" cm="1">
        <f t="array" aca="1" ref="BS27" ca="1">SUMPRODUCT((OFFSET($CV$3:$EA$3,MATCH($BD27,$CU$4:$CU$35,0),0))*((IF($BO25&lt;&gt;$BO27,$CV$3:$EA$3=$BD25,0))+(IF($BO24&lt;&gt;$BO27,$CV$3:$EA$3=$BD24,0))+(IF($BO26&lt;&gt;$BO27,$CV$3:$EA$3=$BD26,0))))</f>
        <v>0</v>
      </c>
      <c r="BT27" s="4" cm="1">
        <f t="array" aca="1" ref="BT27" ca="1">SUMPRODUCT((OFFSET($ED$3:$FI$3,MATCH($BD27,$EC$4:$EC$35,0),0))*((IF($BO25&lt;&gt;$BO27,$ED$3:$FI$3=$BD25,0))+(IF($BO24&lt;&gt;$BO27,$ED$3:$FI$3=$BD24,0))+(IF($BO26&lt;&gt;$BO27,$ED$3:$FI$3=$BD26,0))))</f>
        <v>0</v>
      </c>
      <c r="BU27" s="4" cm="1">
        <f t="array" aca="1" ref="BU27" ca="1">SUMPRODUCT((OFFSET($FL$3:$GQ$3,MATCH($BD27,$FK$4:$FK$35,0),0))*((IF($BO25&lt;&gt;$BO27,$FL$3:$GQ$3=$BD25,0))+(IF($BO24&lt;&gt;$BO27,$FL$3:$GQ$3=$BD24,0))+(IF($BO26&lt;&gt;$BO27,$FL$3:$GQ$3=$BD26,0))))</f>
        <v>0</v>
      </c>
      <c r="BV27" s="4">
        <f>BK27</f>
        <v>0</v>
      </c>
      <c r="BW27" s="4">
        <f>BI27</f>
        <v>0</v>
      </c>
      <c r="BX27" s="4">
        <f ca="1">(BP27/10)+(BQ27/100)+(BR27/1000)+(BT27/10000)+(BU27/100000)+(BV27/1000000)+(BW27/10000000)+(ROW(BS24)/100000000)</f>
        <v>2.3999999999999998E-7</v>
      </c>
      <c r="BY27" s="4">
        <f ca="1">+BO27-BX27</f>
        <v>0.99999976000000002</v>
      </c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U27" s="4" t="s">
        <v>135</v>
      </c>
      <c r="CV27" s="56">
        <f>SUMIFS(tblActuals354151923[Team 2 Points],tblActuals354151923[Team 2],$CU27,tblActuals354151923[Team 1],CV$3)+SUMIFS(tblActuals354151923[Team 1 Points],tblActuals354151923[Team 1],$CU27,tblActuals354151923[Team 2],CV$3)</f>
        <v>0</v>
      </c>
      <c r="CW27" s="56">
        <f>SUMIFS(tblActuals354151923[Team 2 Points],tblActuals354151923[Team 2],$CU27,tblActuals354151923[Team 1],CW$3)+SUMIFS(tblActuals354151923[Team 1 Points],tblActuals354151923[Team 1],$CU27,tblActuals354151923[Team 2],CW$3)</f>
        <v>0</v>
      </c>
      <c r="CX27" s="56">
        <f>SUMIFS(tblActuals354151923[Team 2 Points],tblActuals354151923[Team 2],$CU27,tblActuals354151923[Team 1],CX$3)+SUMIFS(tblActuals354151923[Team 1 Points],tblActuals354151923[Team 1],$CU27,tblActuals354151923[Team 2],CX$3)</f>
        <v>0</v>
      </c>
      <c r="CY27" s="56">
        <f>SUMIFS(tblActuals354151923[Team 2 Points],tblActuals354151923[Team 2],$CU27,tblActuals354151923[Team 1],CY$3)+SUMIFS(tblActuals354151923[Team 1 Points],tblActuals354151923[Team 1],$CU27,tblActuals354151923[Team 2],CY$3)</f>
        <v>0</v>
      </c>
      <c r="CZ27" s="56">
        <f>SUMIFS(tblActuals354151923[Team 2 Points],tblActuals354151923[Team 2],$CU27,tblActuals354151923[Team 1],CZ$3)+SUMIFS(tblActuals354151923[Team 1 Points],tblActuals354151923[Team 1],$CU27,tblActuals354151923[Team 2],CZ$3)</f>
        <v>0</v>
      </c>
      <c r="DA27" s="56">
        <f>SUMIFS(tblActuals354151923[Team 2 Points],tblActuals354151923[Team 2],$CU27,tblActuals354151923[Team 1],DA$3)+SUMIFS(tblActuals354151923[Team 1 Points],tblActuals354151923[Team 1],$CU27,tblActuals354151923[Team 2],DA$3)</f>
        <v>0</v>
      </c>
      <c r="DB27" s="56">
        <f>SUMIFS(tblActuals354151923[Team 2 Points],tblActuals354151923[Team 2],$CU27,tblActuals354151923[Team 1],DB$3)+SUMIFS(tblActuals354151923[Team 1 Points],tblActuals354151923[Team 1],$CU27,tblActuals354151923[Team 2],DB$3)</f>
        <v>0</v>
      </c>
      <c r="DC27" s="56">
        <f>SUMIFS(tblActuals354151923[Team 2 Points],tblActuals354151923[Team 2],$CU27,tblActuals354151923[Team 1],DC$3)+SUMIFS(tblActuals354151923[Team 1 Points],tblActuals354151923[Team 1],$CU27,tblActuals354151923[Team 2],DC$3)</f>
        <v>0</v>
      </c>
      <c r="DD27" s="56">
        <f>SUMIFS(tblActuals354151923[Team 2 Points],tblActuals354151923[Team 2],$CU27,tblActuals354151923[Team 1],DD$3)+SUMIFS(tblActuals354151923[Team 1 Points],tblActuals354151923[Team 1],$CU27,tblActuals354151923[Team 2],DD$3)</f>
        <v>0</v>
      </c>
      <c r="DE27" s="56">
        <f>SUMIFS(tblActuals354151923[Team 2 Points],tblActuals354151923[Team 2],$CU27,tblActuals354151923[Team 1],DE$3)+SUMIFS(tblActuals354151923[Team 1 Points],tblActuals354151923[Team 1],$CU27,tblActuals354151923[Team 2],DE$3)</f>
        <v>0</v>
      </c>
      <c r="DF27" s="56">
        <f>SUMIFS(tblActuals354151923[Team 2 Points],tblActuals354151923[Team 2],$CU27,tblActuals354151923[Team 1],DF$3)+SUMIFS(tblActuals354151923[Team 1 Points],tblActuals354151923[Team 1],$CU27,tblActuals354151923[Team 2],DF$3)</f>
        <v>0</v>
      </c>
      <c r="DG27" s="56">
        <f>SUMIFS(tblActuals354151923[Team 2 Points],tblActuals354151923[Team 2],$CU27,tblActuals354151923[Team 1],DG$3)+SUMIFS(tblActuals354151923[Team 1 Points],tblActuals354151923[Team 1],$CU27,tblActuals354151923[Team 2],DG$3)</f>
        <v>0</v>
      </c>
      <c r="DH27" s="56">
        <f>SUMIFS(tblActuals354151923[Team 2 Points],tblActuals354151923[Team 2],$CU27,tblActuals354151923[Team 1],DH$3)+SUMIFS(tblActuals354151923[Team 1 Points],tblActuals354151923[Team 1],$CU27,tblActuals354151923[Team 2],DH$3)</f>
        <v>0</v>
      </c>
      <c r="DI27" s="56">
        <f>SUMIFS(tblActuals354151923[Team 2 Points],tblActuals354151923[Team 2],$CU27,tblActuals354151923[Team 1],DI$3)+SUMIFS(tblActuals354151923[Team 1 Points],tblActuals354151923[Team 1],$CU27,tblActuals354151923[Team 2],DI$3)</f>
        <v>0</v>
      </c>
      <c r="DJ27" s="56">
        <f>SUMIFS(tblActuals354151923[Team 2 Points],tblActuals354151923[Team 2],$CU27,tblActuals354151923[Team 1],DJ$3)+SUMIFS(tblActuals354151923[Team 1 Points],tblActuals354151923[Team 1],$CU27,tblActuals354151923[Team 2],DJ$3)</f>
        <v>0</v>
      </c>
      <c r="DK27" s="56">
        <f>SUMIFS(tblActuals354151923[Team 2 Points],tblActuals354151923[Team 2],$CU27,tblActuals354151923[Team 1],DK$3)+SUMIFS(tblActuals354151923[Team 1 Points],tblActuals354151923[Team 1],$CU27,tblActuals354151923[Team 2],DK$3)</f>
        <v>0</v>
      </c>
      <c r="DL27" s="56">
        <f>SUMIFS(tblActuals354151923[Team 2 Points],tblActuals354151923[Team 2],$CU27,tblActuals354151923[Team 1],DL$3)+SUMIFS(tblActuals354151923[Team 1 Points],tblActuals354151923[Team 1],$CU27,tblActuals354151923[Team 2],DL$3)</f>
        <v>0</v>
      </c>
      <c r="DM27" s="56">
        <f>SUMIFS(tblActuals354151923[Team 2 Points],tblActuals354151923[Team 2],$CU27,tblActuals354151923[Team 1],DM$3)+SUMIFS(tblActuals354151923[Team 1 Points],tblActuals354151923[Team 1],$CU27,tblActuals354151923[Team 2],DM$3)</f>
        <v>0</v>
      </c>
      <c r="DN27" s="56">
        <f>SUMIFS(tblActuals354151923[Team 2 Points],tblActuals354151923[Team 2],$CU27,tblActuals354151923[Team 1],DN$3)+SUMIFS(tblActuals354151923[Team 1 Points],tblActuals354151923[Team 1],$CU27,tblActuals354151923[Team 2],DN$3)</f>
        <v>0</v>
      </c>
      <c r="DO27" s="56">
        <f>SUMIFS(tblActuals354151923[Team 2 Points],tblActuals354151923[Team 2],$CU27,tblActuals354151923[Team 1],DO$3)+SUMIFS(tblActuals354151923[Team 1 Points],tblActuals354151923[Team 1],$CU27,tblActuals354151923[Team 2],DO$3)</f>
        <v>0</v>
      </c>
      <c r="DP27" s="56">
        <f>SUMIFS(tblActuals354151923[Team 2 Points],tblActuals354151923[Team 2],$CU27,tblActuals354151923[Team 1],DP$3)+SUMIFS(tblActuals354151923[Team 1 Points],tblActuals354151923[Team 1],$CU27,tblActuals354151923[Team 2],DP$3)</f>
        <v>0</v>
      </c>
      <c r="DQ27" s="56">
        <f>SUMIFS(tblActuals354151923[Team 2 Points],tblActuals354151923[Team 2],$CU27,tblActuals354151923[Team 1],DQ$3)+SUMIFS(tblActuals354151923[Team 1 Points],tblActuals354151923[Team 1],$CU27,tblActuals354151923[Team 2],DQ$3)</f>
        <v>0</v>
      </c>
      <c r="DR27" s="56">
        <f>SUMIFS(tblActuals354151923[Team 2 Points],tblActuals354151923[Team 2],$CU27,tblActuals354151923[Team 1],DR$3)+SUMIFS(tblActuals354151923[Team 1 Points],tblActuals354151923[Team 1],$CU27,tblActuals354151923[Team 2],DR$3)</f>
        <v>0</v>
      </c>
      <c r="DS27" s="56">
        <f>SUMIFS(tblActuals354151923[Team 2 Points],tblActuals354151923[Team 2],$CU27,tblActuals354151923[Team 1],DS$3)+SUMIFS(tblActuals354151923[Team 1 Points],tblActuals354151923[Team 1],$CU27,tblActuals354151923[Team 2],DS$3)</f>
        <v>0</v>
      </c>
      <c r="DT27" s="57"/>
      <c r="DU27" s="57"/>
      <c r="DV27" s="57"/>
      <c r="DW27" s="57"/>
      <c r="DX27" s="57"/>
      <c r="DY27" s="57"/>
      <c r="DZ27" s="57"/>
      <c r="EA27" s="57"/>
      <c r="EB27" s="4"/>
      <c r="EC27" s="4" t="s">
        <v>135</v>
      </c>
      <c r="ED27" s="56">
        <f>SUMIFS(tblActuals354151923[Team 2 GD],tblActuals354151923[Team 2],$CU27,tblActuals354151923[Team 1],ED$3)+SUMIFS(tblActuals354151923[Team 1 GD],tblActuals354151923[Team 1],$CU27,tblActuals354151923[Team 2],ED$3)</f>
        <v>0</v>
      </c>
      <c r="EE27" s="56">
        <f>SUMIFS(tblActuals354151923[Team 2 GD],tblActuals354151923[Team 2],$CU27,tblActuals354151923[Team 1],EE$3)+SUMIFS(tblActuals354151923[Team 1 GD],tblActuals354151923[Team 1],$CU27,tblActuals354151923[Team 2],EE$3)</f>
        <v>0</v>
      </c>
      <c r="EF27" s="56">
        <f>SUMIFS(tblActuals354151923[Team 2 GD],tblActuals354151923[Team 2],$CU27,tblActuals354151923[Team 1],EF$3)+SUMIFS(tblActuals354151923[Team 1 GD],tblActuals354151923[Team 1],$CU27,tblActuals354151923[Team 2],EF$3)</f>
        <v>0</v>
      </c>
      <c r="EG27" s="56">
        <f>SUMIFS(tblActuals354151923[Team 2 GD],tblActuals354151923[Team 2],$CU27,tblActuals354151923[Team 1],EG$3)+SUMIFS(tblActuals354151923[Team 1 GD],tblActuals354151923[Team 1],$CU27,tblActuals354151923[Team 2],EG$3)</f>
        <v>0</v>
      </c>
      <c r="EH27" s="56">
        <f>SUMIFS(tblActuals354151923[Team 2 GD],tblActuals354151923[Team 2],$CU27,tblActuals354151923[Team 1],EH$3)+SUMIFS(tblActuals354151923[Team 1 GD],tblActuals354151923[Team 1],$CU27,tblActuals354151923[Team 2],EH$3)</f>
        <v>0</v>
      </c>
      <c r="EI27" s="56">
        <f>SUMIFS(tblActuals354151923[Team 2 GD],tblActuals354151923[Team 2],$CU27,tblActuals354151923[Team 1],EI$3)+SUMIFS(tblActuals354151923[Team 1 GD],tblActuals354151923[Team 1],$CU27,tblActuals354151923[Team 2],EI$3)</f>
        <v>0</v>
      </c>
      <c r="EJ27" s="56">
        <f>SUMIFS(tblActuals354151923[Team 2 GD],tblActuals354151923[Team 2],$CU27,tblActuals354151923[Team 1],EJ$3)+SUMIFS(tblActuals354151923[Team 1 GD],tblActuals354151923[Team 1],$CU27,tblActuals354151923[Team 2],EJ$3)</f>
        <v>0</v>
      </c>
      <c r="EK27" s="56">
        <f>SUMIFS(tblActuals354151923[Team 2 GD],tblActuals354151923[Team 2],$CU27,tblActuals354151923[Team 1],EK$3)+SUMIFS(tblActuals354151923[Team 1 GD],tblActuals354151923[Team 1],$CU27,tblActuals354151923[Team 2],EK$3)</f>
        <v>0</v>
      </c>
      <c r="EL27" s="56">
        <f>SUMIFS(tblActuals354151923[Team 2 GD],tblActuals354151923[Team 2],$CU27,tblActuals354151923[Team 1],EL$3)+SUMIFS(tblActuals354151923[Team 1 GD],tblActuals354151923[Team 1],$CU27,tblActuals354151923[Team 2],EL$3)</f>
        <v>0</v>
      </c>
      <c r="EM27" s="56">
        <f>SUMIFS(tblActuals354151923[Team 2 GD],tblActuals354151923[Team 2],$CU27,tblActuals354151923[Team 1],EM$3)+SUMIFS(tblActuals354151923[Team 1 GD],tblActuals354151923[Team 1],$CU27,tblActuals354151923[Team 2],EM$3)</f>
        <v>0</v>
      </c>
      <c r="EN27" s="56">
        <f>SUMIFS(tblActuals354151923[Team 2 GD],tblActuals354151923[Team 2],$CU27,tblActuals354151923[Team 1],EN$3)+SUMIFS(tblActuals354151923[Team 1 GD],tblActuals354151923[Team 1],$CU27,tblActuals354151923[Team 2],EN$3)</f>
        <v>0</v>
      </c>
      <c r="EO27" s="56">
        <f>SUMIFS(tblActuals354151923[Team 2 GD],tblActuals354151923[Team 2],$CU27,tblActuals354151923[Team 1],EO$3)+SUMIFS(tblActuals354151923[Team 1 GD],tblActuals354151923[Team 1],$CU27,tblActuals354151923[Team 2],EO$3)</f>
        <v>0</v>
      </c>
      <c r="EP27" s="56">
        <f>SUMIFS(tblActuals354151923[Team 2 GD],tblActuals354151923[Team 2],$CU27,tblActuals354151923[Team 1],EP$3)+SUMIFS(tblActuals354151923[Team 1 GD],tblActuals354151923[Team 1],$CU27,tblActuals354151923[Team 2],EP$3)</f>
        <v>0</v>
      </c>
      <c r="EQ27" s="56">
        <f>SUMIFS(tblActuals354151923[Team 2 GD],tblActuals354151923[Team 2],$CU27,tblActuals354151923[Team 1],EQ$3)+SUMIFS(tblActuals354151923[Team 1 GD],tblActuals354151923[Team 1],$CU27,tblActuals354151923[Team 2],EQ$3)</f>
        <v>0</v>
      </c>
      <c r="ER27" s="56">
        <f>SUMIFS(tblActuals354151923[Team 2 GD],tblActuals354151923[Team 2],$CU27,tblActuals354151923[Team 1],ER$3)+SUMIFS(tblActuals354151923[Team 1 GD],tblActuals354151923[Team 1],$CU27,tblActuals354151923[Team 2],ER$3)</f>
        <v>0</v>
      </c>
      <c r="ES27" s="56">
        <f>SUMIFS(tblActuals354151923[Team 2 GD],tblActuals354151923[Team 2],$CU27,tblActuals354151923[Team 1],ES$3)+SUMIFS(tblActuals354151923[Team 1 GD],tblActuals354151923[Team 1],$CU27,tblActuals354151923[Team 2],ES$3)</f>
        <v>0</v>
      </c>
      <c r="ET27" s="56">
        <f>SUMIFS(tblActuals354151923[Team 2 GD],tblActuals354151923[Team 2],$CU27,tblActuals354151923[Team 1],ET$3)+SUMIFS(tblActuals354151923[Team 1 GD],tblActuals354151923[Team 1],$CU27,tblActuals354151923[Team 2],ET$3)</f>
        <v>0</v>
      </c>
      <c r="EU27" s="56">
        <f>SUMIFS(tblActuals354151923[Team 2 GD],tblActuals354151923[Team 2],$CU27,tblActuals354151923[Team 1],EU$3)+SUMIFS(tblActuals354151923[Team 1 GD],tblActuals354151923[Team 1],$CU27,tblActuals354151923[Team 2],EU$3)</f>
        <v>0</v>
      </c>
      <c r="EV27" s="56">
        <f>SUMIFS(tblActuals354151923[Team 2 GD],tblActuals354151923[Team 2],$CU27,tblActuals354151923[Team 1],EV$3)+SUMIFS(tblActuals354151923[Team 1 GD],tblActuals354151923[Team 1],$CU27,tblActuals354151923[Team 2],EV$3)</f>
        <v>0</v>
      </c>
      <c r="EW27" s="56">
        <f>SUMIFS(tblActuals354151923[Team 2 GD],tblActuals354151923[Team 2],$CU27,tblActuals354151923[Team 1],EW$3)+SUMIFS(tblActuals354151923[Team 1 GD],tblActuals354151923[Team 1],$CU27,tblActuals354151923[Team 2],EW$3)</f>
        <v>0</v>
      </c>
      <c r="EX27" s="56">
        <f>SUMIFS(tblActuals354151923[Team 2 GD],tblActuals354151923[Team 2],$CU27,tblActuals354151923[Team 1],EX$3)+SUMIFS(tblActuals354151923[Team 1 GD],tblActuals354151923[Team 1],$CU27,tblActuals354151923[Team 2],EX$3)</f>
        <v>0</v>
      </c>
      <c r="EY27" s="56">
        <f>SUMIFS(tblActuals354151923[Team 2 GD],tblActuals354151923[Team 2],$CU27,tblActuals354151923[Team 1],EY$3)+SUMIFS(tblActuals354151923[Team 1 GD],tblActuals354151923[Team 1],$CU27,tblActuals354151923[Team 2],EY$3)</f>
        <v>0</v>
      </c>
      <c r="EZ27" s="56">
        <f>SUMIFS(tblActuals354151923[Team 2 GD],tblActuals354151923[Team 2],$CU27,tblActuals354151923[Team 1],EZ$3)+SUMIFS(tblActuals354151923[Team 1 GD],tblActuals354151923[Team 1],$CU27,tblActuals354151923[Team 2],EZ$3)</f>
        <v>0</v>
      </c>
      <c r="FA27" s="56">
        <f>SUMIFS(tblActuals354151923[Team 2 GD],tblActuals354151923[Team 2],$CU27,tblActuals354151923[Team 1],FA$3)+SUMIFS(tblActuals354151923[Team 1 GD],tblActuals354151923[Team 1],$CU27,tblActuals354151923[Team 2],FA$3)</f>
        <v>0</v>
      </c>
      <c r="FB27" s="57"/>
      <c r="FC27" s="57"/>
      <c r="FD27" s="57"/>
      <c r="FE27" s="57"/>
      <c r="FF27" s="57"/>
      <c r="FG27" s="57"/>
      <c r="FH27" s="57"/>
      <c r="FI27" s="57"/>
      <c r="FJ27" s="4"/>
      <c r="FK27" s="4" t="s">
        <v>135</v>
      </c>
      <c r="FL27" s="56">
        <f>SUMIFS(tblActuals354151923[Team 2 Goals],tblActuals354151923[Team 2],$CU27,tblActuals354151923[Team 1],FL$3)+SUMIFS(tblActuals354151923[Team 1 Goals],tblActuals354151923[Team 1],$CU27,tblActuals354151923[Team 2],FL$3)</f>
        <v>0</v>
      </c>
      <c r="FM27" s="56">
        <f>SUMIFS(tblActuals354151923[Team 2 Goals],tblActuals354151923[Team 2],$CU27,tblActuals354151923[Team 1],FM$3)+SUMIFS(tblActuals354151923[Team 1 Goals],tblActuals354151923[Team 1],$CU27,tblActuals354151923[Team 2],FM$3)</f>
        <v>0</v>
      </c>
      <c r="FN27" s="56">
        <f>SUMIFS(tblActuals354151923[Team 2 Goals],tblActuals354151923[Team 2],$CU27,tblActuals354151923[Team 1],FN$3)+SUMIFS(tblActuals354151923[Team 1 Goals],tblActuals354151923[Team 1],$CU27,tblActuals354151923[Team 2],FN$3)</f>
        <v>0</v>
      </c>
      <c r="FO27" s="56">
        <f>SUMIFS(tblActuals354151923[Team 2 Goals],tblActuals354151923[Team 2],$CU27,tblActuals354151923[Team 1],FO$3)+SUMIFS(tblActuals354151923[Team 1 Goals],tblActuals354151923[Team 1],$CU27,tblActuals354151923[Team 2],FO$3)</f>
        <v>0</v>
      </c>
      <c r="FP27" s="56">
        <f>SUMIFS(tblActuals354151923[Team 2 Goals],tblActuals354151923[Team 2],$CU27,tblActuals354151923[Team 1],FP$3)+SUMIFS(tblActuals354151923[Team 1 Goals],tblActuals354151923[Team 1],$CU27,tblActuals354151923[Team 2],FP$3)</f>
        <v>0</v>
      </c>
      <c r="FQ27" s="56">
        <f>SUMIFS(tblActuals354151923[Team 2 Goals],tblActuals354151923[Team 2],$CU27,tblActuals354151923[Team 1],FQ$3)+SUMIFS(tblActuals354151923[Team 1 Goals],tblActuals354151923[Team 1],$CU27,tblActuals354151923[Team 2],FQ$3)</f>
        <v>0</v>
      </c>
      <c r="FR27" s="56">
        <f>SUMIFS(tblActuals354151923[Team 2 Goals],tblActuals354151923[Team 2],$CU27,tblActuals354151923[Team 1],FR$3)+SUMIFS(tblActuals354151923[Team 1 Goals],tblActuals354151923[Team 1],$CU27,tblActuals354151923[Team 2],FR$3)</f>
        <v>0</v>
      </c>
      <c r="FS27" s="56">
        <f>SUMIFS(tblActuals354151923[Team 2 Goals],tblActuals354151923[Team 2],$CU27,tblActuals354151923[Team 1],FS$3)+SUMIFS(tblActuals354151923[Team 1 Goals],tblActuals354151923[Team 1],$CU27,tblActuals354151923[Team 2],FS$3)</f>
        <v>0</v>
      </c>
      <c r="FT27" s="56">
        <f>SUMIFS(tblActuals354151923[Team 2 Goals],tblActuals354151923[Team 2],$CU27,tblActuals354151923[Team 1],FT$3)+SUMIFS(tblActuals354151923[Team 1 Goals],tblActuals354151923[Team 1],$CU27,tblActuals354151923[Team 2],FT$3)</f>
        <v>0</v>
      </c>
      <c r="FU27" s="56">
        <f>SUMIFS(tblActuals354151923[Team 2 Goals],tblActuals354151923[Team 2],$CU27,tblActuals354151923[Team 1],FU$3)+SUMIFS(tblActuals354151923[Team 1 Goals],tblActuals354151923[Team 1],$CU27,tblActuals354151923[Team 2],FU$3)</f>
        <v>0</v>
      </c>
      <c r="FV27" s="56">
        <f>SUMIFS(tblActuals354151923[Team 2 Goals],tblActuals354151923[Team 2],$CU27,tblActuals354151923[Team 1],FV$3)+SUMIFS(tblActuals354151923[Team 1 Goals],tblActuals354151923[Team 1],$CU27,tblActuals354151923[Team 2],FV$3)</f>
        <v>0</v>
      </c>
      <c r="FW27" s="56">
        <f>SUMIFS(tblActuals354151923[Team 2 Goals],tblActuals354151923[Team 2],$CU27,tblActuals354151923[Team 1],FW$3)+SUMIFS(tblActuals354151923[Team 1 Goals],tblActuals354151923[Team 1],$CU27,tblActuals354151923[Team 2],FW$3)</f>
        <v>0</v>
      </c>
      <c r="FX27" s="56">
        <f>SUMIFS(tblActuals354151923[Team 2 Goals],tblActuals354151923[Team 2],$CU27,tblActuals354151923[Team 1],FX$3)+SUMIFS(tblActuals354151923[Team 1 Goals],tblActuals354151923[Team 1],$CU27,tblActuals354151923[Team 2],FX$3)</f>
        <v>0</v>
      </c>
      <c r="FY27" s="56">
        <f>SUMIFS(tblActuals354151923[Team 2 Goals],tblActuals354151923[Team 2],$CU27,tblActuals354151923[Team 1],FY$3)+SUMIFS(tblActuals354151923[Team 1 Goals],tblActuals354151923[Team 1],$CU27,tblActuals354151923[Team 2],FY$3)</f>
        <v>0</v>
      </c>
      <c r="FZ27" s="56">
        <f>SUMIFS(tblActuals354151923[Team 2 Goals],tblActuals354151923[Team 2],$CU27,tblActuals354151923[Team 1],FZ$3)+SUMIFS(tblActuals354151923[Team 1 Goals],tblActuals354151923[Team 1],$CU27,tblActuals354151923[Team 2],FZ$3)</f>
        <v>0</v>
      </c>
      <c r="GA27" s="56">
        <f>SUMIFS(tblActuals354151923[Team 2 Goals],tblActuals354151923[Team 2],$CU27,tblActuals354151923[Team 1],GA$3)+SUMIFS(tblActuals354151923[Team 1 Goals],tblActuals354151923[Team 1],$CU27,tblActuals354151923[Team 2],GA$3)</f>
        <v>0</v>
      </c>
      <c r="GB27" s="56">
        <f>SUMIFS(tblActuals354151923[Team 2 Goals],tblActuals354151923[Team 2],$CU27,tblActuals354151923[Team 1],GB$3)+SUMIFS(tblActuals354151923[Team 1 Goals],tblActuals354151923[Team 1],$CU27,tblActuals354151923[Team 2],GB$3)</f>
        <v>0</v>
      </c>
      <c r="GC27" s="56">
        <f>SUMIFS(tblActuals354151923[Team 2 Goals],tblActuals354151923[Team 2],$CU27,tblActuals354151923[Team 1],GC$3)+SUMIFS(tblActuals354151923[Team 1 Goals],tblActuals354151923[Team 1],$CU27,tblActuals354151923[Team 2],GC$3)</f>
        <v>0</v>
      </c>
      <c r="GD27" s="56">
        <f>SUMIFS(tblActuals354151923[Team 2 Goals],tblActuals354151923[Team 2],$CU27,tblActuals354151923[Team 1],GD$3)+SUMIFS(tblActuals354151923[Team 1 Goals],tblActuals354151923[Team 1],$CU27,tblActuals354151923[Team 2],GD$3)</f>
        <v>0</v>
      </c>
      <c r="GE27" s="56">
        <f>SUMIFS(tblActuals354151923[Team 2 Goals],tblActuals354151923[Team 2],$CU27,tblActuals354151923[Team 1],GE$3)+SUMIFS(tblActuals354151923[Team 1 Goals],tblActuals354151923[Team 1],$CU27,tblActuals354151923[Team 2],GE$3)</f>
        <v>0</v>
      </c>
      <c r="GF27" s="56">
        <f>SUMIFS(tblActuals354151923[Team 2 Goals],tblActuals354151923[Team 2],$CU27,tblActuals354151923[Team 1],GF$3)+SUMIFS(tblActuals354151923[Team 1 Goals],tblActuals354151923[Team 1],$CU27,tblActuals354151923[Team 2],GF$3)</f>
        <v>0</v>
      </c>
      <c r="GG27" s="56">
        <f>SUMIFS(tblActuals354151923[Team 2 Goals],tblActuals354151923[Team 2],$CU27,tblActuals354151923[Team 1],GG$3)+SUMIFS(tblActuals354151923[Team 1 Goals],tblActuals354151923[Team 1],$CU27,tblActuals354151923[Team 2],GG$3)</f>
        <v>0</v>
      </c>
      <c r="GH27" s="56">
        <f>SUMIFS(tblActuals354151923[Team 2 Goals],tblActuals354151923[Team 2],$CU27,tblActuals354151923[Team 1],GH$3)+SUMIFS(tblActuals354151923[Team 1 Goals],tblActuals354151923[Team 1],$CU27,tblActuals354151923[Team 2],GH$3)</f>
        <v>0</v>
      </c>
      <c r="GI27" s="56">
        <f>SUMIFS(tblActuals354151923[Team 2 Goals],tblActuals354151923[Team 2],$CU27,tblActuals354151923[Team 1],GI$3)+SUMIFS(tblActuals354151923[Team 1 Goals],tblActuals354151923[Team 1],$CU27,tblActuals354151923[Team 2],GI$3)</f>
        <v>0</v>
      </c>
      <c r="GJ27" s="57"/>
      <c r="GK27" s="57"/>
      <c r="GL27" s="37"/>
      <c r="GM27" s="37"/>
      <c r="GN27" s="37"/>
      <c r="GO27" s="37"/>
      <c r="GP27" s="37"/>
      <c r="GQ27" s="37"/>
      <c r="GR27" s="75"/>
      <c r="GS27" s="148"/>
      <c r="GT27" s="148"/>
      <c r="GU27" s="75"/>
      <c r="GV27" s="75"/>
      <c r="GW27" s="75"/>
      <c r="GX27" s="75"/>
      <c r="GY27" s="75"/>
      <c r="GZ27" s="75"/>
    </row>
    <row r="28" spans="1:221" s="11" customFormat="1" ht="30" customHeight="1" thickBot="1" x14ac:dyDescent="0.3">
      <c r="A28" s="20"/>
      <c r="B28" s="122">
        <v>25</v>
      </c>
      <c r="C28" s="122" t="s">
        <v>1</v>
      </c>
      <c r="D28" s="123">
        <v>45466</v>
      </c>
      <c r="E28" s="122" t="s">
        <v>86</v>
      </c>
      <c r="F28" s="124">
        <v>0.875</v>
      </c>
      <c r="G28" s="125">
        <f t="shared" si="11"/>
        <v>45466.625</v>
      </c>
      <c r="H28" s="122" t="s">
        <v>113</v>
      </c>
      <c r="I28" s="126"/>
      <c r="J28" s="118"/>
      <c r="K28" s="118"/>
      <c r="L28" s="174">
        <f>IF(I28="",0,IFERROR(IF(SCORING.RULES!$C$8="No",1,((VLOOKUP($B28,ACTUALS!$B$4:$L$100,7,FALSE)=$H28)+(VLOOKUP($B28,ACTUALS!$B$4:$L$100,7,FALSE)=S28)))*(M28+N28+O28+P28+Q28),0))+$R28</f>
        <v>0</v>
      </c>
      <c r="M28" s="168">
        <f>IFERROR(IF($B28="","",IF(U28=INDEX(ACTUALS!$AA$4:$AA$100,MATCH($B28,ACTUALS!$B$4:$B$100,0),1),CorrectScore,0)),0)</f>
        <v>0</v>
      </c>
      <c r="N28" s="157" t="str">
        <f>IFERROR(IF(I28="","",IF(INDEX(ACTUALS!$AB$4:$AB$100,MATCH($B28,ACTUALS!$B$4:$B$100,0),1)=(AB28+AC28+AH28+AI28),CorrectNumberofGoals,0)),0)</f>
        <v/>
      </c>
      <c r="O28" s="157"/>
      <c r="P28" s="157">
        <f>IFERROR(IF(B28="","",IF(INDEX(ACTUALS!$L$4:$L$100,MATCH($B28,ACTUALS!$B$4:$B$100,0),1)=W28,CorrectResult,0)),0)</f>
        <v>3</v>
      </c>
      <c r="Q28" s="157"/>
      <c r="R28" s="157"/>
      <c r="S28" s="157" t="str">
        <f t="shared" si="0"/>
        <v/>
      </c>
      <c r="T28" s="157"/>
      <c r="U28" s="157" t="str">
        <f t="shared" si="1"/>
        <v/>
      </c>
      <c r="V28" s="157" t="str">
        <f t="shared" si="2"/>
        <v/>
      </c>
      <c r="W28" s="119" t="str">
        <f>IF(tblActuals354151923[[#This Row],[SCORE]]="","",IF(AB28=AC28,"Draw",IF(AB28&gt;AC28,X28,Y28)))</f>
        <v/>
      </c>
      <c r="X28" s="120" t="str">
        <f>IF(tblActuals354151923[[#This Row],[TEAMS]]="","",LEFT(H28,FIND(" -",H28,1)-1))</f>
        <v>Switzerland</v>
      </c>
      <c r="Y28" s="120" t="str">
        <f>IF(tblActuals354151923[[#This Row],[TEAMS]]="","",MID(H28,FIND("-",H28,1)+2,LEN(H28)-FIND("-",H28,1)+2))</f>
        <v>Germany</v>
      </c>
      <c r="Z28" s="120" t="str">
        <f>IF(tblActuals354151923[[#This Row],[Team 1 Goals]]&gt;tblActuals354151923[[#This Row],[Team 2 Goals]],tblActuals354151923[[#This Row],[Team 1]],IF(tblActuals354151923[[#This Row],[Team 2 Goals]]&gt;tblActuals354151923[[#This Row],[Team 1 Goals]],tblActuals354151923[[#This Row],[Team 2]],""))</f>
        <v/>
      </c>
      <c r="AA28" s="120" t="str">
        <f>IF(tblActuals354151923[[#This Row],[Winner]]=tblActuals354151923[[#This Row],[Team 1]],tblActuals354151923[[#This Row],[Team 2]],IF(tblActuals354151923[[#This Row],[Winner]]=tblActuals354151923[[#This Row],[Team 2]],tblActuals354151923[[#This Row],[Team 1]],""))</f>
        <v/>
      </c>
      <c r="AB28" s="120" t="str">
        <f>IF(tblActuals354151923[[#This Row],[SCORE]]="","",LEFT(I28,FIND(":",I28,1)-1)*1)</f>
        <v/>
      </c>
      <c r="AC28" s="120" t="str">
        <f>IF(tblActuals354151923[[#This Row],[SCORE]]="","",MID(I28,FIND(":",I28,1)+1,LEN(I28)-FIND(":",I28,1)+1)*1)</f>
        <v/>
      </c>
      <c r="AD28" s="120" t="str">
        <f>IF(OR(tblActuals354151923[[#This Row],[Team 1 Goals]]="",tblActuals354151923[[#This Row],[Team 2 Goals]]=""),"",tblActuals354151923[[#This Row],[Team 1 Goals]]-tblActuals354151923[[#This Row],[Team 2 Goals]])</f>
        <v/>
      </c>
      <c r="AE28" s="120" t="str">
        <f>IF(OR(tblActuals354151923[[#This Row],[Team 1 Goals]]="",tblActuals354151923[[#This Row],[Team 2 Goals]]=""),"",tblActuals354151923[[#This Row],[Team 2 Goals]]-tblActuals354151923[[#This Row],[Team 1 Goals]])</f>
        <v/>
      </c>
      <c r="AF28" s="120" t="str">
        <f>IF(tblActuals354151923[[#This Row],[SCORE]]="","",IF(tblActuals354151923[[#This Row],[WINNER / RESULT]]="Draw",1,IF(tblActuals354151923[[#This Row],[WINNER / RESULT]]=tblActuals354151923[[#This Row],[Team 1]],3,0)))</f>
        <v/>
      </c>
      <c r="AG28" s="120" t="str">
        <f>IF(tblActuals354151923[[#This Row],[SCORE]]="","",IF(tblActuals354151923[[#This Row],[WINNER / RESULT]]="Draw",1,IF(tblActuals354151923[[#This Row],[WINNER / RESULT]]=tblActuals354151923[[#This Row],[Team 2]],3,0)))</f>
        <v/>
      </c>
      <c r="AH28" s="121"/>
      <c r="AI28" s="121"/>
      <c r="AJ28" s="121"/>
      <c r="AK28" s="121"/>
      <c r="AL28" s="120" t="e">
        <f>tblActuals354151923[[#This Row],[Team 1 Goals]]+tblActuals354151923[[#This Row],[Team 1 ET Goals]]&amp;":"&amp;tblActuals354151923[[#This Row],[Team 2 Goals]]+tblActuals354151923[[#This Row],[Team 2 ET Goals]]</f>
        <v>#VALUE!</v>
      </c>
      <c r="AM28" s="120" t="e">
        <f>+tblActuals354151923[[#This Row],[Team 1 Goals]]+tblActuals354151923[[#This Row],[Team 2 Goals]]</f>
        <v>#VALUE!</v>
      </c>
      <c r="AN28" s="161">
        <f t="shared" si="3"/>
        <v>45466</v>
      </c>
      <c r="AT28" s="77"/>
      <c r="AU28" s="148"/>
      <c r="AV28" s="148"/>
      <c r="AW28" s="148"/>
      <c r="AX28" s="148"/>
      <c r="AY28" s="148"/>
      <c r="AZ28" s="75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 t="str">
        <f t="shared" si="4"/>
        <v/>
      </c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U28" s="4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4"/>
      <c r="EC28" s="4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4"/>
      <c r="FK28" s="4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  <c r="GL28" s="37"/>
      <c r="GM28" s="37"/>
      <c r="GN28" s="37"/>
      <c r="GO28" s="37"/>
      <c r="GP28" s="37"/>
      <c r="GQ28" s="37"/>
      <c r="GR28" s="75"/>
      <c r="GS28" s="148"/>
      <c r="GT28" s="148"/>
      <c r="GU28" s="75"/>
      <c r="GV28" s="75"/>
      <c r="GW28" s="75"/>
      <c r="GX28" s="75"/>
      <c r="GY28" s="75"/>
      <c r="GZ28" s="75"/>
    </row>
    <row r="29" spans="1:221" s="11" customFormat="1" ht="30" customHeight="1" thickBot="1" x14ac:dyDescent="0.3">
      <c r="A29" s="20"/>
      <c r="B29" s="122">
        <v>26</v>
      </c>
      <c r="C29" s="122" t="s">
        <v>1</v>
      </c>
      <c r="D29" s="123">
        <v>45466</v>
      </c>
      <c r="E29" s="122" t="s">
        <v>83</v>
      </c>
      <c r="F29" s="124">
        <v>0.875</v>
      </c>
      <c r="G29" s="125">
        <f t="shared" si="11"/>
        <v>45466.625</v>
      </c>
      <c r="H29" s="122" t="s">
        <v>114</v>
      </c>
      <c r="I29" s="126"/>
      <c r="J29" s="118"/>
      <c r="K29" s="118"/>
      <c r="L29" s="174">
        <f>IF(I29="",0,IFERROR(IF(SCORING.RULES!$C$8="No",1,((VLOOKUP($B29,ACTUALS!$B$4:$L$100,7,FALSE)=$H29)+(VLOOKUP($B29,ACTUALS!$B$4:$L$100,7,FALSE)=S29)))*(M29+N29+O29+P29+Q29),0))+$R29</f>
        <v>0</v>
      </c>
      <c r="M29" s="168">
        <f>IFERROR(IF($B29="","",IF(U29=INDEX(ACTUALS!$AA$4:$AA$100,MATCH($B29,ACTUALS!$B$4:$B$100,0),1),CorrectScore,0)),0)</f>
        <v>0</v>
      </c>
      <c r="N29" s="157" t="str">
        <f>IFERROR(IF(I29="","",IF(INDEX(ACTUALS!$AB$4:$AB$100,MATCH($B29,ACTUALS!$B$4:$B$100,0),1)=(AB29+AC29+AH29+AI29),CorrectNumberofGoals,0)),0)</f>
        <v/>
      </c>
      <c r="O29" s="157"/>
      <c r="P29" s="157">
        <f>IFERROR(IF(B29="","",IF(INDEX(ACTUALS!$L$4:$L$100,MATCH($B29,ACTUALS!$B$4:$B$100,0),1)=W29,CorrectResult,0)),0)</f>
        <v>3</v>
      </c>
      <c r="Q29" s="157"/>
      <c r="R29" s="157"/>
      <c r="S29" s="157" t="str">
        <f t="shared" si="0"/>
        <v/>
      </c>
      <c r="T29" s="157"/>
      <c r="U29" s="157" t="str">
        <f t="shared" si="1"/>
        <v/>
      </c>
      <c r="V29" s="157" t="str">
        <f t="shared" si="2"/>
        <v/>
      </c>
      <c r="W29" s="119" t="str">
        <f>IF(tblActuals354151923[[#This Row],[SCORE]]="","",IF(AB29=AC29,"Draw",IF(AB29&gt;AC29,X29,Y29)))</f>
        <v/>
      </c>
      <c r="X29" s="120" t="str">
        <f>IF(tblActuals354151923[[#This Row],[TEAMS]]="","",LEFT(H29,FIND(" -",H29,1)-1))</f>
        <v>Scotland</v>
      </c>
      <c r="Y29" s="120" t="str">
        <f>IF(tblActuals354151923[[#This Row],[TEAMS]]="","",MID(H29,FIND("-",H29,1)+2,LEN(H29)-FIND("-",H29,1)+2))</f>
        <v>Hungary</v>
      </c>
      <c r="Z29" s="120" t="str">
        <f>IF(tblActuals354151923[[#This Row],[Team 1 Goals]]&gt;tblActuals354151923[[#This Row],[Team 2 Goals]],tblActuals354151923[[#This Row],[Team 1]],IF(tblActuals354151923[[#This Row],[Team 2 Goals]]&gt;tblActuals354151923[[#This Row],[Team 1 Goals]],tblActuals354151923[[#This Row],[Team 2]],""))</f>
        <v/>
      </c>
      <c r="AA29" s="120" t="str">
        <f>IF(tblActuals354151923[[#This Row],[Winner]]=tblActuals354151923[[#This Row],[Team 1]],tblActuals354151923[[#This Row],[Team 2]],IF(tblActuals354151923[[#This Row],[Winner]]=tblActuals354151923[[#This Row],[Team 2]],tblActuals354151923[[#This Row],[Team 1]],""))</f>
        <v/>
      </c>
      <c r="AB29" s="120" t="str">
        <f>IF(tblActuals354151923[[#This Row],[SCORE]]="","",LEFT(I29,FIND(":",I29,1)-1)*1)</f>
        <v/>
      </c>
      <c r="AC29" s="120" t="str">
        <f>IF(tblActuals354151923[[#This Row],[SCORE]]="","",MID(I29,FIND(":",I29,1)+1,LEN(I29)-FIND(":",I29,1)+1)*1)</f>
        <v/>
      </c>
      <c r="AD29" s="120" t="str">
        <f>IF(OR(tblActuals354151923[[#This Row],[Team 1 Goals]]="",tblActuals354151923[[#This Row],[Team 2 Goals]]=""),"",tblActuals354151923[[#This Row],[Team 1 Goals]]-tblActuals354151923[[#This Row],[Team 2 Goals]])</f>
        <v/>
      </c>
      <c r="AE29" s="120" t="str">
        <f>IF(OR(tblActuals354151923[[#This Row],[Team 1 Goals]]="",tblActuals354151923[[#This Row],[Team 2 Goals]]=""),"",tblActuals354151923[[#This Row],[Team 2 Goals]]-tblActuals354151923[[#This Row],[Team 1 Goals]])</f>
        <v/>
      </c>
      <c r="AF29" s="120" t="str">
        <f>IF(tblActuals354151923[[#This Row],[SCORE]]="","",IF(tblActuals354151923[[#This Row],[WINNER / RESULT]]="Draw",1,IF(tblActuals354151923[[#This Row],[WINNER / RESULT]]=tblActuals354151923[[#This Row],[Team 1]],3,0)))</f>
        <v/>
      </c>
      <c r="AG29" s="120" t="str">
        <f>IF(tblActuals354151923[[#This Row],[SCORE]]="","",IF(tblActuals354151923[[#This Row],[WINNER / RESULT]]="Draw",1,IF(tblActuals354151923[[#This Row],[WINNER / RESULT]]=tblActuals354151923[[#This Row],[Team 2]],3,0)))</f>
        <v/>
      </c>
      <c r="AH29" s="121"/>
      <c r="AI29" s="121"/>
      <c r="AJ29" s="121"/>
      <c r="AK29" s="121"/>
      <c r="AL29" s="120" t="e">
        <f>tblActuals354151923[[#This Row],[Team 1 Goals]]+tblActuals354151923[[#This Row],[Team 1 ET Goals]]&amp;":"&amp;tblActuals354151923[[#This Row],[Team 2 Goals]]+tblActuals354151923[[#This Row],[Team 2 ET Goals]]</f>
        <v>#VALUE!</v>
      </c>
      <c r="AM29" s="120" t="e">
        <f>+tblActuals354151923[[#This Row],[Team 1 Goals]]+tblActuals354151923[[#This Row],[Team 2 Goals]]</f>
        <v>#VALUE!</v>
      </c>
      <c r="AN29" s="161">
        <f t="shared" si="3"/>
        <v>45466</v>
      </c>
      <c r="AT29" s="78"/>
      <c r="AU29" s="179" t="s">
        <v>55</v>
      </c>
      <c r="AV29" s="180"/>
      <c r="AW29" s="133" t="s">
        <v>46</v>
      </c>
      <c r="AX29" s="134" t="s">
        <v>57</v>
      </c>
      <c r="AY29" s="135" t="s">
        <v>11</v>
      </c>
      <c r="AZ29" s="75"/>
      <c r="BA29" s="4"/>
      <c r="BB29" s="4"/>
      <c r="BC29" s="4" t="s">
        <v>45</v>
      </c>
      <c r="BD29" s="4" t="s">
        <v>135</v>
      </c>
      <c r="BE29" s="4">
        <f>COUNTIF(tblActuals354151923[Winner],BD29)</f>
        <v>0</v>
      </c>
      <c r="BF29" s="4">
        <f>COUNTIFS(tblActuals354151923[Team 2],BD29,tblActuals354151923[WINNER / RESULT],"Draw")+COUNTIFS(tblActuals354151923[Team 1],BD29,tblActuals354151923[WINNER / RESULT],"Draw")</f>
        <v>0</v>
      </c>
      <c r="BG29" s="4">
        <f>COUNTIF(tblActuals354151923[Loser],BD29)</f>
        <v>0</v>
      </c>
      <c r="BH29" s="4">
        <f>BF29+(3*BE29)</f>
        <v>0</v>
      </c>
      <c r="BI29" s="4">
        <f>SUMIFS(tblActuals354151923[Team 1 Goals],tblActuals354151923[Team 1],BD29)+SUMIFS(tblActuals354151923[Team 2 Goals],tblActuals354151923[Team 2],BD29)</f>
        <v>0</v>
      </c>
      <c r="BJ29" s="4">
        <f>SUMIFS(tblActuals354151923[Team 2 Goals],tblActuals354151923[Team 1],BD29)+SUMIFS(tblActuals354151923[Team 1 Goals],tblActuals354151923[Team 2],BD29)</f>
        <v>0</v>
      </c>
      <c r="BK29" s="4">
        <f>BI29-BJ29</f>
        <v>0</v>
      </c>
      <c r="BL29" s="4">
        <f ca="1">RANK(BY29,$BY$29:$BY$32,1)</f>
        <v>1</v>
      </c>
      <c r="BM29" s="4" t="str">
        <f t="shared" si="4"/>
        <v/>
      </c>
      <c r="BN29" s="4" t="str">
        <f ca="1">IF(BM29="",BL29&amp;BC29,BM29&amp;BC29)</f>
        <v>1F</v>
      </c>
      <c r="BO29" s="4">
        <f>RANK(BH29,$BH$29:$BH$32,0)</f>
        <v>1</v>
      </c>
      <c r="BP29" s="4" cm="1">
        <f t="array" aca="1" ref="BP29" ca="1">SUMPRODUCT((OFFSET($CV$3:$EA$3,MATCH($BD29,$CU$4:$CU$35,0),0))*((IF($BO31=$BO29,$CV$3:$EA$3=$BD31,0))+(IF($BO32=$BO29,$CV$3:$EA$3=$BD32,0))+(IF($BO30=$BO29,$CV$3:$EA$3=$BD30,0))))</f>
        <v>0</v>
      </c>
      <c r="BQ29" s="4" cm="1">
        <f t="array" aca="1" ref="BQ29" ca="1">SUMPRODUCT((OFFSET($ED$3:$FI$3,MATCH($BD29,$EC$4:$EC$35,0),0))*((IF($BO31=$BO29,$ED$3:$FI$3=$BD31,0))+(IF($BO32=$BO29,$ED$3:$FI$3=$BD32,0))+(IF($BO30=$BO29,$ED$3:$FI$3=$BD30,0))))</f>
        <v>0</v>
      </c>
      <c r="BR29" s="4" cm="1">
        <f t="array" aca="1" ref="BR29" ca="1">SUMPRODUCT((OFFSET($FL$3:$GQ$3,MATCH($BD29,$FK$4:$FK$35,0),0))*((IF($BO31=$BO29,$FL$3:$GQ$3=$BD31,0))+(IF($BO32=$BO29,$FL$3:$GQ$3=$BD32,0))+(IF($BO30=$BO29,$FL$3:$GQ$3=$BD30,0))))</f>
        <v>0</v>
      </c>
      <c r="BS29" s="4" cm="1">
        <f t="array" aca="1" ref="BS29" ca="1">SUMPRODUCT((OFFSET($CV$3:$EA$3,MATCH($BD29,$CU$4:$CU$35,0),0))*((IF($BO31&lt;&gt;$BO29,$CV$3:$EA$3=$BD31,0))+(IF($BO32&lt;&gt;$BO29,$CV$3:$EA$3=$BD32,0))+(IF($BO30&lt;&gt;$BO29,$CV$3:$EA$3=$BD30,0))))</f>
        <v>0</v>
      </c>
      <c r="BT29" s="4" cm="1">
        <f t="array" aca="1" ref="BT29" ca="1">SUMPRODUCT((OFFSET($ED$3:$FI$3,MATCH($BD29,$EC$4:$EC$35,0),0))*((IF($BO31&lt;&gt;$BO29,$ED$3:$FI$3=$BD31,0))+(IF($BO32&lt;&gt;$BO29,$ED$3:$FI$3=$BD32,0))+(IF($BO30&lt;&gt;$BO29,$ED$3:$FI$3=$BD30,0))))</f>
        <v>0</v>
      </c>
      <c r="BU29" s="4" cm="1">
        <f t="array" aca="1" ref="BU29" ca="1">SUMPRODUCT((OFFSET($FL$3:$GQ$3,MATCH($BD29,$FK$4:$FK$35,0),0))*((IF($BO31&lt;&gt;$BO29,$FL$3:$GQ$3=$BD31,0))+(IF($BO32&lt;&gt;$BO29,$FL$3:$GQ$3=$BD32,0))+(IF($BO30&lt;&gt;$BO29,$FL$3:$GQ$3=$BD30,0))))</f>
        <v>0</v>
      </c>
      <c r="BV29" s="4">
        <f>BK29</f>
        <v>0</v>
      </c>
      <c r="BW29" s="4">
        <f>BI29</f>
        <v>0</v>
      </c>
      <c r="BX29" s="4">
        <f ca="1">(BP29/10)+(BQ29/100)+(BR29/1000)+(BT29/10000)+(BU29/100000)+(BV29/1000000)+(BW29/10000000)+(ROW(BS32)/100000000)</f>
        <v>3.2000000000000001E-7</v>
      </c>
      <c r="BY29" s="4">
        <f ca="1">+BO29-BX29</f>
        <v>0.99999967999999995</v>
      </c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U29" s="4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4"/>
      <c r="EC29" s="4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4"/>
      <c r="FK29" s="4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37"/>
      <c r="GM29" s="37"/>
      <c r="GN29" s="37"/>
      <c r="GO29" s="37"/>
      <c r="GP29" s="37"/>
      <c r="GQ29" s="37"/>
      <c r="GR29" s="75"/>
      <c r="GS29" s="148"/>
      <c r="GT29" s="157"/>
      <c r="GU29" s="75"/>
      <c r="GV29" s="75"/>
      <c r="GW29" s="75"/>
      <c r="GX29" s="75"/>
      <c r="GY29" s="75"/>
      <c r="GZ29" s="75"/>
    </row>
    <row r="30" spans="1:221" s="11" customFormat="1" ht="30" customHeight="1" x14ac:dyDescent="0.25">
      <c r="A30" s="20"/>
      <c r="B30" s="122">
        <v>27</v>
      </c>
      <c r="C30" s="122" t="s">
        <v>5</v>
      </c>
      <c r="D30" s="123">
        <v>45467</v>
      </c>
      <c r="E30" s="122" t="s">
        <v>85</v>
      </c>
      <c r="F30" s="124">
        <v>0.875</v>
      </c>
      <c r="G30" s="125">
        <f t="shared" si="11"/>
        <v>45467.625</v>
      </c>
      <c r="H30" s="122" t="s">
        <v>115</v>
      </c>
      <c r="I30" s="126"/>
      <c r="J30" s="118"/>
      <c r="K30" s="118"/>
      <c r="L30" s="174">
        <f>IF(I30="",0,IFERROR(IF(SCORING.RULES!$C$8="No",1,((VLOOKUP($B30,ACTUALS!$B$4:$L$100,7,FALSE)=$H30)+(VLOOKUP($B30,ACTUALS!$B$4:$L$100,7,FALSE)=S30)))*(M30+N30+O30+P30+Q30),0))+$R30</f>
        <v>0</v>
      </c>
      <c r="M30" s="168">
        <f>IFERROR(IF($B30="","",IF(U30=INDEX(ACTUALS!$AA$4:$AA$100,MATCH($B30,ACTUALS!$B$4:$B$100,0),1),CorrectScore,0)),0)</f>
        <v>0</v>
      </c>
      <c r="N30" s="157" t="str">
        <f>IFERROR(IF(I30="","",IF(INDEX(ACTUALS!$AB$4:$AB$100,MATCH($B30,ACTUALS!$B$4:$B$100,0),1)=(AB30+AC30+AH30+AI30),CorrectNumberofGoals,0)),0)</f>
        <v/>
      </c>
      <c r="O30" s="157"/>
      <c r="P30" s="157">
        <f>IFERROR(IF(B30="","",IF(INDEX(ACTUALS!$L$4:$L$100,MATCH($B30,ACTUALS!$B$4:$B$100,0),1)=W30,CorrectResult,0)),0)</f>
        <v>3</v>
      </c>
      <c r="Q30" s="157"/>
      <c r="R30" s="157"/>
      <c r="S30" s="157" t="str">
        <f t="shared" si="0"/>
        <v/>
      </c>
      <c r="T30" s="157"/>
      <c r="U30" s="157" t="str">
        <f t="shared" si="1"/>
        <v/>
      </c>
      <c r="V30" s="157" t="str">
        <f t="shared" si="2"/>
        <v/>
      </c>
      <c r="W30" s="119" t="str">
        <f>IF(tblActuals354151923[[#This Row],[SCORE]]="","",IF(AB30=AC30,"Draw",IF(AB30&gt;AC30,X30,Y30)))</f>
        <v/>
      </c>
      <c r="X30" s="120" t="str">
        <f>IF(tblActuals354151923[[#This Row],[TEAMS]]="","",LEFT(H30,FIND(" -",H30,1)-1))</f>
        <v>Albania</v>
      </c>
      <c r="Y30" s="120" t="str">
        <f>IF(tblActuals354151923[[#This Row],[TEAMS]]="","",MID(H30,FIND("-",H30,1)+2,LEN(H30)-FIND("-",H30,1)+2))</f>
        <v>Spain</v>
      </c>
      <c r="Z30" s="120" t="str">
        <f>IF(tblActuals354151923[[#This Row],[Team 1 Goals]]&gt;tblActuals354151923[[#This Row],[Team 2 Goals]],tblActuals354151923[[#This Row],[Team 1]],IF(tblActuals354151923[[#This Row],[Team 2 Goals]]&gt;tblActuals354151923[[#This Row],[Team 1 Goals]],tblActuals354151923[[#This Row],[Team 2]],""))</f>
        <v/>
      </c>
      <c r="AA30" s="120" t="str">
        <f>IF(tblActuals354151923[[#This Row],[Winner]]=tblActuals354151923[[#This Row],[Team 1]],tblActuals354151923[[#This Row],[Team 2]],IF(tblActuals354151923[[#This Row],[Winner]]=tblActuals354151923[[#This Row],[Team 2]],tblActuals354151923[[#This Row],[Team 1]],""))</f>
        <v/>
      </c>
      <c r="AB30" s="120" t="str">
        <f>IF(tblActuals354151923[[#This Row],[SCORE]]="","",LEFT(I30,FIND(":",I30,1)-1)*1)</f>
        <v/>
      </c>
      <c r="AC30" s="120" t="str">
        <f>IF(tblActuals354151923[[#This Row],[SCORE]]="","",MID(I30,FIND(":",I30,1)+1,LEN(I30)-FIND(":",I30,1)+1)*1)</f>
        <v/>
      </c>
      <c r="AD30" s="120" t="str">
        <f>IF(OR(tblActuals354151923[[#This Row],[Team 1 Goals]]="",tblActuals354151923[[#This Row],[Team 2 Goals]]=""),"",tblActuals354151923[[#This Row],[Team 1 Goals]]-tblActuals354151923[[#This Row],[Team 2 Goals]])</f>
        <v/>
      </c>
      <c r="AE30" s="120" t="str">
        <f>IF(OR(tblActuals354151923[[#This Row],[Team 1 Goals]]="",tblActuals354151923[[#This Row],[Team 2 Goals]]=""),"",tblActuals354151923[[#This Row],[Team 2 Goals]]-tblActuals354151923[[#This Row],[Team 1 Goals]])</f>
        <v/>
      </c>
      <c r="AF30" s="120" t="str">
        <f>IF(tblActuals354151923[[#This Row],[SCORE]]="","",IF(tblActuals354151923[[#This Row],[WINNER / RESULT]]="Draw",1,IF(tblActuals354151923[[#This Row],[WINNER / RESULT]]=tblActuals354151923[[#This Row],[Team 1]],3,0)))</f>
        <v/>
      </c>
      <c r="AG30" s="120" t="str">
        <f>IF(tblActuals354151923[[#This Row],[SCORE]]="","",IF(tblActuals354151923[[#This Row],[WINNER / RESULT]]="Draw",1,IF(tblActuals354151923[[#This Row],[WINNER / RESULT]]=tblActuals354151923[[#This Row],[Team 2]],3,0)))</f>
        <v/>
      </c>
      <c r="AH30" s="121"/>
      <c r="AI30" s="121"/>
      <c r="AJ30" s="121"/>
      <c r="AK30" s="121"/>
      <c r="AL30" s="120" t="e">
        <f>tblActuals354151923[[#This Row],[Team 1 Goals]]+tblActuals354151923[[#This Row],[Team 1 ET Goals]]&amp;":"&amp;tblActuals354151923[[#This Row],[Team 2 Goals]]+tblActuals354151923[[#This Row],[Team 2 ET Goals]]</f>
        <v>#VALUE!</v>
      </c>
      <c r="AM30" s="120" t="e">
        <f>+tblActuals354151923[[#This Row],[Team 1 Goals]]+tblActuals354151923[[#This Row],[Team 2 Goals]]</f>
        <v>#VALUE!</v>
      </c>
      <c r="AN30" s="161">
        <f t="shared" si="3"/>
        <v>45467</v>
      </c>
      <c r="AT30" s="77" t="s">
        <v>12</v>
      </c>
      <c r="AU30" s="136">
        <v>1</v>
      </c>
      <c r="AV30" s="137" t="str">
        <f ca="1">IFERROR(INDEX(BD:BD,MATCH("1"&amp;AT30,BN:BN,0),1),"")</f>
        <v>Belgium</v>
      </c>
      <c r="AW30" s="137" t="str">
        <f ca="1">IF(AV30="","",VLOOKUP(AV30,BD:BI,2,FALSE)&amp;"-"&amp;VLOOKUP(AV30,BD:BI,3,FALSE)&amp;"-"&amp;VLOOKUP(AV30,BD:BI,4,FALSE))</f>
        <v>0-0-0</v>
      </c>
      <c r="AX30" s="137">
        <f ca="1">IF(AV30="","",VLOOKUP(AV30,BD:BK,8,FALSE))</f>
        <v>0</v>
      </c>
      <c r="AY30" s="138">
        <f ca="1">IF(AV30="","",VLOOKUP(AV30,BD:BN,5,FALSE))</f>
        <v>0</v>
      </c>
      <c r="AZ30" s="75"/>
      <c r="BA30" s="4"/>
      <c r="BB30" s="4"/>
      <c r="BC30" s="4" t="s">
        <v>45</v>
      </c>
      <c r="BD30" s="4" t="s">
        <v>134</v>
      </c>
      <c r="BE30" s="4">
        <f>COUNTIF(tblActuals354151923[Winner],BD30)</f>
        <v>0</v>
      </c>
      <c r="BF30" s="4">
        <f>COUNTIFS(tblActuals354151923[Team 2],BD30,tblActuals354151923[WINNER / RESULT],"Draw")+COUNTIFS(tblActuals354151923[Team 1],BD30,tblActuals354151923[WINNER / RESULT],"Draw")</f>
        <v>0</v>
      </c>
      <c r="BG30" s="4">
        <f>COUNTIF(tblActuals354151923[Loser],BD30)</f>
        <v>0</v>
      </c>
      <c r="BH30" s="4">
        <f>BF30+(3*BE30)</f>
        <v>0</v>
      </c>
      <c r="BI30" s="4">
        <f>SUMIFS(tblActuals354151923[Team 1 Goals],tblActuals354151923[Team 1],BD30)+SUMIFS(tblActuals354151923[Team 2 Goals],tblActuals354151923[Team 2],BD30)</f>
        <v>0</v>
      </c>
      <c r="BJ30" s="4">
        <f>SUMIFS(tblActuals354151923[Team 2 Goals],tblActuals354151923[Team 1],BD30)+SUMIFS(tblActuals354151923[Team 1 Goals],tblActuals354151923[Team 2],BD30)</f>
        <v>0</v>
      </c>
      <c r="BK30" s="4">
        <f>BI30-BJ30</f>
        <v>0</v>
      </c>
      <c r="BL30" s="4">
        <f ca="1">RANK(BY30,$BY$29:$BY$32,1)</f>
        <v>2</v>
      </c>
      <c r="BM30" s="4" t="str">
        <f t="shared" si="4"/>
        <v/>
      </c>
      <c r="BN30" s="4" t="str">
        <f ca="1">IF(BM30="",BL30&amp;BC30,BM30&amp;BC30)</f>
        <v>2F</v>
      </c>
      <c r="BO30" s="4">
        <f>RANK(BH30,$BH$29:$BH$32,0)</f>
        <v>1</v>
      </c>
      <c r="BP30" s="4" cm="1">
        <f t="array" aca="1" ref="BP30" ca="1">SUMPRODUCT((OFFSET($CV$3:$EA$3,MATCH($BD30,$CU$4:$CU$35,0),0))*((IF($BO31=$BO30,$CV$3:$EA$3=$BD31,0))+(IF($BO32=$BO30,$CV$3:$EA$3=$BD32,0))+(IF($BO29=$BO30,$CV$3:$EA$3=$BD29,0))))</f>
        <v>0</v>
      </c>
      <c r="BQ30" s="4" cm="1">
        <f t="array" aca="1" ref="BQ30" ca="1">SUMPRODUCT((OFFSET($ED$3:$FI$3,MATCH($BD30,$EC$4:$EC$35,0),0))*((IF($BO31=$BO30,$ED$3:$FI$3=$BD31,0))+(IF($BO32=$BO30,$ED$3:$FI$3=$BD32,0))+(IF($BO29=$BO30,$ED$3:$FI$3=$BD29,0))))</f>
        <v>0</v>
      </c>
      <c r="BR30" s="4" cm="1">
        <f t="array" aca="1" ref="BR30" ca="1">SUMPRODUCT((OFFSET($FL$3:$GQ$3,MATCH($BD30,$FK$4:$FK$35,0),0))*((IF($BO31=$BO30,$FL$3:$GQ$3=$BD31,0))+(IF($BO32=$BO30,$FL$3:$GQ$3=$BD32,0))+(IF($BO29=$BO30,$FL$3:$GQ$3=$BD29,0))))</f>
        <v>0</v>
      </c>
      <c r="BS30" s="4" cm="1">
        <f t="array" aca="1" ref="BS30" ca="1">SUMPRODUCT((OFFSET($CV$3:$EA$3,MATCH($BD30,$CU$4:$CU$35,0),0))*((IF($BO31&lt;&gt;$BO30,$CV$3:$EA$3=$BD31,0))+(IF($BO32&lt;&gt;$BO30,$CV$3:$EA$3=$BD32,0))+(IF($BO29&lt;&gt;$BO30,$CV$3:$EA$3=$BD29,0))))</f>
        <v>0</v>
      </c>
      <c r="BT30" s="4" cm="1">
        <f t="array" aca="1" ref="BT30" ca="1">SUMPRODUCT((OFFSET($ED$3:$FI$3,MATCH($BD30,$EC$4:$EC$35,0),0))*((IF($BO31&lt;&gt;$BO30,$ED$3:$FI$3=$BD31,0))+(IF($BO32&lt;&gt;$BO30,$ED$3:$FI$3=$BD32,0))+(IF($BO29&lt;&gt;$BO30,$ED$3:$FI$3=$BD29,0))))</f>
        <v>0</v>
      </c>
      <c r="BU30" s="4" cm="1">
        <f t="array" aca="1" ref="BU30" ca="1">SUMPRODUCT((OFFSET($FL$3:$GQ$3,MATCH($BD30,$FK$4:$FK$35,0),0))*((IF($BO31&lt;&gt;$BO30,$FL$3:$GQ$3=$BD31,0))+(IF($BO32&lt;&gt;$BO30,$FL$3:$GQ$3=$BD32,0))+(IF($BO29&lt;&gt;$BO30,$FL$3:$GQ$3=$BD29,0))))</f>
        <v>0</v>
      </c>
      <c r="BV30" s="4">
        <f>BK30</f>
        <v>0</v>
      </c>
      <c r="BW30" s="4">
        <f>BI30</f>
        <v>0</v>
      </c>
      <c r="BX30" s="4">
        <f ca="1">(BP30/10)+(BQ30/100)+(BR30/1000)+(BT30/10000)+(BU30/100000)+(BV30/1000000)+(BW30/10000000)+(ROW(BS31)/100000000)</f>
        <v>3.1E-7</v>
      </c>
      <c r="BY30" s="4">
        <f ca="1">+BO30-BX30</f>
        <v>0.99999969</v>
      </c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U30" s="4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4"/>
      <c r="EC30" s="4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4"/>
      <c r="FK30" s="4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37"/>
      <c r="GM30" s="37"/>
      <c r="GN30" s="37"/>
      <c r="GO30" s="37"/>
      <c r="GP30" s="37"/>
      <c r="GQ30" s="37"/>
      <c r="GR30" s="75"/>
      <c r="GS30" s="148"/>
      <c r="GT30" s="157"/>
      <c r="GU30" s="75"/>
      <c r="GV30" s="75"/>
      <c r="GW30" s="75"/>
      <c r="GX30" s="75"/>
      <c r="GY30" s="75"/>
      <c r="GZ30" s="75"/>
      <c r="HA30" s="97" t="str">
        <f>_xlfn.CONCAT(A9,A10,A11,A12,A13,A14,A15,A16)</f>
        <v/>
      </c>
    </row>
    <row r="31" spans="1:221" s="11" customFormat="1" ht="30" customHeight="1" x14ac:dyDescent="0.25">
      <c r="A31" s="20"/>
      <c r="B31" s="122">
        <v>28</v>
      </c>
      <c r="C31" s="122" t="s">
        <v>5</v>
      </c>
      <c r="D31" s="123">
        <v>45467</v>
      </c>
      <c r="E31" s="122" t="s">
        <v>87</v>
      </c>
      <c r="F31" s="124">
        <v>0.875</v>
      </c>
      <c r="G31" s="125">
        <f t="shared" si="11"/>
        <v>45467.625</v>
      </c>
      <c r="H31" s="122" t="s">
        <v>116</v>
      </c>
      <c r="I31" s="126"/>
      <c r="J31" s="118"/>
      <c r="K31" s="118"/>
      <c r="L31" s="174">
        <f>IF(I31="",0,IFERROR(IF(SCORING.RULES!$C$8="No",1,((VLOOKUP($B31,ACTUALS!$B$4:$L$100,7,FALSE)=$H31)+(VLOOKUP($B31,ACTUALS!$B$4:$L$100,7,FALSE)=S31)))*(M31+N31+O31+P31+Q31),0))+$R31</f>
        <v>0</v>
      </c>
      <c r="M31" s="168">
        <f>IFERROR(IF($B31="","",IF(U31=INDEX(ACTUALS!$AA$4:$AA$100,MATCH($B31,ACTUALS!$B$4:$B$100,0),1),CorrectScore,0)),0)</f>
        <v>0</v>
      </c>
      <c r="N31" s="157" t="str">
        <f>IFERROR(IF(I31="","",IF(INDEX(ACTUALS!$AB$4:$AB$100,MATCH($B31,ACTUALS!$B$4:$B$100,0),1)=(AB31+AC31+AH31+AI31),CorrectNumberofGoals,0)),0)</f>
        <v/>
      </c>
      <c r="O31" s="157"/>
      <c r="P31" s="157">
        <f>IFERROR(IF(B31="","",IF(INDEX(ACTUALS!$L$4:$L$100,MATCH($B31,ACTUALS!$B$4:$B$100,0),1)=W31,CorrectResult,0)),0)</f>
        <v>3</v>
      </c>
      <c r="Q31" s="157"/>
      <c r="R31" s="157"/>
      <c r="S31" s="157" t="str">
        <f t="shared" si="0"/>
        <v/>
      </c>
      <c r="T31" s="157"/>
      <c r="U31" s="157" t="str">
        <f t="shared" si="1"/>
        <v/>
      </c>
      <c r="V31" s="157" t="str">
        <f t="shared" si="2"/>
        <v/>
      </c>
      <c r="W31" s="119" t="str">
        <f>IF(tblActuals354151923[[#This Row],[SCORE]]="","",IF(AB31=AC31,"Draw",IF(AB31&gt;AC31,X31,Y31)))</f>
        <v/>
      </c>
      <c r="X31" s="120" t="str">
        <f>IF(tblActuals354151923[[#This Row],[TEAMS]]="","",LEFT(H31,FIND(" -",H31,1)-1))</f>
        <v>Croatia</v>
      </c>
      <c r="Y31" s="120" t="str">
        <f>IF(tblActuals354151923[[#This Row],[TEAMS]]="","",MID(H31,FIND("-",H31,1)+2,LEN(H31)-FIND("-",H31,1)+2))</f>
        <v>Italy</v>
      </c>
      <c r="Z31" s="120" t="str">
        <f>IF(tblActuals354151923[[#This Row],[Team 1 Goals]]&gt;tblActuals354151923[[#This Row],[Team 2 Goals]],tblActuals354151923[[#This Row],[Team 1]],IF(tblActuals354151923[[#This Row],[Team 2 Goals]]&gt;tblActuals354151923[[#This Row],[Team 1 Goals]],tblActuals354151923[[#This Row],[Team 2]],""))</f>
        <v/>
      </c>
      <c r="AA31" s="120" t="str">
        <f>IF(tblActuals354151923[[#This Row],[Winner]]=tblActuals354151923[[#This Row],[Team 1]],tblActuals354151923[[#This Row],[Team 2]],IF(tblActuals354151923[[#This Row],[Winner]]=tblActuals354151923[[#This Row],[Team 2]],tblActuals354151923[[#This Row],[Team 1]],""))</f>
        <v/>
      </c>
      <c r="AB31" s="120" t="str">
        <f>IF(tblActuals354151923[[#This Row],[SCORE]]="","",LEFT(I31,FIND(":",I31,1)-1)*1)</f>
        <v/>
      </c>
      <c r="AC31" s="120" t="str">
        <f>IF(tblActuals354151923[[#This Row],[SCORE]]="","",MID(I31,FIND(":",I31,1)+1,LEN(I31)-FIND(":",I31,1)+1)*1)</f>
        <v/>
      </c>
      <c r="AD31" s="120" t="str">
        <f>IF(OR(tblActuals354151923[[#This Row],[Team 1 Goals]]="",tblActuals354151923[[#This Row],[Team 2 Goals]]=""),"",tblActuals354151923[[#This Row],[Team 1 Goals]]-tblActuals354151923[[#This Row],[Team 2 Goals]])</f>
        <v/>
      </c>
      <c r="AE31" s="120" t="str">
        <f>IF(OR(tblActuals354151923[[#This Row],[Team 1 Goals]]="",tblActuals354151923[[#This Row],[Team 2 Goals]]=""),"",tblActuals354151923[[#This Row],[Team 2 Goals]]-tblActuals354151923[[#This Row],[Team 1 Goals]])</f>
        <v/>
      </c>
      <c r="AF31" s="120" t="str">
        <f>IF(tblActuals354151923[[#This Row],[SCORE]]="","",IF(tblActuals354151923[[#This Row],[WINNER / RESULT]]="Draw",1,IF(tblActuals354151923[[#This Row],[WINNER / RESULT]]=tblActuals354151923[[#This Row],[Team 1]],3,0)))</f>
        <v/>
      </c>
      <c r="AG31" s="120" t="str">
        <f>IF(tblActuals354151923[[#This Row],[SCORE]]="","",IF(tblActuals354151923[[#This Row],[WINNER / RESULT]]="Draw",1,IF(tblActuals354151923[[#This Row],[WINNER / RESULT]]=tblActuals354151923[[#This Row],[Team 2]],3,0)))</f>
        <v/>
      </c>
      <c r="AH31" s="121"/>
      <c r="AI31" s="121"/>
      <c r="AJ31" s="121"/>
      <c r="AK31" s="121"/>
      <c r="AL31" s="120" t="e">
        <f>tblActuals354151923[[#This Row],[Team 1 Goals]]+tblActuals354151923[[#This Row],[Team 1 ET Goals]]&amp;":"&amp;tblActuals354151923[[#This Row],[Team 2 Goals]]+tblActuals354151923[[#This Row],[Team 2 ET Goals]]</f>
        <v>#VALUE!</v>
      </c>
      <c r="AM31" s="120" t="e">
        <f>+tblActuals354151923[[#This Row],[Team 1 Goals]]+tblActuals354151923[[#This Row],[Team 2 Goals]]</f>
        <v>#VALUE!</v>
      </c>
      <c r="AN31" s="161">
        <f t="shared" si="3"/>
        <v>45467</v>
      </c>
      <c r="AT31" s="77" t="s">
        <v>12</v>
      </c>
      <c r="AU31" s="139">
        <v>2</v>
      </c>
      <c r="AV31" s="140" t="str">
        <f ca="1">IFERROR(INDEX(BD:BD,MATCH("2"&amp;AT31,BN:BN,0),1),"")</f>
        <v>Romania</v>
      </c>
      <c r="AW31" s="140" t="str">
        <f ca="1">IF(AV31="","",VLOOKUP(AV31,BD:BI,2,FALSE)&amp;"-"&amp;VLOOKUP(AV31,BD:BI,3,FALSE)&amp;"-"&amp;VLOOKUP(AV31,BD:BI,4,FALSE))</f>
        <v>0-0-0</v>
      </c>
      <c r="AX31" s="140">
        <f ca="1">IF(AV31="","",VLOOKUP(AV31,BD:BK,8,FALSE))</f>
        <v>0</v>
      </c>
      <c r="AY31" s="141">
        <f ca="1">IF(AV31="","",VLOOKUP(AV31,BD:BN,5,FALSE))</f>
        <v>0</v>
      </c>
      <c r="AZ31" s="75"/>
      <c r="BA31" s="4"/>
      <c r="BB31" s="4"/>
      <c r="BC31" s="4" t="s">
        <v>45</v>
      </c>
      <c r="BD31" s="4" t="s">
        <v>30</v>
      </c>
      <c r="BE31" s="4">
        <f>COUNTIF(tblActuals354151923[Winner],BD31)</f>
        <v>0</v>
      </c>
      <c r="BF31" s="4">
        <f>COUNTIFS(tblActuals354151923[Team 2],BD31,tblActuals354151923[WINNER / RESULT],"Draw")+COUNTIFS(tblActuals354151923[Team 1],BD31,tblActuals354151923[WINNER / RESULT],"Draw")</f>
        <v>0</v>
      </c>
      <c r="BG31" s="4">
        <f>COUNTIF(tblActuals354151923[Loser],BD31)</f>
        <v>0</v>
      </c>
      <c r="BH31" s="4">
        <f>BF31+(3*BE31)</f>
        <v>0</v>
      </c>
      <c r="BI31" s="4">
        <f>SUMIFS(tblActuals354151923[Team 1 Goals],tblActuals354151923[Team 1],BD31)+SUMIFS(tblActuals354151923[Team 2 Goals],tblActuals354151923[Team 2],BD31)</f>
        <v>0</v>
      </c>
      <c r="BJ31" s="4">
        <f>SUMIFS(tblActuals354151923[Team 2 Goals],tblActuals354151923[Team 1],BD31)+SUMIFS(tblActuals354151923[Team 1 Goals],tblActuals354151923[Team 2],BD31)</f>
        <v>0</v>
      </c>
      <c r="BK31" s="4">
        <f>BI31-BJ31</f>
        <v>0</v>
      </c>
      <c r="BL31" s="4">
        <f ca="1">RANK(BY31,$BY$29:$BY$32,1)</f>
        <v>3</v>
      </c>
      <c r="BM31" s="4" t="str">
        <f t="shared" si="4"/>
        <v/>
      </c>
      <c r="BN31" s="4" t="str">
        <f ca="1">IF(BM31="",BL31&amp;BC31,BM31&amp;BC31)</f>
        <v>3F</v>
      </c>
      <c r="BO31" s="4">
        <f>RANK(BH31,$BH$29:$BH$32,0)</f>
        <v>1</v>
      </c>
      <c r="BP31" s="4" cm="1">
        <f t="array" aca="1" ref="BP31" ca="1">SUMPRODUCT((OFFSET($CV$3:$EA$3,MATCH($BD31,$CU$4:$CU$35,0),0))*((IF($BO29=$BO31,$CV$3:$EA$3=$BD29,0))+(IF($BO32=$BO31,$CV$3:$EA$3=$BD32,0))+(IF($BO30=$BO31,$CV$3:$EA$3=$BD30,0))))</f>
        <v>0</v>
      </c>
      <c r="BQ31" s="4" cm="1">
        <f t="array" aca="1" ref="BQ31" ca="1">SUMPRODUCT((OFFSET($ED$3:$FI$3,MATCH($BD31,$EC$4:$EC$35,0),0))*((IF($BO29=$BO31,$ED$3:$FI$3=$BD29,0))+(IF($BO32=$BO31,$ED$3:$FI$3=$BD32,0))+(IF($BO30=$BO31,$ED$3:$FI$3=$BD30,0))))</f>
        <v>0</v>
      </c>
      <c r="BR31" s="4" cm="1">
        <f t="array" aca="1" ref="BR31" ca="1">SUMPRODUCT((OFFSET($FL$3:$GQ$3,MATCH($BD31,$FK$4:$FK$35,0),0))*((IF($BO29=$BO31,$FL$3:$GQ$3=$BD29,0))+(IF($BO32=$BO31,$FL$3:$GQ$3=$BD32,0))+(IF($BO30=$BO31,$FL$3:$GQ$3=$BD30,0))))</f>
        <v>0</v>
      </c>
      <c r="BS31" s="4" cm="1">
        <f t="array" aca="1" ref="BS31" ca="1">SUMPRODUCT((OFFSET($CV$3:$EA$3,MATCH($BD31,$CU$4:$CU$35,0),0))*((IF($BO29&lt;&gt;$BO31,$CV$3:$EA$3=$BD29,0))+(IF($BO32&lt;&gt;$BO31,$CV$3:$EA$3=$BD32,0))+(IF($BO30&lt;&gt;$BO31,$CV$3:$EA$3=$BD30,0))))</f>
        <v>0</v>
      </c>
      <c r="BT31" s="4" cm="1">
        <f t="array" aca="1" ref="BT31" ca="1">SUMPRODUCT((OFFSET($ED$3:$FI$3,MATCH($BD31,$EC$4:$EC$35,0),0))*((IF($BO29&lt;&gt;$BO31,$ED$3:$FI$3=$BD29,0))+(IF($BO32&lt;&gt;$BO31,$ED$3:$FI$3=$BD32,0))+(IF($BO30&lt;&gt;$BO31,$ED$3:$FI$3=$BD30,0))))</f>
        <v>0</v>
      </c>
      <c r="BU31" s="4" cm="1">
        <f t="array" aca="1" ref="BU31" ca="1">SUMPRODUCT((OFFSET($FL$3:$GQ$3,MATCH($BD31,$FK$4:$FK$35,0),0))*((IF($BO29&lt;&gt;$BO31,$FL$3:$GQ$3=$BD29,0))+(IF($BO32&lt;&gt;$BO31,$FL$3:$GQ$3=$BD32,0))+(IF($BO30&lt;&gt;$BO31,$FL$3:$GQ$3=$BD30,0))))</f>
        <v>0</v>
      </c>
      <c r="BV31" s="4">
        <f>BK31</f>
        <v>0</v>
      </c>
      <c r="BW31" s="4">
        <f>BI31</f>
        <v>0</v>
      </c>
      <c r="BX31" s="4">
        <f ca="1">(BP31/10)+(BQ31/100)+(BR31/1000)+(BT31/10000)+(BU31/100000)+(BV31/1000000)+(BW31/10000000)+(ROW(BS30)/100000000)</f>
        <v>2.9999999999999999E-7</v>
      </c>
      <c r="BY31" s="4">
        <f ca="1">+BO31-BX31</f>
        <v>0.99999970000000005</v>
      </c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U31" s="4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4"/>
      <c r="EC31" s="4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4"/>
      <c r="FK31" s="4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37"/>
      <c r="GM31" s="37"/>
      <c r="GN31" s="37"/>
      <c r="GO31" s="37"/>
      <c r="GP31" s="37"/>
      <c r="GQ31" s="37"/>
      <c r="GR31" s="75"/>
      <c r="GS31" s="157"/>
      <c r="GT31" s="157"/>
      <c r="GU31" s="75"/>
      <c r="GV31" s="75"/>
      <c r="GW31" s="75"/>
      <c r="GX31" s="75"/>
      <c r="GY31" s="75"/>
      <c r="GZ31" s="75"/>
    </row>
    <row r="32" spans="1:221" s="11" customFormat="1" ht="30" customHeight="1" x14ac:dyDescent="0.25">
      <c r="A32" s="20"/>
      <c r="B32" s="122">
        <v>29</v>
      </c>
      <c r="C32" s="122" t="s">
        <v>6</v>
      </c>
      <c r="D32" s="123">
        <v>45468</v>
      </c>
      <c r="E32" s="122" t="s">
        <v>79</v>
      </c>
      <c r="F32" s="124">
        <v>0.875</v>
      </c>
      <c r="G32" s="125">
        <f t="shared" si="11"/>
        <v>45468.625</v>
      </c>
      <c r="H32" s="122" t="s">
        <v>117</v>
      </c>
      <c r="I32" s="126"/>
      <c r="J32" s="118"/>
      <c r="K32" s="118"/>
      <c r="L32" s="174">
        <f>IF(I32="",0,IFERROR(IF(SCORING.RULES!$C$8="No",1,((VLOOKUP($B32,ACTUALS!$B$4:$L$100,7,FALSE)=$H32)+(VLOOKUP($B32,ACTUALS!$B$4:$L$100,7,FALSE)=S32)))*(M32+N32+O32+P32+Q32),0))+$R32</f>
        <v>0</v>
      </c>
      <c r="M32" s="168">
        <f>IFERROR(IF($B32="","",IF(U32=INDEX(ACTUALS!$AA$4:$AA$100,MATCH($B32,ACTUALS!$B$4:$B$100,0),1),CorrectScore,0)),0)</f>
        <v>0</v>
      </c>
      <c r="N32" s="157" t="str">
        <f>IFERROR(IF(I32="","",IF(INDEX(ACTUALS!$AB$4:$AB$100,MATCH($B32,ACTUALS!$B$4:$B$100,0),1)=(AB32+AC32+AH32+AI32),CorrectNumberofGoals,0)),0)</f>
        <v/>
      </c>
      <c r="O32" s="157"/>
      <c r="P32" s="157">
        <f>IFERROR(IF(B32="","",IF(INDEX(ACTUALS!$L$4:$L$100,MATCH($B32,ACTUALS!$B$4:$B$100,0),1)=W32,CorrectResult,0)),0)</f>
        <v>3</v>
      </c>
      <c r="Q32" s="157"/>
      <c r="R32" s="157"/>
      <c r="S32" s="157" t="str">
        <f t="shared" si="0"/>
        <v/>
      </c>
      <c r="T32" s="157"/>
      <c r="U32" s="157" t="str">
        <f t="shared" si="1"/>
        <v/>
      </c>
      <c r="V32" s="157" t="str">
        <f t="shared" si="2"/>
        <v/>
      </c>
      <c r="W32" s="119" t="str">
        <f>IF(tblActuals354151923[[#This Row],[SCORE]]="","",IF(AB32=AC32,"Draw",IF(AB32&gt;AC32,X32,Y32)))</f>
        <v/>
      </c>
      <c r="X32" s="120" t="str">
        <f>IF(tblActuals354151923[[#This Row],[TEAMS]]="","",LEFT(H32,FIND(" -",H32,1)-1))</f>
        <v>England</v>
      </c>
      <c r="Y32" s="120" t="str">
        <f>IF(tblActuals354151923[[#This Row],[TEAMS]]="","",MID(H32,FIND("-",H32,1)+2,LEN(H32)-FIND("-",H32,1)+2))</f>
        <v>Slovenia</v>
      </c>
      <c r="Z32" s="120" t="str">
        <f>IF(tblActuals354151923[[#This Row],[Team 1 Goals]]&gt;tblActuals354151923[[#This Row],[Team 2 Goals]],tblActuals354151923[[#This Row],[Team 1]],IF(tblActuals354151923[[#This Row],[Team 2 Goals]]&gt;tblActuals354151923[[#This Row],[Team 1 Goals]],tblActuals354151923[[#This Row],[Team 2]],""))</f>
        <v/>
      </c>
      <c r="AA32" s="120" t="str">
        <f>IF(tblActuals354151923[[#This Row],[Winner]]=tblActuals354151923[[#This Row],[Team 1]],tblActuals354151923[[#This Row],[Team 2]],IF(tblActuals354151923[[#This Row],[Winner]]=tblActuals354151923[[#This Row],[Team 2]],tblActuals354151923[[#This Row],[Team 1]],""))</f>
        <v/>
      </c>
      <c r="AB32" s="120" t="str">
        <f>IF(tblActuals354151923[[#This Row],[SCORE]]="","",LEFT(I32,FIND(":",I32,1)-1)*1)</f>
        <v/>
      </c>
      <c r="AC32" s="120" t="str">
        <f>IF(tblActuals354151923[[#This Row],[SCORE]]="","",MID(I32,FIND(":",I32,1)+1,LEN(I32)-FIND(":",I32,1)+1)*1)</f>
        <v/>
      </c>
      <c r="AD32" s="120" t="str">
        <f>IF(OR(tblActuals354151923[[#This Row],[Team 1 Goals]]="",tblActuals354151923[[#This Row],[Team 2 Goals]]=""),"",tblActuals354151923[[#This Row],[Team 1 Goals]]-tblActuals354151923[[#This Row],[Team 2 Goals]])</f>
        <v/>
      </c>
      <c r="AE32" s="120" t="str">
        <f>IF(OR(tblActuals354151923[[#This Row],[Team 1 Goals]]="",tblActuals354151923[[#This Row],[Team 2 Goals]]=""),"",tblActuals354151923[[#This Row],[Team 2 Goals]]-tblActuals354151923[[#This Row],[Team 1 Goals]])</f>
        <v/>
      </c>
      <c r="AF32" s="120" t="str">
        <f>IF(tblActuals354151923[[#This Row],[SCORE]]="","",IF(tblActuals354151923[[#This Row],[WINNER / RESULT]]="Draw",1,IF(tblActuals354151923[[#This Row],[WINNER / RESULT]]=tblActuals354151923[[#This Row],[Team 1]],3,0)))</f>
        <v/>
      </c>
      <c r="AG32" s="120" t="str">
        <f>IF(tblActuals354151923[[#This Row],[SCORE]]="","",IF(tblActuals354151923[[#This Row],[WINNER / RESULT]]="Draw",1,IF(tblActuals354151923[[#This Row],[WINNER / RESULT]]=tblActuals354151923[[#This Row],[Team 2]],3,0)))</f>
        <v/>
      </c>
      <c r="AH32" s="121"/>
      <c r="AI32" s="121"/>
      <c r="AJ32" s="121"/>
      <c r="AK32" s="121"/>
      <c r="AL32" s="120" t="e">
        <f>tblActuals354151923[[#This Row],[Team 1 Goals]]+tblActuals354151923[[#This Row],[Team 1 ET Goals]]&amp;":"&amp;tblActuals354151923[[#This Row],[Team 2 Goals]]+tblActuals354151923[[#This Row],[Team 2 ET Goals]]</f>
        <v>#VALUE!</v>
      </c>
      <c r="AM32" s="120" t="e">
        <f>+tblActuals354151923[[#This Row],[Team 1 Goals]]+tblActuals354151923[[#This Row],[Team 2 Goals]]</f>
        <v>#VALUE!</v>
      </c>
      <c r="AN32" s="161">
        <f t="shared" si="3"/>
        <v>45468</v>
      </c>
      <c r="AT32" s="77" t="s">
        <v>12</v>
      </c>
      <c r="AU32" s="142">
        <v>3</v>
      </c>
      <c r="AV32" s="143" t="str">
        <f ca="1">IFERROR(INDEX(BD:BD,MATCH("3"&amp;AT32,BN:BN,0),1),"")</f>
        <v>Slovakia</v>
      </c>
      <c r="AW32" s="143" t="str">
        <f ca="1">IF(AV32="","",VLOOKUP(AV32,BD:BI,2,FALSE)&amp;"-"&amp;VLOOKUP(AV32,BD:BI,3,FALSE)&amp;"-"&amp;VLOOKUP(AV32,BD:BI,4,FALSE))</f>
        <v>0-0-0</v>
      </c>
      <c r="AX32" s="143">
        <f ca="1">IF(AV32="","",VLOOKUP(AV32,BD:BK,8,FALSE))</f>
        <v>0</v>
      </c>
      <c r="AY32" s="144">
        <f ca="1">IF(AV32="","",VLOOKUP(AV32,BD:BN,5,FALSE))</f>
        <v>0</v>
      </c>
      <c r="AZ32" s="75" t="str">
        <f ca="1">IF(INDEX($AU$43:$AU$48,MATCH(AV32,$AV$43:$AV$48,0),1)&lt;=4,"X","")</f>
        <v>X</v>
      </c>
      <c r="BA32" s="4"/>
      <c r="BB32" s="4"/>
      <c r="BC32" s="4" t="s">
        <v>45</v>
      </c>
      <c r="BD32" s="4" t="s">
        <v>133</v>
      </c>
      <c r="BE32" s="4">
        <f>COUNTIF(tblActuals354151923[Winner],BD32)</f>
        <v>0</v>
      </c>
      <c r="BF32" s="4">
        <f>COUNTIFS(tblActuals354151923[Team 2],BD32,tblActuals354151923[WINNER / RESULT],"Draw")+COUNTIFS(tblActuals354151923[Team 1],BD32,tblActuals354151923[WINNER / RESULT],"Draw")</f>
        <v>0</v>
      </c>
      <c r="BG32" s="4">
        <f>COUNTIF(tblActuals354151923[Loser],BD32)</f>
        <v>0</v>
      </c>
      <c r="BH32" s="4">
        <f>BF32+(3*BE32)</f>
        <v>0</v>
      </c>
      <c r="BI32" s="4">
        <f>SUMIFS(tblActuals354151923[Team 1 Goals],tblActuals354151923[Team 1],BD32)+SUMIFS(tblActuals354151923[Team 2 Goals],tblActuals354151923[Team 2],BD32)</f>
        <v>0</v>
      </c>
      <c r="BJ32" s="4">
        <f>SUMIFS(tblActuals354151923[Team 2 Goals],tblActuals354151923[Team 1],BD32)+SUMIFS(tblActuals354151923[Team 1 Goals],tblActuals354151923[Team 2],BD32)</f>
        <v>0</v>
      </c>
      <c r="BK32" s="4">
        <f>BI32-BJ32</f>
        <v>0</v>
      </c>
      <c r="BL32" s="4">
        <f ca="1">RANK(BY32,$BY$29:$BY$32,1)</f>
        <v>4</v>
      </c>
      <c r="BM32" s="4" t="str">
        <f t="shared" si="4"/>
        <v/>
      </c>
      <c r="BN32" s="4" t="str">
        <f ca="1">IF(BM32="",BL32&amp;BC32,BM32&amp;BC32)</f>
        <v>4F</v>
      </c>
      <c r="BO32" s="4">
        <f>RANK(BH32,$BH$29:$BH$32,0)</f>
        <v>1</v>
      </c>
      <c r="BP32" s="4" cm="1">
        <f t="array" aca="1" ref="BP32" ca="1">SUMPRODUCT((OFFSET($CV$3:$EA$3,MATCH($BD32,$CU$4:$CU$35,0),0))*((IF($BO30=$BO32,$CV$3:$EA$3=$BD30,0))+(IF($BO29=$BO32,$CV$3:$EA$3=$BD29,0))+(IF($BO31=$BO32,$CV$3:$EA$3=$BD31,0))))</f>
        <v>0</v>
      </c>
      <c r="BQ32" s="4" cm="1">
        <f t="array" aca="1" ref="BQ32" ca="1">SUMPRODUCT((OFFSET($ED$3:$FI$3,MATCH($BD32,$EC$4:$EC$35,0),0))*((IF($BO30=$BO32,$ED$3:$FI$3=$BD30,0))+(IF($BO29=$BO32,$ED$3:$FI$3=$BD29,0))+(IF($BO31=$BO32,$ED$3:$FI$3=$BD31,0))))</f>
        <v>0</v>
      </c>
      <c r="BR32" s="4" cm="1">
        <f t="array" aca="1" ref="BR32" ca="1">SUMPRODUCT((OFFSET($FL$3:$GQ$3,MATCH($BD32,$FK$4:$FK$35,0),0))*((IF($BO30=$BO32,$FL$3:$GQ$3=$BD30,0))+(IF($BO29=$BO32,$FL$3:$GQ$3=$BD29,0))+(IF($BO31=$BO32,$FL$3:$GQ$3=$BD31,0))))</f>
        <v>0</v>
      </c>
      <c r="BS32" s="4" cm="1">
        <f t="array" aca="1" ref="BS32" ca="1">SUMPRODUCT((OFFSET($CV$3:$EA$3,MATCH($BD32,$CU$4:$CU$35,0),0))*((IF($BO30&lt;&gt;$BO32,$CV$3:$EA$3=$BD30,0))+(IF($BO29&lt;&gt;$BO32,$CV$3:$EA$3=$BD29,0))+(IF($BO31&lt;&gt;$BO32,$CV$3:$EA$3=$BD31,0))))</f>
        <v>0</v>
      </c>
      <c r="BT32" s="4" cm="1">
        <f t="array" aca="1" ref="BT32" ca="1">SUMPRODUCT((OFFSET($ED$3:$FI$3,MATCH($BD32,$EC$4:$EC$35,0),0))*((IF($BO30&lt;&gt;$BO32,$ED$3:$FI$3=$BD30,0))+(IF($BO29&lt;&gt;$BO32,$ED$3:$FI$3=$BD29,0))+(IF($BO31&lt;&gt;$BO32,$ED$3:$FI$3=$BD31,0))))</f>
        <v>0</v>
      </c>
      <c r="BU32" s="4" cm="1">
        <f t="array" aca="1" ref="BU32" ca="1">SUMPRODUCT((OFFSET($FL$3:$GQ$3,MATCH($BD32,$FK$4:$FK$35,0),0))*((IF($BO30&lt;&gt;$BO32,$FL$3:$GQ$3=$BD30,0))+(IF($BO29&lt;&gt;$BO32,$FL$3:$GQ$3=$BD29,0))+(IF($BO31&lt;&gt;$BO32,$FL$3:$GQ$3=$BD31,0))))</f>
        <v>0</v>
      </c>
      <c r="BV32" s="4">
        <f>BK32</f>
        <v>0</v>
      </c>
      <c r="BW32" s="4">
        <f>BI32</f>
        <v>0</v>
      </c>
      <c r="BX32" s="4">
        <f ca="1">(BP32/10)+(BQ32/100)+(BR32/1000)+(BT32/10000)+(BU32/100000)+(BV32/1000000)+(BW32/10000000)+(ROW(BS29)/100000000)</f>
        <v>2.8999999999999998E-7</v>
      </c>
      <c r="BY32" s="4">
        <f ca="1">+BO32-BX32</f>
        <v>0.99999970999999999</v>
      </c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U32" s="4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4"/>
      <c r="EC32" s="4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4"/>
      <c r="FK32" s="4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37"/>
      <c r="GM32" s="37"/>
      <c r="GN32" s="37"/>
      <c r="GO32" s="37"/>
      <c r="GP32" s="37"/>
      <c r="GQ32" s="37"/>
      <c r="GR32" s="75"/>
      <c r="GS32" s="157"/>
      <c r="GT32" s="157"/>
      <c r="GU32" s="79"/>
      <c r="GV32" s="79"/>
      <c r="GW32" s="79"/>
      <c r="GX32" s="79"/>
      <c r="GY32" s="79"/>
      <c r="GZ32" s="79"/>
    </row>
    <row r="33" spans="1:208" s="11" customFormat="1" ht="30" customHeight="1" thickBot="1" x14ac:dyDescent="0.3">
      <c r="A33" s="20"/>
      <c r="B33" s="122">
        <v>30</v>
      </c>
      <c r="C33" s="122" t="s">
        <v>6</v>
      </c>
      <c r="D33" s="123">
        <v>45468</v>
      </c>
      <c r="E33" s="122" t="s">
        <v>78</v>
      </c>
      <c r="F33" s="124">
        <v>0.875</v>
      </c>
      <c r="G33" s="125">
        <f t="shared" si="11"/>
        <v>45468.625</v>
      </c>
      <c r="H33" s="122" t="s">
        <v>118</v>
      </c>
      <c r="I33" s="126"/>
      <c r="J33" s="118"/>
      <c r="K33" s="118"/>
      <c r="L33" s="174">
        <f>IF(I33="",0,IFERROR(IF(SCORING.RULES!$C$8="No",1,((VLOOKUP($B33,ACTUALS!$B$4:$L$100,7,FALSE)=$H33)+(VLOOKUP($B33,ACTUALS!$B$4:$L$100,7,FALSE)=S33)))*(M33+N33+O33+P33+Q33),0))+$R33</f>
        <v>0</v>
      </c>
      <c r="M33" s="168">
        <f>IFERROR(IF($B33="","",IF(U33=INDEX(ACTUALS!$AA$4:$AA$100,MATCH($B33,ACTUALS!$B$4:$B$100,0),1),CorrectScore,0)),0)</f>
        <v>0</v>
      </c>
      <c r="N33" s="157" t="str">
        <f>IFERROR(IF(I33="","",IF(INDEX(ACTUALS!$AB$4:$AB$100,MATCH($B33,ACTUALS!$B$4:$B$100,0),1)=(AB33+AC33+AH33+AI33),CorrectNumberofGoals,0)),0)</f>
        <v/>
      </c>
      <c r="O33" s="157"/>
      <c r="P33" s="157">
        <f>IFERROR(IF(B33="","",IF(INDEX(ACTUALS!$L$4:$L$100,MATCH($B33,ACTUALS!$B$4:$B$100,0),1)=W33,CorrectResult,0)),0)</f>
        <v>3</v>
      </c>
      <c r="Q33" s="157"/>
      <c r="R33" s="157"/>
      <c r="S33" s="157" t="str">
        <f t="shared" si="0"/>
        <v/>
      </c>
      <c r="T33" s="157"/>
      <c r="U33" s="157" t="str">
        <f t="shared" si="1"/>
        <v/>
      </c>
      <c r="V33" s="157" t="str">
        <f t="shared" si="2"/>
        <v/>
      </c>
      <c r="W33" s="119" t="str">
        <f>IF(tblActuals354151923[[#This Row],[SCORE]]="","",IF(AB33=AC33,"Draw",IF(AB33&gt;AC33,X33,Y33)))</f>
        <v/>
      </c>
      <c r="X33" s="120" t="str">
        <f>IF(tblActuals354151923[[#This Row],[TEAMS]]="","",LEFT(H33,FIND(" -",H33,1)-1))</f>
        <v>Denmark</v>
      </c>
      <c r="Y33" s="120" t="str">
        <f>IF(tblActuals354151923[[#This Row],[TEAMS]]="","",MID(H33,FIND("-",H33,1)+2,LEN(H33)-FIND("-",H33,1)+2))</f>
        <v>Serbia</v>
      </c>
      <c r="Z33" s="120" t="str">
        <f>IF(tblActuals354151923[[#This Row],[Team 1 Goals]]&gt;tblActuals354151923[[#This Row],[Team 2 Goals]],tblActuals354151923[[#This Row],[Team 1]],IF(tblActuals354151923[[#This Row],[Team 2 Goals]]&gt;tblActuals354151923[[#This Row],[Team 1 Goals]],tblActuals354151923[[#This Row],[Team 2]],""))</f>
        <v/>
      </c>
      <c r="AA33" s="120" t="str">
        <f>IF(tblActuals354151923[[#This Row],[Winner]]=tblActuals354151923[[#This Row],[Team 1]],tblActuals354151923[[#This Row],[Team 2]],IF(tblActuals354151923[[#This Row],[Winner]]=tblActuals354151923[[#This Row],[Team 2]],tblActuals354151923[[#This Row],[Team 1]],""))</f>
        <v/>
      </c>
      <c r="AB33" s="120" t="str">
        <f>IF(tblActuals354151923[[#This Row],[SCORE]]="","",LEFT(I33,FIND(":",I33,1)-1)*1)</f>
        <v/>
      </c>
      <c r="AC33" s="120" t="str">
        <f>IF(tblActuals354151923[[#This Row],[SCORE]]="","",MID(I33,FIND(":",I33,1)+1,LEN(I33)-FIND(":",I33,1)+1)*1)</f>
        <v/>
      </c>
      <c r="AD33" s="120" t="str">
        <f>IF(OR(tblActuals354151923[[#This Row],[Team 1 Goals]]="",tblActuals354151923[[#This Row],[Team 2 Goals]]=""),"",tblActuals354151923[[#This Row],[Team 1 Goals]]-tblActuals354151923[[#This Row],[Team 2 Goals]])</f>
        <v/>
      </c>
      <c r="AE33" s="120" t="str">
        <f>IF(OR(tblActuals354151923[[#This Row],[Team 1 Goals]]="",tblActuals354151923[[#This Row],[Team 2 Goals]]=""),"",tblActuals354151923[[#This Row],[Team 2 Goals]]-tblActuals354151923[[#This Row],[Team 1 Goals]])</f>
        <v/>
      </c>
      <c r="AF33" s="120" t="str">
        <f>IF(tblActuals354151923[[#This Row],[SCORE]]="","",IF(tblActuals354151923[[#This Row],[WINNER / RESULT]]="Draw",1,IF(tblActuals354151923[[#This Row],[WINNER / RESULT]]=tblActuals354151923[[#This Row],[Team 1]],3,0)))</f>
        <v/>
      </c>
      <c r="AG33" s="120" t="str">
        <f>IF(tblActuals354151923[[#This Row],[SCORE]]="","",IF(tblActuals354151923[[#This Row],[WINNER / RESULT]]="Draw",1,IF(tblActuals354151923[[#This Row],[WINNER / RESULT]]=tblActuals354151923[[#This Row],[Team 2]],3,0)))</f>
        <v/>
      </c>
      <c r="AH33" s="121"/>
      <c r="AI33" s="121"/>
      <c r="AJ33" s="121"/>
      <c r="AK33" s="121"/>
      <c r="AL33" s="120" t="e">
        <f>tblActuals354151923[[#This Row],[Team 1 Goals]]+tblActuals354151923[[#This Row],[Team 1 ET Goals]]&amp;":"&amp;tblActuals354151923[[#This Row],[Team 2 Goals]]+tblActuals354151923[[#This Row],[Team 2 ET Goals]]</f>
        <v>#VALUE!</v>
      </c>
      <c r="AM33" s="120" t="e">
        <f>+tblActuals354151923[[#This Row],[Team 1 Goals]]+tblActuals354151923[[#This Row],[Team 2 Goals]]</f>
        <v>#VALUE!</v>
      </c>
      <c r="AN33" s="161">
        <f t="shared" si="3"/>
        <v>45468</v>
      </c>
      <c r="AT33" s="77" t="s">
        <v>12</v>
      </c>
      <c r="AU33" s="145">
        <v>4</v>
      </c>
      <c r="AV33" s="146" t="str">
        <f ca="1">IFERROR(INDEX(BD:BD,MATCH("4"&amp;AT33,BN:BN,0),1),"")</f>
        <v>Ukraine</v>
      </c>
      <c r="AW33" s="146" t="str">
        <f ca="1">IF(AV33="","",VLOOKUP(AV33,BD:BI,2,FALSE)&amp;"-"&amp;VLOOKUP(AV33,BD:BI,3,FALSE)&amp;"-"&amp;VLOOKUP(AV33,BD:BI,4,FALSE))</f>
        <v>0-0-0</v>
      </c>
      <c r="AX33" s="146">
        <f ca="1">IF(AV33="","",VLOOKUP(AV33,BD:BK,8,FALSE))</f>
        <v>0</v>
      </c>
      <c r="AY33" s="147">
        <f ca="1">IF(AV33="","",VLOOKUP(AV33,BD:BN,5,FALSE))</f>
        <v>0</v>
      </c>
      <c r="AZ33" s="75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U33" s="4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4"/>
      <c r="EC33" s="4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4"/>
      <c r="FK33" s="4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37"/>
      <c r="GM33" s="37"/>
      <c r="GN33" s="37"/>
      <c r="GO33" s="37"/>
      <c r="GP33" s="37"/>
      <c r="GQ33" s="37"/>
      <c r="GR33" s="75"/>
      <c r="GS33" s="157"/>
      <c r="GT33" s="157"/>
      <c r="GU33" s="79"/>
      <c r="GV33" s="79"/>
      <c r="GW33" s="79"/>
      <c r="GX33" s="79"/>
      <c r="GY33" s="79"/>
      <c r="GZ33" s="79"/>
    </row>
    <row r="34" spans="1:208" s="11" customFormat="1" ht="30" customHeight="1" thickBot="1" x14ac:dyDescent="0.3">
      <c r="A34" s="20"/>
      <c r="B34" s="122">
        <v>31</v>
      </c>
      <c r="C34" s="122" t="s">
        <v>7</v>
      </c>
      <c r="D34" s="123">
        <v>45468</v>
      </c>
      <c r="E34" s="122" t="s">
        <v>80</v>
      </c>
      <c r="F34" s="124">
        <v>0.75</v>
      </c>
      <c r="G34" s="125">
        <f t="shared" si="11"/>
        <v>45468.5</v>
      </c>
      <c r="H34" s="122" t="s">
        <v>141</v>
      </c>
      <c r="I34" s="126"/>
      <c r="J34" s="118"/>
      <c r="K34" s="118"/>
      <c r="L34" s="174">
        <f>IF(I34="",0,IFERROR(IF(SCORING.RULES!$C$8="No",1,((VLOOKUP($B34,ACTUALS!$B$4:$L$100,7,FALSE)=$H34)+(VLOOKUP($B34,ACTUALS!$B$4:$L$100,7,FALSE)=S34)))*(M34+N34+O34+P34+Q34),0))+$R34</f>
        <v>0</v>
      </c>
      <c r="M34" s="168">
        <f>IFERROR(IF($B34="","",IF(U34=INDEX(ACTUALS!$AA$4:$AA$100,MATCH($B34,ACTUALS!$B$4:$B$100,0),1),CorrectScore,0)),0)</f>
        <v>0</v>
      </c>
      <c r="N34" s="157" t="str">
        <f>IFERROR(IF(I34="","",IF(INDEX(ACTUALS!$AB$4:$AB$100,MATCH($B34,ACTUALS!$B$4:$B$100,0),1)=(AB34+AC34+AH34+AI34),CorrectNumberofGoals,0)),0)</f>
        <v/>
      </c>
      <c r="O34" s="157"/>
      <c r="P34" s="157">
        <f>IFERROR(IF(B34="","",IF(INDEX(ACTUALS!$L$4:$L$100,MATCH($B34,ACTUALS!$B$4:$B$100,0),1)=W34,CorrectResult,0)),0)</f>
        <v>3</v>
      </c>
      <c r="Q34" s="157"/>
      <c r="R34" s="157"/>
      <c r="S34" s="157" t="str">
        <f t="shared" si="0"/>
        <v/>
      </c>
      <c r="T34" s="157"/>
      <c r="U34" s="157" t="str">
        <f t="shared" si="1"/>
        <v/>
      </c>
      <c r="V34" s="157" t="str">
        <f t="shared" si="2"/>
        <v/>
      </c>
      <c r="W34" s="119" t="str">
        <f>IF(tblActuals354151923[[#This Row],[SCORE]]="","",IF(AB34=AC34,"Draw",IF(AB34&gt;AC34,X34,Y34)))</f>
        <v/>
      </c>
      <c r="X34" s="120" t="str">
        <f>IF(tblActuals354151923[[#This Row],[TEAMS]]="","",LEFT(H34,FIND(" -",H34,1)-1))</f>
        <v>Netherlands</v>
      </c>
      <c r="Y34" s="120" t="str">
        <f>IF(tblActuals354151923[[#This Row],[TEAMS]]="","",MID(H34,FIND("-",H34,1)+2,LEN(H34)-FIND("-",H34,1)+2))</f>
        <v>Austria</v>
      </c>
      <c r="Z34" s="120" t="str">
        <f>IF(tblActuals354151923[[#This Row],[Team 1 Goals]]&gt;tblActuals354151923[[#This Row],[Team 2 Goals]],tblActuals354151923[[#This Row],[Team 1]],IF(tblActuals354151923[[#This Row],[Team 2 Goals]]&gt;tblActuals354151923[[#This Row],[Team 1 Goals]],tblActuals354151923[[#This Row],[Team 2]],""))</f>
        <v/>
      </c>
      <c r="AA34" s="120" t="str">
        <f>IF(tblActuals354151923[[#This Row],[Winner]]=tblActuals354151923[[#This Row],[Team 1]],tblActuals354151923[[#This Row],[Team 2]],IF(tblActuals354151923[[#This Row],[Winner]]=tblActuals354151923[[#This Row],[Team 2]],tblActuals354151923[[#This Row],[Team 1]],""))</f>
        <v/>
      </c>
      <c r="AB34" s="120" t="str">
        <f>IF(tblActuals354151923[[#This Row],[SCORE]]="","",LEFT(I34,FIND(":",I34,1)-1)*1)</f>
        <v/>
      </c>
      <c r="AC34" s="120" t="str">
        <f>IF(tblActuals354151923[[#This Row],[SCORE]]="","",MID(I34,FIND(":",I34,1)+1,LEN(I34)-FIND(":",I34,1)+1)*1)</f>
        <v/>
      </c>
      <c r="AD34" s="120" t="str">
        <f>IF(OR(tblActuals354151923[[#This Row],[Team 1 Goals]]="",tblActuals354151923[[#This Row],[Team 2 Goals]]=""),"",tblActuals354151923[[#This Row],[Team 1 Goals]]-tblActuals354151923[[#This Row],[Team 2 Goals]])</f>
        <v/>
      </c>
      <c r="AE34" s="120" t="str">
        <f>IF(OR(tblActuals354151923[[#This Row],[Team 1 Goals]]="",tblActuals354151923[[#This Row],[Team 2 Goals]]=""),"",tblActuals354151923[[#This Row],[Team 2 Goals]]-tblActuals354151923[[#This Row],[Team 1 Goals]])</f>
        <v/>
      </c>
      <c r="AF34" s="120" t="str">
        <f>IF(tblActuals354151923[[#This Row],[SCORE]]="","",IF(tblActuals354151923[[#This Row],[WINNER / RESULT]]="Draw",1,IF(tblActuals354151923[[#This Row],[WINNER / RESULT]]=tblActuals354151923[[#This Row],[Team 1]],3,0)))</f>
        <v/>
      </c>
      <c r="AG34" s="120" t="str">
        <f>IF(tblActuals354151923[[#This Row],[SCORE]]="","",IF(tblActuals354151923[[#This Row],[WINNER / RESULT]]="Draw",1,IF(tblActuals354151923[[#This Row],[WINNER / RESULT]]=tblActuals354151923[[#This Row],[Team 2]],3,0)))</f>
        <v/>
      </c>
      <c r="AH34" s="121"/>
      <c r="AI34" s="121"/>
      <c r="AJ34" s="121"/>
      <c r="AK34" s="121"/>
      <c r="AL34" s="120" t="e">
        <f>tblActuals354151923[[#This Row],[Team 1 Goals]]+tblActuals354151923[[#This Row],[Team 1 ET Goals]]&amp;":"&amp;tblActuals354151923[[#This Row],[Team 2 Goals]]+tblActuals354151923[[#This Row],[Team 2 ET Goals]]</f>
        <v>#VALUE!</v>
      </c>
      <c r="AM34" s="120" t="e">
        <f>+tblActuals354151923[[#This Row],[Team 1 Goals]]+tblActuals354151923[[#This Row],[Team 2 Goals]]</f>
        <v>#VALUE!</v>
      </c>
      <c r="AN34" s="161">
        <f t="shared" si="3"/>
        <v>45468</v>
      </c>
      <c r="AT34" s="77"/>
      <c r="AU34" s="148"/>
      <c r="AV34" s="148"/>
      <c r="AW34" s="148"/>
      <c r="AX34" s="148"/>
      <c r="AY34" s="148"/>
      <c r="AZ34" s="75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U34" s="4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4"/>
      <c r="EC34" s="4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4"/>
      <c r="FK34" s="4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37"/>
      <c r="GM34" s="37"/>
      <c r="GN34" s="37"/>
      <c r="GO34" s="37"/>
      <c r="GP34" s="37"/>
      <c r="GQ34" s="37"/>
      <c r="GR34" s="75"/>
      <c r="GS34" s="157"/>
      <c r="GT34" s="157"/>
      <c r="GU34" s="79"/>
      <c r="GV34" s="79"/>
      <c r="GW34" s="79"/>
      <c r="GX34" s="79"/>
      <c r="GY34" s="79"/>
      <c r="GZ34" s="79"/>
    </row>
    <row r="35" spans="1:208" s="11" customFormat="1" ht="30" customHeight="1" thickBot="1" x14ac:dyDescent="0.3">
      <c r="A35" s="20"/>
      <c r="B35" s="122">
        <v>32</v>
      </c>
      <c r="C35" s="122" t="s">
        <v>7</v>
      </c>
      <c r="D35" s="123">
        <v>45468</v>
      </c>
      <c r="E35" s="122" t="s">
        <v>81</v>
      </c>
      <c r="F35" s="124">
        <v>0.75</v>
      </c>
      <c r="G35" s="125">
        <f t="shared" si="11"/>
        <v>45468.5</v>
      </c>
      <c r="H35" s="122" t="s">
        <v>119</v>
      </c>
      <c r="I35" s="126"/>
      <c r="J35" s="118"/>
      <c r="K35" s="118"/>
      <c r="L35" s="174">
        <f>IF(I35="",0,IFERROR(IF(SCORING.RULES!$C$8="No",1,((VLOOKUP($B35,ACTUALS!$B$4:$L$100,7,FALSE)=$H35)+(VLOOKUP($B35,ACTUALS!$B$4:$L$100,7,FALSE)=S35)))*(M35+N35+O35+P35+Q35),0))+$R35</f>
        <v>0</v>
      </c>
      <c r="M35" s="168">
        <f>IFERROR(IF($B35="","",IF(U35=INDEX(ACTUALS!$AA$4:$AA$100,MATCH($B35,ACTUALS!$B$4:$B$100,0),1),CorrectScore,0)),0)</f>
        <v>0</v>
      </c>
      <c r="N35" s="157" t="str">
        <f>IFERROR(IF(I35="","",IF(INDEX(ACTUALS!$AB$4:$AB$100,MATCH($B35,ACTUALS!$B$4:$B$100,0),1)=(AB35+AC35+AH35+AI35),CorrectNumberofGoals,0)),0)</f>
        <v/>
      </c>
      <c r="O35" s="157"/>
      <c r="P35" s="157">
        <f>IFERROR(IF(B35="","",IF(INDEX(ACTUALS!$L$4:$L$100,MATCH($B35,ACTUALS!$B$4:$B$100,0),1)=W35,CorrectResult,0)),0)</f>
        <v>3</v>
      </c>
      <c r="Q35" s="157"/>
      <c r="R35" s="157"/>
      <c r="S35" s="157" t="str">
        <f t="shared" si="0"/>
        <v/>
      </c>
      <c r="T35" s="157"/>
      <c r="U35" s="157" t="str">
        <f t="shared" si="1"/>
        <v/>
      </c>
      <c r="V35" s="157" t="str">
        <f t="shared" si="2"/>
        <v/>
      </c>
      <c r="W35" s="119" t="str">
        <f>IF(tblActuals354151923[[#This Row],[SCORE]]="","",IF(AB35=AC35,"Draw",IF(AB35&gt;AC35,X35,Y35)))</f>
        <v/>
      </c>
      <c r="X35" s="120" t="str">
        <f>IF(tblActuals354151923[[#This Row],[TEAMS]]="","",LEFT(H35,FIND(" -",H35,1)-1))</f>
        <v>France</v>
      </c>
      <c r="Y35" s="120" t="str">
        <f>IF(tblActuals354151923[[#This Row],[TEAMS]]="","",MID(H35,FIND("-",H35,1)+2,LEN(H35)-FIND("-",H35,1)+2))</f>
        <v>Poland</v>
      </c>
      <c r="Z35" s="120" t="str">
        <f>IF(tblActuals354151923[[#This Row],[Team 1 Goals]]&gt;tblActuals354151923[[#This Row],[Team 2 Goals]],tblActuals354151923[[#This Row],[Team 1]],IF(tblActuals354151923[[#This Row],[Team 2 Goals]]&gt;tblActuals354151923[[#This Row],[Team 1 Goals]],tblActuals354151923[[#This Row],[Team 2]],""))</f>
        <v/>
      </c>
      <c r="AA35" s="120" t="str">
        <f>IF(tblActuals354151923[[#This Row],[Winner]]=tblActuals354151923[[#This Row],[Team 1]],tblActuals354151923[[#This Row],[Team 2]],IF(tblActuals354151923[[#This Row],[Winner]]=tblActuals354151923[[#This Row],[Team 2]],tblActuals354151923[[#This Row],[Team 1]],""))</f>
        <v/>
      </c>
      <c r="AB35" s="120" t="str">
        <f>IF(tblActuals354151923[[#This Row],[SCORE]]="","",LEFT(I35,FIND(":",I35,1)-1)*1)</f>
        <v/>
      </c>
      <c r="AC35" s="120" t="str">
        <f>IF(tblActuals354151923[[#This Row],[SCORE]]="","",MID(I35,FIND(":",I35,1)+1,LEN(I35)-FIND(":",I35,1)+1)*1)</f>
        <v/>
      </c>
      <c r="AD35" s="120" t="str">
        <f>IF(OR(tblActuals354151923[[#This Row],[Team 1 Goals]]="",tblActuals354151923[[#This Row],[Team 2 Goals]]=""),"",tblActuals354151923[[#This Row],[Team 1 Goals]]-tblActuals354151923[[#This Row],[Team 2 Goals]])</f>
        <v/>
      </c>
      <c r="AE35" s="120" t="str">
        <f>IF(OR(tblActuals354151923[[#This Row],[Team 1 Goals]]="",tblActuals354151923[[#This Row],[Team 2 Goals]]=""),"",tblActuals354151923[[#This Row],[Team 2 Goals]]-tblActuals354151923[[#This Row],[Team 1 Goals]])</f>
        <v/>
      </c>
      <c r="AF35" s="120" t="str">
        <f>IF(tblActuals354151923[[#This Row],[SCORE]]="","",IF(tblActuals354151923[[#This Row],[WINNER / RESULT]]="Draw",1,IF(tblActuals354151923[[#This Row],[WINNER / RESULT]]=tblActuals354151923[[#This Row],[Team 1]],3,0)))</f>
        <v/>
      </c>
      <c r="AG35" s="120" t="str">
        <f>IF(tblActuals354151923[[#This Row],[SCORE]]="","",IF(tblActuals354151923[[#This Row],[WINNER / RESULT]]="Draw",1,IF(tblActuals354151923[[#This Row],[WINNER / RESULT]]=tblActuals354151923[[#This Row],[Team 2]],3,0)))</f>
        <v/>
      </c>
      <c r="AH35" s="121"/>
      <c r="AI35" s="121"/>
      <c r="AJ35" s="121"/>
      <c r="AK35" s="121"/>
      <c r="AL35" s="120" t="e">
        <f>tblActuals354151923[[#This Row],[Team 1 Goals]]+tblActuals354151923[[#This Row],[Team 1 ET Goals]]&amp;":"&amp;tblActuals354151923[[#This Row],[Team 2 Goals]]+tblActuals354151923[[#This Row],[Team 2 ET Goals]]</f>
        <v>#VALUE!</v>
      </c>
      <c r="AM35" s="120" t="e">
        <f>+tblActuals354151923[[#This Row],[Team 1 Goals]]+tblActuals354151923[[#This Row],[Team 2 Goals]]</f>
        <v>#VALUE!</v>
      </c>
      <c r="AN35" s="161">
        <f t="shared" si="3"/>
        <v>45468</v>
      </c>
      <c r="AT35" s="78"/>
      <c r="AU35" s="179" t="s">
        <v>56</v>
      </c>
      <c r="AV35" s="180"/>
      <c r="AW35" s="133" t="s">
        <v>46</v>
      </c>
      <c r="AX35" s="134" t="s">
        <v>57</v>
      </c>
      <c r="AY35" s="135" t="s">
        <v>11</v>
      </c>
      <c r="AZ35" s="75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U35" s="4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4"/>
      <c r="EC35" s="4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4"/>
      <c r="FK35" s="4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37"/>
      <c r="GM35" s="37"/>
      <c r="GN35" s="37"/>
      <c r="GO35" s="37"/>
      <c r="GP35" s="37"/>
      <c r="GQ35" s="37"/>
      <c r="GR35" s="75"/>
      <c r="GS35" s="157"/>
      <c r="GT35" s="157"/>
      <c r="GU35" s="79"/>
      <c r="GV35" s="79"/>
      <c r="GW35" s="79"/>
      <c r="GX35" s="79"/>
      <c r="GY35" s="79"/>
      <c r="GZ35" s="79"/>
    </row>
    <row r="36" spans="1:208" s="11" customFormat="1" ht="30" customHeight="1" x14ac:dyDescent="0.25">
      <c r="A36" s="20"/>
      <c r="B36" s="122">
        <v>33</v>
      </c>
      <c r="C36" s="122" t="s">
        <v>12</v>
      </c>
      <c r="D36" s="123">
        <v>45469</v>
      </c>
      <c r="E36" s="122" t="s">
        <v>86</v>
      </c>
      <c r="F36" s="124">
        <v>0.75</v>
      </c>
      <c r="G36" s="125">
        <f t="shared" si="11"/>
        <v>45469.5</v>
      </c>
      <c r="H36" s="122" t="s">
        <v>120</v>
      </c>
      <c r="I36" s="126"/>
      <c r="J36" s="118"/>
      <c r="K36" s="118"/>
      <c r="L36" s="174">
        <f>IF(I36="",0,IFERROR(IF(SCORING.RULES!$C$8="No",1,((VLOOKUP($B36,ACTUALS!$B$4:$L$100,7,FALSE)=$H36)+(VLOOKUP($B36,ACTUALS!$B$4:$L$100,7,FALSE)=S36)))*(M36+N36+O36+P36+Q36),0))+$R36</f>
        <v>0</v>
      </c>
      <c r="M36" s="168">
        <f>IFERROR(IF($B36="","",IF(U36=INDEX(ACTUALS!$AA$4:$AA$100,MATCH($B36,ACTUALS!$B$4:$B$100,0),1),CorrectScore,0)),0)</f>
        <v>0</v>
      </c>
      <c r="N36" s="157" t="str">
        <f>IFERROR(IF(I36="","",IF(INDEX(ACTUALS!$AB$4:$AB$100,MATCH($B36,ACTUALS!$B$4:$B$100,0),1)=(AB36+AC36+AH36+AI36),CorrectNumberofGoals,0)),0)</f>
        <v/>
      </c>
      <c r="O36" s="157"/>
      <c r="P36" s="157">
        <f>IFERROR(IF(B36="","",IF(INDEX(ACTUALS!$L$4:$L$100,MATCH($B36,ACTUALS!$B$4:$B$100,0),1)=W36,CorrectResult,0)),0)</f>
        <v>3</v>
      </c>
      <c r="Q36" s="157"/>
      <c r="R36" s="157"/>
      <c r="S36" s="157" t="str">
        <f t="shared" si="0"/>
        <v/>
      </c>
      <c r="T36" s="157"/>
      <c r="U36" s="157" t="str">
        <f t="shared" si="1"/>
        <v/>
      </c>
      <c r="V36" s="157" t="str">
        <f t="shared" si="2"/>
        <v/>
      </c>
      <c r="W36" s="119" t="str">
        <f>IF(tblActuals354151923[[#This Row],[SCORE]]="","",IF(AB36=AC36,"Draw",IF(AB36&gt;AC36,X36,Y36)))</f>
        <v/>
      </c>
      <c r="X36" s="120" t="str">
        <f>IF(tblActuals354151923[[#This Row],[TEAMS]]="","",LEFT(H36,FIND(" -",H36,1)-1))</f>
        <v>Slovakia</v>
      </c>
      <c r="Y36" s="120" t="str">
        <f>IF(tblActuals354151923[[#This Row],[TEAMS]]="","",MID(H36,FIND("-",H36,1)+2,LEN(H36)-FIND("-",H36,1)+2))</f>
        <v>Romania</v>
      </c>
      <c r="Z36" s="120" t="str">
        <f>IF(tblActuals354151923[[#This Row],[Team 1 Goals]]&gt;tblActuals354151923[[#This Row],[Team 2 Goals]],tblActuals354151923[[#This Row],[Team 1]],IF(tblActuals354151923[[#This Row],[Team 2 Goals]]&gt;tblActuals354151923[[#This Row],[Team 1 Goals]],tblActuals354151923[[#This Row],[Team 2]],""))</f>
        <v/>
      </c>
      <c r="AA36" s="120" t="str">
        <f>IF(tblActuals354151923[[#This Row],[Winner]]=tblActuals354151923[[#This Row],[Team 1]],tblActuals354151923[[#This Row],[Team 2]],IF(tblActuals354151923[[#This Row],[Winner]]=tblActuals354151923[[#This Row],[Team 2]],tblActuals354151923[[#This Row],[Team 1]],""))</f>
        <v/>
      </c>
      <c r="AB36" s="120" t="str">
        <f>IF(tblActuals354151923[[#This Row],[SCORE]]="","",LEFT(I36,FIND(":",I36,1)-1)*1)</f>
        <v/>
      </c>
      <c r="AC36" s="120" t="str">
        <f>IF(tblActuals354151923[[#This Row],[SCORE]]="","",MID(I36,FIND(":",I36,1)+1,LEN(I36)-FIND(":",I36,1)+1)*1)</f>
        <v/>
      </c>
      <c r="AD36" s="120" t="str">
        <f>IF(OR(tblActuals354151923[[#This Row],[Team 1 Goals]]="",tblActuals354151923[[#This Row],[Team 2 Goals]]=""),"",tblActuals354151923[[#This Row],[Team 1 Goals]]-tblActuals354151923[[#This Row],[Team 2 Goals]])</f>
        <v/>
      </c>
      <c r="AE36" s="120" t="str">
        <f>IF(OR(tblActuals354151923[[#This Row],[Team 1 Goals]]="",tblActuals354151923[[#This Row],[Team 2 Goals]]=""),"",tblActuals354151923[[#This Row],[Team 2 Goals]]-tblActuals354151923[[#This Row],[Team 1 Goals]])</f>
        <v/>
      </c>
      <c r="AF36" s="120" t="str">
        <f>IF(tblActuals354151923[[#This Row],[SCORE]]="","",IF(tblActuals354151923[[#This Row],[WINNER / RESULT]]="Draw",1,IF(tblActuals354151923[[#This Row],[WINNER / RESULT]]=tblActuals354151923[[#This Row],[Team 1]],3,0)))</f>
        <v/>
      </c>
      <c r="AG36" s="120" t="str">
        <f>IF(tblActuals354151923[[#This Row],[SCORE]]="","",IF(tblActuals354151923[[#This Row],[WINNER / RESULT]]="Draw",1,IF(tblActuals354151923[[#This Row],[WINNER / RESULT]]=tblActuals354151923[[#This Row],[Team 2]],3,0)))</f>
        <v/>
      </c>
      <c r="AH36" s="121"/>
      <c r="AI36" s="121"/>
      <c r="AJ36" s="121"/>
      <c r="AK36" s="121"/>
      <c r="AL36" s="120" t="e">
        <f>tblActuals354151923[[#This Row],[Team 1 Goals]]+tblActuals354151923[[#This Row],[Team 1 ET Goals]]&amp;":"&amp;tblActuals354151923[[#This Row],[Team 2 Goals]]+tblActuals354151923[[#This Row],[Team 2 ET Goals]]</f>
        <v>#VALUE!</v>
      </c>
      <c r="AM36" s="120" t="e">
        <f>+tblActuals354151923[[#This Row],[Team 1 Goals]]+tblActuals354151923[[#This Row],[Team 2 Goals]]</f>
        <v>#VALUE!</v>
      </c>
      <c r="AN36" s="161">
        <f t="shared" ref="AN36:AN54" si="13">DATE(YEAR(G36),MONTH(G36),DAY(G36))</f>
        <v>45469</v>
      </c>
      <c r="AT36" s="77" t="s">
        <v>45</v>
      </c>
      <c r="AU36" s="136">
        <v>1</v>
      </c>
      <c r="AV36" s="137" t="str">
        <f ca="1">IFERROR(INDEX(BD:BD,MATCH("1"&amp;AT36,BN:BN,0),1),"")</f>
        <v>Czechia</v>
      </c>
      <c r="AW36" s="137" t="str">
        <f ca="1">IF(AV36="","",VLOOKUP(AV36,BD:BI,2,FALSE)&amp;"-"&amp;VLOOKUP(AV36,BD:BI,3,FALSE)&amp;"-"&amp;VLOOKUP(AV36,BD:BI,4,FALSE))</f>
        <v>0-0-0</v>
      </c>
      <c r="AX36" s="137">
        <f ca="1">IF(AV36="","",VLOOKUP(AV36,BD:BK,8,FALSE))</f>
        <v>0</v>
      </c>
      <c r="AY36" s="138">
        <f ca="1">IF(AV36="","",VLOOKUP(AV36,BD:BN,5,FALSE))</f>
        <v>0</v>
      </c>
      <c r="AZ36" s="75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U36" s="58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4"/>
      <c r="EC36" s="58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4"/>
      <c r="FK36" s="58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13"/>
      <c r="GM36" s="13"/>
      <c r="GN36" s="13"/>
      <c r="GO36" s="13"/>
      <c r="GP36" s="13"/>
      <c r="GQ36" s="13"/>
      <c r="GR36" s="75"/>
      <c r="GS36" s="157"/>
      <c r="GT36" s="157"/>
      <c r="GU36" s="79"/>
      <c r="GV36" s="79"/>
      <c r="GW36" s="79"/>
      <c r="GX36" s="79"/>
      <c r="GY36" s="79"/>
      <c r="GZ36" s="79"/>
    </row>
    <row r="37" spans="1:208" s="11" customFormat="1" ht="30" customHeight="1" x14ac:dyDescent="0.25">
      <c r="A37" s="20"/>
      <c r="B37" s="122">
        <v>34</v>
      </c>
      <c r="C37" s="122" t="s">
        <v>12</v>
      </c>
      <c r="D37" s="123">
        <v>45469</v>
      </c>
      <c r="E37" s="122" t="s">
        <v>83</v>
      </c>
      <c r="F37" s="124">
        <v>0.75</v>
      </c>
      <c r="G37" s="125">
        <f t="shared" si="11"/>
        <v>45469.5</v>
      </c>
      <c r="H37" s="122" t="s">
        <v>121</v>
      </c>
      <c r="I37" s="126"/>
      <c r="J37" s="118"/>
      <c r="K37" s="118"/>
      <c r="L37" s="174">
        <f>IF(I37="",0,IFERROR(IF(SCORING.RULES!$C$8="No",1,((VLOOKUP($B37,ACTUALS!$B$4:$L$100,7,FALSE)=$H37)+(VLOOKUP($B37,ACTUALS!$B$4:$L$100,7,FALSE)=S37)))*(M37+N37+O37+P37+Q37),0))+$R37</f>
        <v>0</v>
      </c>
      <c r="M37" s="168">
        <f>IFERROR(IF($B37="","",IF(U37=INDEX(ACTUALS!$AA$4:$AA$100,MATCH($B37,ACTUALS!$B$4:$B$100,0),1),CorrectScore,0)),0)</f>
        <v>0</v>
      </c>
      <c r="N37" s="157" t="str">
        <f>IFERROR(IF(I37="","",IF(INDEX(ACTUALS!$AB$4:$AB$100,MATCH($B37,ACTUALS!$B$4:$B$100,0),1)=(AB37+AC37+AH37+AI37),CorrectNumberofGoals,0)),0)</f>
        <v/>
      </c>
      <c r="O37" s="157"/>
      <c r="P37" s="157">
        <f>IFERROR(IF(B37="","",IF(INDEX(ACTUALS!$L$4:$L$100,MATCH($B37,ACTUALS!$B$4:$B$100,0),1)=W37,CorrectResult,0)),0)</f>
        <v>3</v>
      </c>
      <c r="Q37" s="157"/>
      <c r="R37" s="157"/>
      <c r="S37" s="157" t="str">
        <f t="shared" si="0"/>
        <v/>
      </c>
      <c r="T37" s="157"/>
      <c r="U37" s="157" t="str">
        <f t="shared" si="1"/>
        <v/>
      </c>
      <c r="V37" s="157" t="str">
        <f t="shared" si="2"/>
        <v/>
      </c>
      <c r="W37" s="119" t="str">
        <f>IF(tblActuals354151923[[#This Row],[SCORE]]="","",IF(AB37=AC37,"Draw",IF(AB37&gt;AC37,X37,Y37)))</f>
        <v/>
      </c>
      <c r="X37" s="120" t="str">
        <f>IF(tblActuals354151923[[#This Row],[TEAMS]]="","",LEFT(H37,FIND(" -",H37,1)-1))</f>
        <v>Ukraine</v>
      </c>
      <c r="Y37" s="120" t="str">
        <f>IF(tblActuals354151923[[#This Row],[TEAMS]]="","",MID(H37,FIND("-",H37,1)+2,LEN(H37)-FIND("-",H37,1)+2))</f>
        <v>Belgium</v>
      </c>
      <c r="Z37" s="120" t="str">
        <f>IF(tblActuals354151923[[#This Row],[Team 1 Goals]]&gt;tblActuals354151923[[#This Row],[Team 2 Goals]],tblActuals354151923[[#This Row],[Team 1]],IF(tblActuals354151923[[#This Row],[Team 2 Goals]]&gt;tblActuals354151923[[#This Row],[Team 1 Goals]],tblActuals354151923[[#This Row],[Team 2]],""))</f>
        <v/>
      </c>
      <c r="AA37" s="120" t="str">
        <f>IF(tblActuals354151923[[#This Row],[Winner]]=tblActuals354151923[[#This Row],[Team 1]],tblActuals354151923[[#This Row],[Team 2]],IF(tblActuals354151923[[#This Row],[Winner]]=tblActuals354151923[[#This Row],[Team 2]],tblActuals354151923[[#This Row],[Team 1]],""))</f>
        <v/>
      </c>
      <c r="AB37" s="120" t="str">
        <f>IF(tblActuals354151923[[#This Row],[SCORE]]="","",LEFT(I37,FIND(":",I37,1)-1)*1)</f>
        <v/>
      </c>
      <c r="AC37" s="120" t="str">
        <f>IF(tblActuals354151923[[#This Row],[SCORE]]="","",MID(I37,FIND(":",I37,1)+1,LEN(I37)-FIND(":",I37,1)+1)*1)</f>
        <v/>
      </c>
      <c r="AD37" s="120" t="str">
        <f>IF(OR(tblActuals354151923[[#This Row],[Team 1 Goals]]="",tblActuals354151923[[#This Row],[Team 2 Goals]]=""),"",tblActuals354151923[[#This Row],[Team 1 Goals]]-tblActuals354151923[[#This Row],[Team 2 Goals]])</f>
        <v/>
      </c>
      <c r="AE37" s="120" t="str">
        <f>IF(OR(tblActuals354151923[[#This Row],[Team 1 Goals]]="",tblActuals354151923[[#This Row],[Team 2 Goals]]=""),"",tblActuals354151923[[#This Row],[Team 2 Goals]]-tblActuals354151923[[#This Row],[Team 1 Goals]])</f>
        <v/>
      </c>
      <c r="AF37" s="120" t="str">
        <f>IF(tblActuals354151923[[#This Row],[SCORE]]="","",IF(tblActuals354151923[[#This Row],[WINNER / RESULT]]="Draw",1,IF(tblActuals354151923[[#This Row],[WINNER / RESULT]]=tblActuals354151923[[#This Row],[Team 1]],3,0)))</f>
        <v/>
      </c>
      <c r="AG37" s="120" t="str">
        <f>IF(tblActuals354151923[[#This Row],[SCORE]]="","",IF(tblActuals354151923[[#This Row],[WINNER / RESULT]]="Draw",1,IF(tblActuals354151923[[#This Row],[WINNER / RESULT]]=tblActuals354151923[[#This Row],[Team 2]],3,0)))</f>
        <v/>
      </c>
      <c r="AH37" s="121"/>
      <c r="AI37" s="121"/>
      <c r="AJ37" s="121"/>
      <c r="AK37" s="121"/>
      <c r="AL37" s="120" t="e">
        <f>tblActuals354151923[[#This Row],[Team 1 Goals]]+tblActuals354151923[[#This Row],[Team 1 ET Goals]]&amp;":"&amp;tblActuals354151923[[#This Row],[Team 2 Goals]]+tblActuals354151923[[#This Row],[Team 2 ET Goals]]</f>
        <v>#VALUE!</v>
      </c>
      <c r="AM37" s="120" t="e">
        <f>+tblActuals354151923[[#This Row],[Team 1 Goals]]+tblActuals354151923[[#This Row],[Team 2 Goals]]</f>
        <v>#VALUE!</v>
      </c>
      <c r="AN37" s="161">
        <f t="shared" si="13"/>
        <v>45469</v>
      </c>
      <c r="AT37" s="77" t="s">
        <v>45</v>
      </c>
      <c r="AU37" s="139">
        <v>2</v>
      </c>
      <c r="AV37" s="140" t="str">
        <f ca="1">IFERROR(INDEX(BD:BD,MATCH("2"&amp;AT37,BN:BN,0),1),"")</f>
        <v>Georgia</v>
      </c>
      <c r="AW37" s="140" t="str">
        <f ca="1">IF(AV37="","",VLOOKUP(AV37,BD:BI,2,FALSE)&amp;"-"&amp;VLOOKUP(AV37,BD:BI,3,FALSE)&amp;"-"&amp;VLOOKUP(AV37,BD:BI,4,FALSE))</f>
        <v>0-0-0</v>
      </c>
      <c r="AX37" s="140">
        <f ca="1">IF(AV37="","",VLOOKUP(AV37,BD:BK,8,FALSE))</f>
        <v>0</v>
      </c>
      <c r="AY37" s="141">
        <f ca="1">IF(AV37="","",VLOOKUP(AV37,BD:BN,5,FALSE))</f>
        <v>0</v>
      </c>
      <c r="AZ37" s="75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U37" s="58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4"/>
      <c r="EC37" s="58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4"/>
      <c r="FK37" s="58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13"/>
      <c r="GM37" s="13"/>
      <c r="GN37" s="13"/>
      <c r="GO37" s="13"/>
      <c r="GP37" s="13"/>
      <c r="GQ37" s="13"/>
      <c r="GR37" s="75"/>
      <c r="GS37" s="157"/>
      <c r="GT37" s="157"/>
      <c r="GU37" s="79"/>
      <c r="GV37" s="79"/>
      <c r="GW37" s="79"/>
      <c r="GX37" s="79"/>
      <c r="GY37" s="79"/>
      <c r="GZ37" s="79"/>
    </row>
    <row r="38" spans="1:208" s="11" customFormat="1" ht="30" customHeight="1" x14ac:dyDescent="0.25">
      <c r="A38" s="20"/>
      <c r="B38" s="122">
        <v>35</v>
      </c>
      <c r="C38" s="122" t="s">
        <v>45</v>
      </c>
      <c r="D38" s="123">
        <v>45469</v>
      </c>
      <c r="E38" s="122" t="s">
        <v>82</v>
      </c>
      <c r="F38" s="124">
        <v>0.875</v>
      </c>
      <c r="G38" s="125">
        <f t="shared" si="11"/>
        <v>45469.625</v>
      </c>
      <c r="H38" s="122" t="s">
        <v>122</v>
      </c>
      <c r="I38" s="126"/>
      <c r="J38" s="118"/>
      <c r="K38" s="118"/>
      <c r="L38" s="174">
        <f>IF(I38="",0,IFERROR(IF(SCORING.RULES!$C$8="No",1,((VLOOKUP($B38,ACTUALS!$B$4:$L$100,7,FALSE)=$H38)+(VLOOKUP($B38,ACTUALS!$B$4:$L$100,7,FALSE)=S38)))*(M38+N38+O38+P38+Q38),0))+$R38</f>
        <v>0</v>
      </c>
      <c r="M38" s="168">
        <f>IFERROR(IF($B38="","",IF(U38=INDEX(ACTUALS!$AA$4:$AA$100,MATCH($B38,ACTUALS!$B$4:$B$100,0),1),CorrectScore,0)),0)</f>
        <v>0</v>
      </c>
      <c r="N38" s="157" t="str">
        <f>IFERROR(IF(I38="","",IF(INDEX(ACTUALS!$AB$4:$AB$100,MATCH($B38,ACTUALS!$B$4:$B$100,0),1)=(AB38+AC38+AH38+AI38),CorrectNumberofGoals,0)),0)</f>
        <v/>
      </c>
      <c r="O38" s="157"/>
      <c r="P38" s="157">
        <f>IFERROR(IF(B38="","",IF(INDEX(ACTUALS!$L$4:$L$100,MATCH($B38,ACTUALS!$B$4:$B$100,0),1)=W38,CorrectResult,0)),0)</f>
        <v>3</v>
      </c>
      <c r="Q38" s="157"/>
      <c r="R38" s="157"/>
      <c r="S38" s="157" t="str">
        <f t="shared" si="0"/>
        <v/>
      </c>
      <c r="T38" s="157"/>
      <c r="U38" s="157" t="str">
        <f t="shared" si="1"/>
        <v/>
      </c>
      <c r="V38" s="157" t="str">
        <f t="shared" si="2"/>
        <v/>
      </c>
      <c r="W38" s="119" t="str">
        <f>IF(tblActuals354151923[[#This Row],[SCORE]]="","",IF(AB38=AC38,"Draw",IF(AB38&gt;AC38,X38,Y38)))</f>
        <v/>
      </c>
      <c r="X38" s="120" t="str">
        <f>IF(tblActuals354151923[[#This Row],[TEAMS]]="","",LEFT(H38,FIND(" -",H38,1)-1))</f>
        <v>Georgia</v>
      </c>
      <c r="Y38" s="120" t="str">
        <f>IF(tblActuals354151923[[#This Row],[TEAMS]]="","",MID(H38,FIND("-",H38,1)+2,LEN(H38)-FIND("-",H38,1)+2))</f>
        <v>Portugal</v>
      </c>
      <c r="Z38" s="120" t="str">
        <f>IF(tblActuals354151923[[#This Row],[Team 1 Goals]]&gt;tblActuals354151923[[#This Row],[Team 2 Goals]],tblActuals354151923[[#This Row],[Team 1]],IF(tblActuals354151923[[#This Row],[Team 2 Goals]]&gt;tblActuals354151923[[#This Row],[Team 1 Goals]],tblActuals354151923[[#This Row],[Team 2]],""))</f>
        <v/>
      </c>
      <c r="AA38" s="120" t="str">
        <f>IF(tblActuals354151923[[#This Row],[Winner]]=tblActuals354151923[[#This Row],[Team 1]],tblActuals354151923[[#This Row],[Team 2]],IF(tblActuals354151923[[#This Row],[Winner]]=tblActuals354151923[[#This Row],[Team 2]],tblActuals354151923[[#This Row],[Team 1]],""))</f>
        <v/>
      </c>
      <c r="AB38" s="120" t="str">
        <f>IF(tblActuals354151923[[#This Row],[SCORE]]="","",LEFT(I38,FIND(":",I38,1)-1)*1)</f>
        <v/>
      </c>
      <c r="AC38" s="120" t="str">
        <f>IF(tblActuals354151923[[#This Row],[SCORE]]="","",MID(I38,FIND(":",I38,1)+1,LEN(I38)-FIND(":",I38,1)+1)*1)</f>
        <v/>
      </c>
      <c r="AD38" s="120" t="str">
        <f>IF(OR(tblActuals354151923[[#This Row],[Team 1 Goals]]="",tblActuals354151923[[#This Row],[Team 2 Goals]]=""),"",tblActuals354151923[[#This Row],[Team 1 Goals]]-tblActuals354151923[[#This Row],[Team 2 Goals]])</f>
        <v/>
      </c>
      <c r="AE38" s="120" t="str">
        <f>IF(OR(tblActuals354151923[[#This Row],[Team 1 Goals]]="",tblActuals354151923[[#This Row],[Team 2 Goals]]=""),"",tblActuals354151923[[#This Row],[Team 2 Goals]]-tblActuals354151923[[#This Row],[Team 1 Goals]])</f>
        <v/>
      </c>
      <c r="AF38" s="120" t="str">
        <f>IF(tblActuals354151923[[#This Row],[SCORE]]="","",IF(tblActuals354151923[[#This Row],[WINNER / RESULT]]="Draw",1,IF(tblActuals354151923[[#This Row],[WINNER / RESULT]]=tblActuals354151923[[#This Row],[Team 1]],3,0)))</f>
        <v/>
      </c>
      <c r="AG38" s="120" t="str">
        <f>IF(tblActuals354151923[[#This Row],[SCORE]]="","",IF(tblActuals354151923[[#This Row],[WINNER / RESULT]]="Draw",1,IF(tblActuals354151923[[#This Row],[WINNER / RESULT]]=tblActuals354151923[[#This Row],[Team 2]],3,0)))</f>
        <v/>
      </c>
      <c r="AH38" s="121"/>
      <c r="AI38" s="121"/>
      <c r="AJ38" s="121"/>
      <c r="AK38" s="121"/>
      <c r="AL38" s="120" t="e">
        <f>tblActuals354151923[[#This Row],[Team 1 Goals]]+tblActuals354151923[[#This Row],[Team 1 ET Goals]]&amp;":"&amp;tblActuals354151923[[#This Row],[Team 2 Goals]]+tblActuals354151923[[#This Row],[Team 2 ET Goals]]</f>
        <v>#VALUE!</v>
      </c>
      <c r="AM38" s="120" t="e">
        <f>+tblActuals354151923[[#This Row],[Team 1 Goals]]+tblActuals354151923[[#This Row],[Team 2 Goals]]</f>
        <v>#VALUE!</v>
      </c>
      <c r="AN38" s="161">
        <f t="shared" si="13"/>
        <v>45469</v>
      </c>
      <c r="AT38" s="77" t="s">
        <v>45</v>
      </c>
      <c r="AU38" s="142">
        <v>3</v>
      </c>
      <c r="AV38" s="143" t="str">
        <f ca="1">IFERROR(INDEX(BD:BD,MATCH("3"&amp;AT38,BN:BN,0),1),"")</f>
        <v>Portugal</v>
      </c>
      <c r="AW38" s="143" t="str">
        <f ca="1">IF(AV38="","",VLOOKUP(AV38,BD:BI,2,FALSE)&amp;"-"&amp;VLOOKUP(AV38,BD:BI,3,FALSE)&amp;"-"&amp;VLOOKUP(AV38,BD:BI,4,FALSE))</f>
        <v>0-0-0</v>
      </c>
      <c r="AX38" s="143">
        <f ca="1">IF(AV38="","",VLOOKUP(AV38,BD:BK,8,FALSE))</f>
        <v>0</v>
      </c>
      <c r="AY38" s="144">
        <f ca="1">IF(AV38="","",VLOOKUP(AV38,BD:BN,5,FALSE))</f>
        <v>0</v>
      </c>
      <c r="AZ38" s="75" t="str">
        <f ca="1">IF(INDEX($AU$43:$AU$48,MATCH(AV38,$AV$43:$AV$48,0),1)&lt;=4,"X","")</f>
        <v>X</v>
      </c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U38" s="58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4"/>
      <c r="EC38" s="58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4"/>
      <c r="FK38" s="58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13"/>
      <c r="GM38" s="13"/>
      <c r="GN38" s="13"/>
      <c r="GO38" s="13"/>
      <c r="GP38" s="13"/>
      <c r="GQ38" s="13"/>
      <c r="GR38" s="75"/>
      <c r="GS38" s="157"/>
      <c r="GT38" s="157"/>
      <c r="GU38" s="75"/>
      <c r="GV38" s="75"/>
      <c r="GW38" s="75"/>
      <c r="GX38" s="75"/>
      <c r="GY38" s="75"/>
      <c r="GZ38" s="75"/>
    </row>
    <row r="39" spans="1:208" s="11" customFormat="1" ht="30" customHeight="1" thickBot="1" x14ac:dyDescent="0.3">
      <c r="A39" s="20"/>
      <c r="B39" s="127">
        <v>36</v>
      </c>
      <c r="C39" s="127" t="s">
        <v>45</v>
      </c>
      <c r="D39" s="128">
        <v>45469</v>
      </c>
      <c r="E39" s="127" t="s">
        <v>84</v>
      </c>
      <c r="F39" s="129">
        <v>0.875</v>
      </c>
      <c r="G39" s="130">
        <f t="shared" si="11"/>
        <v>45469.625</v>
      </c>
      <c r="H39" s="127" t="s">
        <v>123</v>
      </c>
      <c r="I39" s="131"/>
      <c r="J39" s="118"/>
      <c r="K39" s="118"/>
      <c r="L39" s="174">
        <f>IF(I39="",0,IFERROR(IF(SCORING.RULES!$C$8="No",1,((VLOOKUP($B39,ACTUALS!$B$4:$L$100,7,FALSE)=$H39)+(VLOOKUP($B39,ACTUALS!$B$4:$L$100,7,FALSE)=S39)))*(M39+N39+O39+P39+Q39),0))+$R39</f>
        <v>0</v>
      </c>
      <c r="M39" s="168">
        <f>IFERROR(IF($B39="","",IF(U39=INDEX(ACTUALS!$AA$4:$AA$100,MATCH($B39,ACTUALS!$B$4:$B$100,0),1),CorrectScore,0)),0)</f>
        <v>0</v>
      </c>
      <c r="N39" s="157" t="str">
        <f>IFERROR(IF(I39="","",IF(INDEX(ACTUALS!$AB$4:$AB$100,MATCH($B39,ACTUALS!$B$4:$B$100,0),1)=(AB39+AC39+AH39+AI39),CorrectNumberofGoals,0)),0)</f>
        <v/>
      </c>
      <c r="O39" s="157"/>
      <c r="P39" s="157">
        <f>IFERROR(IF(B39="","",IF(INDEX(ACTUALS!$L$4:$L$100,MATCH($B39,ACTUALS!$B$4:$B$100,0),1)=W39,CorrectResult,0)),0)</f>
        <v>3</v>
      </c>
      <c r="Q39" s="157"/>
      <c r="R39" s="157"/>
      <c r="S39" s="157" t="str">
        <f t="shared" si="0"/>
        <v/>
      </c>
      <c r="T39" s="157"/>
      <c r="U39" s="157" t="str">
        <f t="shared" si="1"/>
        <v/>
      </c>
      <c r="V39" s="157" t="str">
        <f t="shared" si="2"/>
        <v/>
      </c>
      <c r="W39" s="132" t="str">
        <f>IF(tblActuals354151923[[#This Row],[SCORE]]="","",IF(AB39=AC39,"Draw",IF(AB39&gt;AC39,X39,Y39)))</f>
        <v/>
      </c>
      <c r="X39" s="120" t="str">
        <f>IF(tblActuals354151923[[#This Row],[TEAMS]]="","",LEFT(H39,FIND(" -",H39,1)-1))</f>
        <v>Czechia</v>
      </c>
      <c r="Y39" s="120" t="str">
        <f>IF(tblActuals354151923[[#This Row],[TEAMS]]="","",MID(H39,FIND("-",H39,1)+2,LEN(H39)-FIND("-",H39,1)+2))</f>
        <v>Turkey</v>
      </c>
      <c r="Z39" s="120" t="str">
        <f>IF(tblActuals354151923[[#This Row],[Team 1 Goals]]&gt;tblActuals354151923[[#This Row],[Team 2 Goals]],tblActuals354151923[[#This Row],[Team 1]],IF(tblActuals354151923[[#This Row],[Team 2 Goals]]&gt;tblActuals354151923[[#This Row],[Team 1 Goals]],tblActuals354151923[[#This Row],[Team 2]],""))</f>
        <v/>
      </c>
      <c r="AA39" s="120" t="str">
        <f>IF(tblActuals354151923[[#This Row],[Winner]]=tblActuals354151923[[#This Row],[Team 1]],tblActuals354151923[[#This Row],[Team 2]],IF(tblActuals354151923[[#This Row],[Winner]]=tblActuals354151923[[#This Row],[Team 2]],tblActuals354151923[[#This Row],[Team 1]],""))</f>
        <v/>
      </c>
      <c r="AB39" s="120" t="str">
        <f>IF(tblActuals354151923[[#This Row],[SCORE]]="","",LEFT(I39,FIND(":",I39,1)-1)*1)</f>
        <v/>
      </c>
      <c r="AC39" s="120" t="str">
        <f>IF(tblActuals354151923[[#This Row],[SCORE]]="","",MID(I39,FIND(":",I39,1)+1,LEN(I39)-FIND(":",I39,1)+1)*1)</f>
        <v/>
      </c>
      <c r="AD39" s="120" t="str">
        <f>IF(OR(tblActuals354151923[[#This Row],[Team 1 Goals]]="",tblActuals354151923[[#This Row],[Team 2 Goals]]=""),"",tblActuals354151923[[#This Row],[Team 1 Goals]]-tblActuals354151923[[#This Row],[Team 2 Goals]])</f>
        <v/>
      </c>
      <c r="AE39" s="120" t="str">
        <f>IF(OR(tblActuals354151923[[#This Row],[Team 1 Goals]]="",tblActuals354151923[[#This Row],[Team 2 Goals]]=""),"",tblActuals354151923[[#This Row],[Team 2 Goals]]-tblActuals354151923[[#This Row],[Team 1 Goals]])</f>
        <v/>
      </c>
      <c r="AF39" s="120" t="str">
        <f>IF(tblActuals354151923[[#This Row],[SCORE]]="","",IF(tblActuals354151923[[#This Row],[WINNER / RESULT]]="Draw",1,IF(tblActuals354151923[[#This Row],[WINNER / RESULT]]=tblActuals354151923[[#This Row],[Team 1]],3,0)))</f>
        <v/>
      </c>
      <c r="AG39" s="120" t="str">
        <f>IF(tblActuals354151923[[#This Row],[SCORE]]="","",IF(tblActuals354151923[[#This Row],[WINNER / RESULT]]="Draw",1,IF(tblActuals354151923[[#This Row],[WINNER / RESULT]]=tblActuals354151923[[#This Row],[Team 2]],3,0)))</f>
        <v/>
      </c>
      <c r="AH39" s="121"/>
      <c r="AI39" s="121"/>
      <c r="AJ39" s="121"/>
      <c r="AK39" s="121"/>
      <c r="AL39" s="120" t="e">
        <f>tblActuals354151923[[#This Row],[Team 1 Goals]]+tblActuals354151923[[#This Row],[Team 1 ET Goals]]&amp;":"&amp;tblActuals354151923[[#This Row],[Team 2 Goals]]+tblActuals354151923[[#This Row],[Team 2 ET Goals]]</f>
        <v>#VALUE!</v>
      </c>
      <c r="AM39" s="120" t="e">
        <f>+tblActuals354151923[[#This Row],[Team 1 Goals]]+tblActuals354151923[[#This Row],[Team 2 Goals]]</f>
        <v>#VALUE!</v>
      </c>
      <c r="AN39" s="161">
        <f t="shared" si="13"/>
        <v>45469</v>
      </c>
      <c r="AT39" s="77" t="s">
        <v>45</v>
      </c>
      <c r="AU39" s="145">
        <v>4</v>
      </c>
      <c r="AV39" s="146" t="str">
        <f ca="1">IFERROR(INDEX(BD:BD,MATCH("4"&amp;AT39,BN:BN,0),1),"")</f>
        <v>Turkey</v>
      </c>
      <c r="AW39" s="146" t="str">
        <f ca="1">IF(AV39="","",VLOOKUP(AV39,BD:BI,2,FALSE)&amp;"-"&amp;VLOOKUP(AV39,BD:BI,3,FALSE)&amp;"-"&amp;VLOOKUP(AV39,BD:BI,4,FALSE))</f>
        <v>0-0-0</v>
      </c>
      <c r="AX39" s="146">
        <f ca="1">IF(AV39="","",VLOOKUP(AV39,BD:BK,8,FALSE))</f>
        <v>0</v>
      </c>
      <c r="AY39" s="147">
        <f ca="1">IF(AV39="","",VLOOKUP(AV39,BD:BN,5,FALSE))</f>
        <v>0</v>
      </c>
      <c r="AZ39" s="75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U39" s="58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4"/>
      <c r="EC39" s="58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4"/>
      <c r="FK39" s="58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13"/>
      <c r="GM39" s="13"/>
      <c r="GN39" s="13"/>
      <c r="GO39" s="13"/>
      <c r="GP39" s="13"/>
      <c r="GQ39" s="13"/>
      <c r="GR39" s="75"/>
      <c r="GS39" s="157"/>
      <c r="GT39" s="157"/>
      <c r="GU39" s="75"/>
      <c r="GV39" s="75"/>
      <c r="GW39" s="75"/>
      <c r="GX39" s="75"/>
      <c r="GY39" s="75"/>
      <c r="GZ39" s="75"/>
    </row>
    <row r="40" spans="1:208" s="11" customFormat="1" ht="30" customHeight="1" thickBot="1" x14ac:dyDescent="0.3">
      <c r="A40" s="20"/>
      <c r="B40" s="113">
        <v>37</v>
      </c>
      <c r="C40" s="113" t="s">
        <v>48</v>
      </c>
      <c r="D40" s="114">
        <v>45472</v>
      </c>
      <c r="E40" s="113" t="s">
        <v>81</v>
      </c>
      <c r="F40" s="115">
        <v>0.875</v>
      </c>
      <c r="G40" s="116">
        <f t="shared" si="11"/>
        <v>45472.625</v>
      </c>
      <c r="H40" s="113" t="str">
        <f>IF(I39="","Round of 16",INDEX(BD:BD,MATCH("1A",BN:BN,0),1)&amp;" - "&amp;INDEX(BD:BD,MATCH("2C",BN:BN,0),1))</f>
        <v>Round of 16</v>
      </c>
      <c r="I40" s="50"/>
      <c r="J40" s="62"/>
      <c r="K40" s="66"/>
      <c r="L40" s="175">
        <f>IF(I40="",0,IFERROR(IF(SCORING.RULES!$C$8="No",1,((VLOOKUP($B40,ACTUALS!$B$4:$L$100,7,FALSE)=$H40)+(VLOOKUP($B40,ACTUALS!$B$4:$L$100,7,FALSE)=S40)))*(M40+N40+O40+P40+Q40),0))+$R40</f>
        <v>0</v>
      </c>
      <c r="M40" s="168">
        <f>IFERROR(IF($B40="","",IF(U40=INDEX(ACTUALS!$AA$4:$AA$100,MATCH($B40,ACTUALS!$B$4:$B$100,0),1),CorrectScore,0)),0)</f>
        <v>0</v>
      </c>
      <c r="N40" s="168" t="str">
        <f>IFERROR(IF(I40="","",IF(INDEX(ACTUALS!$AB$4:$AB$100,MATCH($B40,ACTUALS!$B$4:$B$100,0),1)=(AB40+AC40+AH40+AI40),CorrectNumberofGoals,0)),0)</f>
        <v/>
      </c>
      <c r="O40" s="168">
        <f>IFERROR(IF(V40="",0,IF($V40=INDEX(ACTUALS!$K$3:$K$100,MATCH($B40,ACTUALS!$B$3:$B$100,0),1),penaltiesscored,0)),0)</f>
        <v>0</v>
      </c>
      <c r="P40" s="168">
        <f>IFERROR(IF(B40="","",IF(INDEX(ACTUALS!$L$4:$L$100,MATCH($B40,ACTUALS!$B$4:$B$100,0),1)=W40,CorrectResult,0)),0)</f>
        <v>3</v>
      </c>
      <c r="Q40" s="168">
        <f>IFERROR(IF(ISNUMBER(AI40),IF(ISNUMBER(INDEX(ACTUALS!$Y$3:$Y$100,MATCH($B40,ACTUALS!$B$3:$B$100,0),1)),shootoutswon,0),0),0)</f>
        <v>0</v>
      </c>
      <c r="R40" s="168">
        <f t="shared" ref="R40:R54" si="14">(IF(ISNUMBER(FIND($X40,VLOOKUP($C40,EliminationStages,2,FALSE),1)),1,0)+IF(ISNUMBER(FIND($Y40,VLOOKUP($C40,EliminationStages,2,FALSE),1)),1,0))*CorrectStage</f>
        <v>0</v>
      </c>
      <c r="S40" s="168" t="e">
        <f>IF(OR($H40="",$B40&lt;37),"",RIGHT($H40,LEN($H40)-FIND("-",$H40,1)-1)&amp;" - "&amp;LEFT($H40,FIND("-",$H40,1)-2))</f>
        <v>#VALUE!</v>
      </c>
      <c r="T40" s="168" t="str">
        <f>IF($W40="","",IF(NOT(ISERROR(MATCH($S40,ACTUALS!$H$40:$H$47,0))),"Y","N"))</f>
        <v/>
      </c>
      <c r="U40" s="168" t="str">
        <f>IF($I40="","",IF($T40="Y",AC40+AI40&amp;":"&amp;AB40+AH40,AB40+AH40&amp;":"&amp;AC40+AI40))</f>
        <v/>
      </c>
      <c r="V40" s="168" t="str">
        <f>IF($K40="","",IF($T40="Y",$AK40&amp;":"&amp;$AJ40,$AJ40&amp;":"&amp;$AK40))</f>
        <v/>
      </c>
      <c r="W40" s="63" t="str">
        <f t="shared" ref="W40:W54" si="15">IF(I40="","",IF(AB40=AC40,IF(AJ40&gt;AK40,X40,IF(AK40&gt;AJ40,Y40,IF(AH40&gt;AI40,X40,IF(AI40&gt;AH40,Y40,"")))),IF(AB40&gt;AC40,X40,Y40)))</f>
        <v/>
      </c>
      <c r="X40" s="65" t="e">
        <f t="shared" ref="X40:X54" si="16">IF(OR(LEFT(H40,1)=" ",H40=""),"N/A",LEFT(H40,FIND(" -",H40,1)-1))</f>
        <v>#VALUE!</v>
      </c>
      <c r="Y40" s="65" t="e">
        <f t="shared" ref="Y40:Y54" si="17">IF(OR(RIGHT(H40)=" ",H40=""),"N/A",MID(H40,FIND("-",H40,1)+2,LEN(H40)-FIND("-",H40,1)+2))</f>
        <v>#VALUE!</v>
      </c>
      <c r="Z40" s="65" t="str">
        <f t="shared" ref="Z40:Z51" si="18">IF(W40="","",IF(W40=X40,X40,Y40))</f>
        <v/>
      </c>
      <c r="AA40" s="65" t="str">
        <f t="shared" ref="AA40:AA51" si="19">IF(W40="","",IF(Z40=X40,Y40,X40))</f>
        <v/>
      </c>
      <c r="AB40" s="65" t="str">
        <f t="shared" ref="AB40:AB54" si="20">IF(I40="","",LEFT(I40,FIND(":",I40,1)-1)*1)</f>
        <v/>
      </c>
      <c r="AC40" s="65" t="str">
        <f t="shared" ref="AC40:AC54" si="21">IF(I40="","",MID(I40,FIND(":",I40,1)+1,LEN(I40)-FIND(":",I40,1)+1)*1)</f>
        <v/>
      </c>
      <c r="AD40" s="65"/>
      <c r="AE40" s="65"/>
      <c r="AF40" s="65"/>
      <c r="AG40" s="65"/>
      <c r="AH40" s="65">
        <f>IF(J40="",0,LEFT(J40,FIND(":",J40,1)-1)*1)</f>
        <v>0</v>
      </c>
      <c r="AI40" s="65">
        <f>IF(J40="",0,MID(J40,FIND(":",J40,1)+1,LEN(J40)-FIND(":",J40,1)+1)*1)</f>
        <v>0</v>
      </c>
      <c r="AJ40" s="65" t="str">
        <f t="shared" ref="AJ40:AJ54" si="22">IF(K40="","",LEFT(K40,FIND(":",K40,1)-1)*1)</f>
        <v/>
      </c>
      <c r="AK40" s="65" t="str">
        <f t="shared" ref="AK40:AK54" si="23">IF(K40="","",MID(K40,FIND(":",K40,1)+1,LEN(K40)-FIND(":",K40,1)+1)*1)</f>
        <v/>
      </c>
      <c r="AL40" s="65" t="e">
        <f>AB40+N(AH40)&amp;":"&amp;AC40+N(AI40)</f>
        <v>#VALUE!</v>
      </c>
      <c r="AM40" s="65" t="e">
        <f t="shared" ref="AM40:AM54" si="24">+AB40+AC40+N(AH40)+N(AI40)</f>
        <v>#VALUE!</v>
      </c>
      <c r="AN40" s="161">
        <f t="shared" si="13"/>
        <v>45472</v>
      </c>
      <c r="AT40" s="79"/>
      <c r="AU40" s="148"/>
      <c r="AV40" s="148"/>
      <c r="AW40" s="148"/>
      <c r="AX40" s="148"/>
      <c r="AY40" s="148"/>
      <c r="AZ40" s="75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U40" s="58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4"/>
      <c r="EC40" s="58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4"/>
      <c r="FK40" s="58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13"/>
      <c r="GM40" s="13"/>
      <c r="GN40" s="13"/>
      <c r="GO40" s="13"/>
      <c r="GP40" s="13"/>
      <c r="GQ40" s="13"/>
      <c r="GR40" s="75"/>
      <c r="GS40" s="157"/>
      <c r="GT40" s="157"/>
      <c r="GU40" s="75"/>
      <c r="GV40" s="75"/>
      <c r="GW40" s="75"/>
      <c r="GX40" s="75"/>
      <c r="GY40" s="75"/>
      <c r="GZ40" s="75"/>
    </row>
    <row r="41" spans="1:208" s="11" customFormat="1" ht="30" customHeight="1" x14ac:dyDescent="0.25">
      <c r="A41" s="20"/>
      <c r="B41" s="122">
        <v>38</v>
      </c>
      <c r="C41" s="122" t="s">
        <v>48</v>
      </c>
      <c r="D41" s="123">
        <v>45472</v>
      </c>
      <c r="E41" s="122" t="s">
        <v>80</v>
      </c>
      <c r="F41" s="124">
        <v>0.75</v>
      </c>
      <c r="G41" s="125">
        <f t="shared" si="11"/>
        <v>45472.5</v>
      </c>
      <c r="H41" s="122" t="str">
        <f>IF(I39="","Round of 16",INDEX(BD:BD,MATCH("2A",BN:BN,0),1)&amp;" - "&amp;INDEX(BD:BD,MATCH("2b",BN:BN,0),1))</f>
        <v>Round of 16</v>
      </c>
      <c r="I41" s="49"/>
      <c r="J41" s="62"/>
      <c r="K41" s="66"/>
      <c r="L41" s="175">
        <f>IF(I41="",0,IFERROR(IF(SCORING.RULES!$C$8="No",1,((VLOOKUP($B41,ACTUALS!$B$4:$L$100,7,FALSE)=$H41)+(VLOOKUP($B41,ACTUALS!$B$4:$L$100,7,FALSE)=S41)))*(M41+N41+O41+P41+Q41),0))+$R41</f>
        <v>0</v>
      </c>
      <c r="M41" s="168">
        <f>IFERROR(IF($B41="","",IF(U41=INDEX(ACTUALS!$AA$4:$AA$100,MATCH($B41,ACTUALS!$B$4:$B$100,0),1),CorrectScore,0)),0)</f>
        <v>0</v>
      </c>
      <c r="N41" s="168" t="str">
        <f>IFERROR(IF(I41="","",IF(INDEX(ACTUALS!$AB$4:$AB$100,MATCH($B41,ACTUALS!$B$4:$B$100,0),1)=(AB41+AC41+AH41+AI41),CorrectNumberofGoals,0)),0)</f>
        <v/>
      </c>
      <c r="O41" s="168">
        <f>IFERROR(IF(V41="",0,IF($V41=INDEX(ACTUALS!$K$3:$K$100,MATCH($B41,ACTUALS!$B$3:$B$100,0),1),penaltiesscored,0)),0)</f>
        <v>0</v>
      </c>
      <c r="P41" s="168">
        <f>IFERROR(IF(B41="","",IF(INDEX(ACTUALS!$L$4:$L$100,MATCH($B41,ACTUALS!$B$4:$B$100,0),1)=W41,CorrectResult,0)),0)</f>
        <v>3</v>
      </c>
      <c r="Q41" s="168">
        <f>IFERROR(IF(ISNUMBER(AI41),IF(ISNUMBER(INDEX(ACTUALS!$Y$3:$Y$100,MATCH($B41,ACTUALS!$B$3:$B$100,0),1)),shootoutswon,0),0),0)</f>
        <v>0</v>
      </c>
      <c r="R41" s="168">
        <f t="shared" si="14"/>
        <v>0</v>
      </c>
      <c r="S41" s="168" t="e">
        <f t="shared" ref="S41:S54" si="25">IF(OR($H41="",$B41&lt;37),"",RIGHT($H41,LEN($H41)-FIND("-",$H41,1)-1)&amp;" - "&amp;LEFT($H41,FIND("-",$H41,1)-2))</f>
        <v>#VALUE!</v>
      </c>
      <c r="T41" s="168" t="str">
        <f>IF($W41="","",IF(NOT(ISERROR(MATCH($S41,ACTUALS!$H$40:$H$47,0))),"Y","N"))</f>
        <v/>
      </c>
      <c r="U41" s="168" t="str">
        <f t="shared" ref="U41:U54" si="26">IF($I41="","",IF($T41="Y",AC41+AI41&amp;":"&amp;AB41+AH41,AB41+AH41&amp;":"&amp;AC41+AI41))</f>
        <v/>
      </c>
      <c r="V41" s="168" t="str">
        <f t="shared" ref="V41:V54" si="27">IF($K41="","",IF($T41="Y",$AK41&amp;":"&amp;$AJ41,$AJ41&amp;":"&amp;$AK41))</f>
        <v/>
      </c>
      <c r="W41" s="63" t="str">
        <f t="shared" si="15"/>
        <v/>
      </c>
      <c r="X41" s="65" t="e">
        <f t="shared" si="16"/>
        <v>#VALUE!</v>
      </c>
      <c r="Y41" s="65" t="e">
        <f t="shared" si="17"/>
        <v>#VALUE!</v>
      </c>
      <c r="Z41" s="65" t="str">
        <f>IF(W41="","",IF(W41=X41,X41,Y41))</f>
        <v/>
      </c>
      <c r="AA41" s="65" t="str">
        <f t="shared" si="19"/>
        <v/>
      </c>
      <c r="AB41" s="65" t="str">
        <f t="shared" si="20"/>
        <v/>
      </c>
      <c r="AC41" s="65" t="str">
        <f t="shared" si="21"/>
        <v/>
      </c>
      <c r="AD41" s="65"/>
      <c r="AE41" s="65"/>
      <c r="AF41" s="65"/>
      <c r="AG41" s="65"/>
      <c r="AH41" s="65">
        <f t="shared" ref="AH41:AH54" si="28">IF(J41="",0,LEFT(J41,FIND(":",J41,1)-1)*1)</f>
        <v>0</v>
      </c>
      <c r="AI41" s="65">
        <f t="shared" ref="AI41:AI54" si="29">IF(J41="",0,MID(J41,FIND(":",J41,1)+1,LEN(J41)-FIND(":",J41,1)+1)*1)</f>
        <v>0</v>
      </c>
      <c r="AJ41" s="65" t="str">
        <f t="shared" si="22"/>
        <v/>
      </c>
      <c r="AK41" s="65" t="str">
        <f t="shared" si="23"/>
        <v/>
      </c>
      <c r="AL41" s="65" t="e">
        <f t="shared" ref="AL41:AL54" si="30">AB41+N(AH41)&amp;":"&amp;AC41+N(AI41)</f>
        <v>#VALUE!</v>
      </c>
      <c r="AM41" s="65" t="e">
        <f t="shared" si="24"/>
        <v>#VALUE!</v>
      </c>
      <c r="AN41" s="161">
        <f t="shared" si="13"/>
        <v>45472</v>
      </c>
      <c r="AT41" s="80"/>
      <c r="AU41" s="187" t="s">
        <v>138</v>
      </c>
      <c r="AV41" s="188"/>
      <c r="AW41" s="188"/>
      <c r="AX41" s="188"/>
      <c r="AY41" s="189"/>
      <c r="AZ41" s="75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U41" s="58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4"/>
      <c r="EC41" s="58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4"/>
      <c r="FK41" s="58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13"/>
      <c r="GM41" s="13"/>
      <c r="GN41" s="13"/>
      <c r="GO41" s="13"/>
      <c r="GP41" s="13"/>
      <c r="GQ41" s="13"/>
      <c r="GR41" s="75"/>
      <c r="GS41" s="157"/>
      <c r="GT41" s="157"/>
      <c r="GU41" s="75"/>
      <c r="GV41" s="75"/>
      <c r="GW41" s="75"/>
      <c r="GX41" s="75"/>
      <c r="GY41" s="75"/>
      <c r="GZ41" s="75"/>
    </row>
    <row r="42" spans="1:208" s="11" customFormat="1" ht="30" customHeight="1" thickBot="1" x14ac:dyDescent="0.3">
      <c r="A42" s="20"/>
      <c r="B42" s="122">
        <v>39</v>
      </c>
      <c r="C42" s="122" t="s">
        <v>48</v>
      </c>
      <c r="D42" s="123">
        <v>45473</v>
      </c>
      <c r="E42" s="122" t="s">
        <v>79</v>
      </c>
      <c r="F42" s="124">
        <v>0.875</v>
      </c>
      <c r="G42" s="125">
        <f t="shared" si="11"/>
        <v>45473.625</v>
      </c>
      <c r="H42" s="122" t="str">
        <f>IF(I39="","Round of 16",INDEX(BD:BD,MATCH("1B",BN:BN,0),1)&amp;" - "&amp;INDEX(BD:BD,MATCH(INDEX(HJ:HJ,MATCH(AZ42,HB:HB,0),1),BN:BN,0),1))</f>
        <v>Round of 16</v>
      </c>
      <c r="I42" s="49"/>
      <c r="J42" s="62"/>
      <c r="K42" s="66"/>
      <c r="L42" s="175">
        <f>IF(I42="",0,IFERROR(IF(SCORING.RULES!$C$8="No",1,((VLOOKUP($B42,ACTUALS!$B$4:$L$100,7,FALSE)=$H42)+(VLOOKUP($B42,ACTUALS!$B$4:$L$100,7,FALSE)=S42)))*(M42+N42+O42+P42+Q42),0))+$R42</f>
        <v>0</v>
      </c>
      <c r="M42" s="168">
        <f>IFERROR(IF($B42="","",IF(U42=INDEX(ACTUALS!$AA$4:$AA$100,MATCH($B42,ACTUALS!$B$4:$B$100,0),1),CorrectScore,0)),0)</f>
        <v>0</v>
      </c>
      <c r="N42" s="168" t="str">
        <f>IFERROR(IF(I42="","",IF(INDEX(ACTUALS!$AB$4:$AB$100,MATCH($B42,ACTUALS!$B$4:$B$100,0),1)=(AB42+AC42+AH42+AI42),CorrectNumberofGoals,0)),0)</f>
        <v/>
      </c>
      <c r="O42" s="168">
        <f>IFERROR(IF(V42="",0,IF($V42=INDEX(ACTUALS!$K$3:$K$100,MATCH($B42,ACTUALS!$B$3:$B$100,0),1),penaltiesscored,0)),0)</f>
        <v>0</v>
      </c>
      <c r="P42" s="168">
        <f>IFERROR(IF(B42="","",IF(INDEX(ACTUALS!$L$4:$L$100,MATCH($B42,ACTUALS!$B$4:$B$100,0),1)=W42,CorrectResult,0)),0)</f>
        <v>3</v>
      </c>
      <c r="Q42" s="168">
        <f>IFERROR(IF(ISNUMBER(AI42),IF(ISNUMBER(INDEX(ACTUALS!$Y$3:$Y$100,MATCH($B42,ACTUALS!$B$3:$B$100,0),1)),shootoutswon,0),0),0)</f>
        <v>0</v>
      </c>
      <c r="R42" s="168">
        <f t="shared" si="14"/>
        <v>0</v>
      </c>
      <c r="S42" s="168" t="e">
        <f t="shared" si="25"/>
        <v>#VALUE!</v>
      </c>
      <c r="T42" s="168" t="str">
        <f>IF($W42="","",IF(NOT(ISERROR(MATCH($S42,ACTUALS!$H$40:$H$47,0))),"Y","N"))</f>
        <v/>
      </c>
      <c r="U42" s="168" t="str">
        <f t="shared" si="26"/>
        <v/>
      </c>
      <c r="V42" s="168" t="str">
        <f t="shared" si="27"/>
        <v/>
      </c>
      <c r="W42" s="63" t="str">
        <f t="shared" si="15"/>
        <v/>
      </c>
      <c r="X42" s="65" t="e">
        <f t="shared" si="16"/>
        <v>#VALUE!</v>
      </c>
      <c r="Y42" s="65" t="e">
        <f t="shared" si="17"/>
        <v>#VALUE!</v>
      </c>
      <c r="Z42" s="65" t="str">
        <f t="shared" si="18"/>
        <v/>
      </c>
      <c r="AA42" s="65" t="str">
        <f t="shared" si="19"/>
        <v/>
      </c>
      <c r="AB42" s="65" t="str">
        <f t="shared" si="20"/>
        <v/>
      </c>
      <c r="AC42" s="65" t="str">
        <f t="shared" si="21"/>
        <v/>
      </c>
      <c r="AD42" s="65"/>
      <c r="AE42" s="65"/>
      <c r="AF42" s="65"/>
      <c r="AG42" s="65"/>
      <c r="AH42" s="65">
        <f t="shared" si="28"/>
        <v>0</v>
      </c>
      <c r="AI42" s="65">
        <f t="shared" si="29"/>
        <v>0</v>
      </c>
      <c r="AJ42" s="65" t="str">
        <f t="shared" si="22"/>
        <v/>
      </c>
      <c r="AK42" s="65" t="str">
        <f t="shared" si="23"/>
        <v/>
      </c>
      <c r="AL42" s="65" t="e">
        <f t="shared" si="30"/>
        <v>#VALUE!</v>
      </c>
      <c r="AM42" s="65" t="e">
        <f t="shared" si="24"/>
        <v>#VALUE!</v>
      </c>
      <c r="AN42" s="161">
        <f t="shared" si="13"/>
        <v>45473</v>
      </c>
      <c r="AT42" s="79"/>
      <c r="AU42" s="149" t="s">
        <v>140</v>
      </c>
      <c r="AV42" s="150" t="s">
        <v>13</v>
      </c>
      <c r="AW42" s="150" t="s">
        <v>46</v>
      </c>
      <c r="AX42" s="150" t="s">
        <v>57</v>
      </c>
      <c r="AY42" s="151" t="s">
        <v>11</v>
      </c>
      <c r="AZ42" s="75" t="str">
        <f ca="1">IF(AZ8="X","A","")&amp;IF(AZ14="X","B","")&amp;IF(AZ20="X","C","")&amp;IF(AZ26="X","D","")&amp;IF(AZ32="X","E","")&amp;IF(AZ38="X","F","")</f>
        <v>CDEF</v>
      </c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U42" s="58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R42" s="75"/>
      <c r="GS42" s="157"/>
      <c r="GT42" s="157"/>
      <c r="GU42" s="75"/>
      <c r="GV42" s="75"/>
      <c r="GW42" s="75"/>
      <c r="GX42" s="75"/>
      <c r="GY42" s="75"/>
      <c r="GZ42" s="75"/>
    </row>
    <row r="43" spans="1:208" s="11" customFormat="1" ht="30" customHeight="1" x14ac:dyDescent="0.25">
      <c r="A43" s="20"/>
      <c r="B43" s="122">
        <v>40</v>
      </c>
      <c r="C43" s="122" t="s">
        <v>48</v>
      </c>
      <c r="D43" s="123">
        <v>45473</v>
      </c>
      <c r="E43" s="122" t="s">
        <v>82</v>
      </c>
      <c r="F43" s="124">
        <v>0.75</v>
      </c>
      <c r="G43" s="125">
        <f t="shared" si="11"/>
        <v>45473.5</v>
      </c>
      <c r="H43" s="122" t="str">
        <f>IF(I39="","Round of 16",INDEX(BD:BD,MATCH("1c",BN:BN,0),1)&amp;" - "&amp;INDEX(BD:BD,MATCH(INDEX(HK:HK,MATCH(AZ42,HB:HB,0),1),BN:BN,0),1))</f>
        <v>Round of 16</v>
      </c>
      <c r="I43" s="49"/>
      <c r="J43" s="62"/>
      <c r="K43" s="66"/>
      <c r="L43" s="175">
        <f>IF(I43="",0,IFERROR(IF(SCORING.RULES!$C$8="No",1,((VLOOKUP($B43,ACTUALS!$B$4:$L$100,7,FALSE)=$H43)+(VLOOKUP($B43,ACTUALS!$B$4:$L$100,7,FALSE)=S43)))*(M43+N43+O43+P43+Q43),0))+$R43</f>
        <v>0</v>
      </c>
      <c r="M43" s="168">
        <f>IFERROR(IF($B43="","",IF(U43=INDEX(ACTUALS!$AA$4:$AA$100,MATCH($B43,ACTUALS!$B$4:$B$100,0),1),CorrectScore,0)),0)</f>
        <v>0</v>
      </c>
      <c r="N43" s="168" t="str">
        <f>IFERROR(IF(I43="","",IF(INDEX(ACTUALS!$AB$4:$AB$100,MATCH($B43,ACTUALS!$B$4:$B$100,0),1)=(AB43+AC43+AH43+AI43),CorrectNumberofGoals,0)),0)</f>
        <v/>
      </c>
      <c r="O43" s="168">
        <f>IFERROR(IF(V43="",0,IF($V43=INDEX(ACTUALS!$K$3:$K$100,MATCH($B43,ACTUALS!$B$3:$B$100,0),1),penaltiesscored,0)),0)</f>
        <v>0</v>
      </c>
      <c r="P43" s="168">
        <f>IFERROR(IF(B43="","",IF(INDEX(ACTUALS!$L$4:$L$100,MATCH($B43,ACTUALS!$B$4:$B$100,0),1)=W43,CorrectResult,0)),0)</f>
        <v>3</v>
      </c>
      <c r="Q43" s="168">
        <f>IFERROR(IF(ISNUMBER(AI43),IF(ISNUMBER(INDEX(ACTUALS!$Y$3:$Y$100,MATCH($B43,ACTUALS!$B$3:$B$100,0),1)),shootoutswon,0),0),0)</f>
        <v>0</v>
      </c>
      <c r="R43" s="168">
        <f t="shared" si="14"/>
        <v>0</v>
      </c>
      <c r="S43" s="168" t="e">
        <f t="shared" si="25"/>
        <v>#VALUE!</v>
      </c>
      <c r="T43" s="168" t="str">
        <f>IF($W43="","",IF(NOT(ISERROR(MATCH($S43,ACTUALS!$H$40:$H$47,0))),"Y","N"))</f>
        <v/>
      </c>
      <c r="U43" s="168" t="str">
        <f t="shared" si="26"/>
        <v/>
      </c>
      <c r="V43" s="168" t="str">
        <f t="shared" si="27"/>
        <v/>
      </c>
      <c r="W43" s="63" t="str">
        <f t="shared" si="15"/>
        <v/>
      </c>
      <c r="X43" s="65" t="e">
        <f t="shared" si="16"/>
        <v>#VALUE!</v>
      </c>
      <c r="Y43" s="65" t="e">
        <f t="shared" si="17"/>
        <v>#VALUE!</v>
      </c>
      <c r="Z43" s="65" t="str">
        <f t="shared" si="18"/>
        <v/>
      </c>
      <c r="AA43" s="65" t="str">
        <f t="shared" si="19"/>
        <v/>
      </c>
      <c r="AB43" s="65" t="str">
        <f t="shared" si="20"/>
        <v/>
      </c>
      <c r="AC43" s="65" t="str">
        <f t="shared" si="21"/>
        <v/>
      </c>
      <c r="AD43" s="65"/>
      <c r="AE43" s="65"/>
      <c r="AF43" s="65"/>
      <c r="AG43" s="65"/>
      <c r="AH43" s="65">
        <f t="shared" si="28"/>
        <v>0</v>
      </c>
      <c r="AI43" s="65">
        <f t="shared" si="29"/>
        <v>0</v>
      </c>
      <c r="AJ43" s="65" t="str">
        <f t="shared" si="22"/>
        <v/>
      </c>
      <c r="AK43" s="65" t="str">
        <f t="shared" si="23"/>
        <v/>
      </c>
      <c r="AL43" s="65" t="e">
        <f t="shared" si="30"/>
        <v>#VALUE!</v>
      </c>
      <c r="AM43" s="65" t="e">
        <f t="shared" si="24"/>
        <v>#VALUE!</v>
      </c>
      <c r="AN43" s="161">
        <f t="shared" si="13"/>
        <v>45473</v>
      </c>
      <c r="AT43" s="79"/>
      <c r="AU43" s="136">
        <v>1</v>
      </c>
      <c r="AV43" s="137" t="str">
        <f t="shared" ref="AV43:AV48" ca="1" si="31">IF(GV4&lt;&gt;"",GV4,INDEX($CB$4:$CB$9,MATCH(ROW(A1),$CH$4:$CH$9,0),1))</f>
        <v>Portugal</v>
      </c>
      <c r="AW43" s="137" t="str">
        <f t="shared" ref="AW43:AW48" ca="1" si="32">INDEX($AW$5:$AW$39,MATCH($AV43,$AV$5:$AV$39,0),1)</f>
        <v>0-0-0</v>
      </c>
      <c r="AX43" s="137">
        <f t="shared" ref="AX43:AX48" ca="1" si="33">INDEX($AX$5:$AX$39,MATCH($AV43,$AV$5:$AV$39,0),1)</f>
        <v>0</v>
      </c>
      <c r="AY43" s="138">
        <f t="shared" ref="AY43:AY48" ca="1" si="34">INDEX($AY$5:$AY$39,MATCH($AV43,$AV$5:$AV$39,0),1)</f>
        <v>0</v>
      </c>
      <c r="AZ43" s="75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U43" s="58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R43" s="75"/>
      <c r="GS43" s="157"/>
      <c r="GT43" s="157"/>
      <c r="GU43" s="75"/>
      <c r="GV43" s="75"/>
      <c r="GW43" s="75"/>
      <c r="GX43" s="75"/>
      <c r="GY43" s="75"/>
      <c r="GZ43" s="75"/>
    </row>
    <row r="44" spans="1:208" s="11" customFormat="1" ht="30" customHeight="1" x14ac:dyDescent="0.25">
      <c r="A44" s="20"/>
      <c r="B44" s="122">
        <v>41</v>
      </c>
      <c r="C44" s="122" t="s">
        <v>48</v>
      </c>
      <c r="D44" s="123">
        <v>45474</v>
      </c>
      <c r="E44" s="122" t="s">
        <v>86</v>
      </c>
      <c r="F44" s="124">
        <v>0.875</v>
      </c>
      <c r="G44" s="125">
        <f t="shared" si="11"/>
        <v>45474.625</v>
      </c>
      <c r="H44" s="122" t="str">
        <f>IF(I39="","Round of 16",INDEX(BD:BD,MATCH("1f",BN:BN,0),1)&amp;" - "&amp;INDEX(BD:BD,MATCH(INDEX(HM:HM,MATCH(AZ42,HB:HB,0),1),BN:BN,0),1))</f>
        <v>Round of 16</v>
      </c>
      <c r="I44" s="49"/>
      <c r="J44" s="62"/>
      <c r="K44" s="66"/>
      <c r="L44" s="175">
        <f>IF(I44="",0,IFERROR(IF(SCORING.RULES!$C$8="No",1,((VLOOKUP($B44,ACTUALS!$B$4:$L$100,7,FALSE)=$H44)+(VLOOKUP($B44,ACTUALS!$B$4:$L$100,7,FALSE)=S44)))*(M44+N44+O44+P44+Q44),0))+$R44</f>
        <v>0</v>
      </c>
      <c r="M44" s="168">
        <f>IFERROR(IF($B44="","",IF(U44=INDEX(ACTUALS!$AA$4:$AA$100,MATCH($B44,ACTUALS!$B$4:$B$100,0),1),CorrectScore,0)),0)</f>
        <v>0</v>
      </c>
      <c r="N44" s="168" t="str">
        <f>IFERROR(IF(I44="","",IF(INDEX(ACTUALS!$AB$4:$AB$100,MATCH($B44,ACTUALS!$B$4:$B$100,0),1)=(AB44+AC44+AH44+AI44),CorrectNumberofGoals,0)),0)</f>
        <v/>
      </c>
      <c r="O44" s="168">
        <f>IFERROR(IF(V44="",0,IF($V44=INDEX(ACTUALS!$K$3:$K$100,MATCH($B44,ACTUALS!$B$3:$B$100,0),1),penaltiesscored,0)),0)</f>
        <v>0</v>
      </c>
      <c r="P44" s="168">
        <f>IFERROR(IF(B44="","",IF(INDEX(ACTUALS!$L$4:$L$100,MATCH($B44,ACTUALS!$B$4:$B$100,0),1)=W44,CorrectResult,0)),0)</f>
        <v>3</v>
      </c>
      <c r="Q44" s="168">
        <f>IFERROR(IF(ISNUMBER(AI44),IF(ISNUMBER(INDEX(ACTUALS!$Y$3:$Y$100,MATCH($B44,ACTUALS!$B$3:$B$100,0),1)),shootoutswon,0),0),0)</f>
        <v>0</v>
      </c>
      <c r="R44" s="168">
        <f t="shared" si="14"/>
        <v>0</v>
      </c>
      <c r="S44" s="168" t="e">
        <f t="shared" si="25"/>
        <v>#VALUE!</v>
      </c>
      <c r="T44" s="168" t="str">
        <f>IF($W44="","",IF(NOT(ISERROR(MATCH($S44,ACTUALS!$H$40:$H$47,0))),"Y","N"))</f>
        <v/>
      </c>
      <c r="U44" s="168" t="str">
        <f t="shared" si="26"/>
        <v/>
      </c>
      <c r="V44" s="168" t="str">
        <f t="shared" si="27"/>
        <v/>
      </c>
      <c r="W44" s="63" t="str">
        <f t="shared" si="15"/>
        <v/>
      </c>
      <c r="X44" s="65" t="e">
        <f t="shared" si="16"/>
        <v>#VALUE!</v>
      </c>
      <c r="Y44" s="65" t="e">
        <f t="shared" si="17"/>
        <v>#VALUE!</v>
      </c>
      <c r="Z44" s="65" t="str">
        <f t="shared" si="18"/>
        <v/>
      </c>
      <c r="AA44" s="65" t="str">
        <f t="shared" si="19"/>
        <v/>
      </c>
      <c r="AB44" s="65" t="str">
        <f t="shared" si="20"/>
        <v/>
      </c>
      <c r="AC44" s="65" t="str">
        <f t="shared" si="21"/>
        <v/>
      </c>
      <c r="AD44" s="65"/>
      <c r="AE44" s="65"/>
      <c r="AF44" s="65"/>
      <c r="AG44" s="65"/>
      <c r="AH44" s="65">
        <f t="shared" si="28"/>
        <v>0</v>
      </c>
      <c r="AI44" s="65">
        <f t="shared" si="29"/>
        <v>0</v>
      </c>
      <c r="AJ44" s="65" t="str">
        <f t="shared" si="22"/>
        <v/>
      </c>
      <c r="AK44" s="65" t="str">
        <f t="shared" si="23"/>
        <v/>
      </c>
      <c r="AL44" s="65" t="e">
        <f t="shared" si="30"/>
        <v>#VALUE!</v>
      </c>
      <c r="AM44" s="65" t="e">
        <f t="shared" si="24"/>
        <v>#VALUE!</v>
      </c>
      <c r="AN44" s="161">
        <f t="shared" si="13"/>
        <v>45474</v>
      </c>
      <c r="AT44" s="79"/>
      <c r="AU44" s="136">
        <v>2</v>
      </c>
      <c r="AV44" s="137" t="str">
        <f t="shared" ca="1" si="31"/>
        <v>Slovakia</v>
      </c>
      <c r="AW44" s="137" t="str">
        <f t="shared" ca="1" si="32"/>
        <v>0-0-0</v>
      </c>
      <c r="AX44" s="137">
        <f t="shared" ca="1" si="33"/>
        <v>0</v>
      </c>
      <c r="AY44" s="138">
        <f t="shared" ca="1" si="34"/>
        <v>0</v>
      </c>
      <c r="AZ44" s="75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U44" s="58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R44" s="75"/>
      <c r="GS44" s="157"/>
      <c r="GT44" s="157"/>
      <c r="GU44" s="75"/>
      <c r="GV44" s="75"/>
      <c r="GW44" s="75"/>
      <c r="GX44" s="75"/>
      <c r="GY44" s="75"/>
      <c r="GZ44" s="75"/>
    </row>
    <row r="45" spans="1:208" s="11" customFormat="1" ht="30" customHeight="1" x14ac:dyDescent="0.25">
      <c r="A45" s="20"/>
      <c r="B45" s="122">
        <v>42</v>
      </c>
      <c r="C45" s="122" t="s">
        <v>48</v>
      </c>
      <c r="D45" s="123">
        <v>45474</v>
      </c>
      <c r="E45" s="122" t="s">
        <v>85</v>
      </c>
      <c r="F45" s="124">
        <v>0.75</v>
      </c>
      <c r="G45" s="125">
        <f t="shared" si="11"/>
        <v>45474.5</v>
      </c>
      <c r="H45" s="122" t="str">
        <f>IF(I39="","Round of 16",INDEX(BD:BD,MATCH("2d",BN:BN,0),1)&amp;" - "&amp;INDEX(BD:BD,MATCH("2e",BN:BN,0),1))</f>
        <v>Round of 16</v>
      </c>
      <c r="I45" s="49"/>
      <c r="J45" s="62"/>
      <c r="K45" s="66"/>
      <c r="L45" s="175">
        <f>IF(I45="",0,IFERROR(IF(SCORING.RULES!$C$8="No",1,((VLOOKUP($B45,ACTUALS!$B$4:$L$100,7,FALSE)=$H45)+(VLOOKUP($B45,ACTUALS!$B$4:$L$100,7,FALSE)=S45)))*(M45+N45+O45+P45+Q45),0))+$R45</f>
        <v>0</v>
      </c>
      <c r="M45" s="168">
        <f>IFERROR(IF($B45="","",IF(U45=INDEX(ACTUALS!$AA$4:$AA$100,MATCH($B45,ACTUALS!$B$4:$B$100,0),1),CorrectScore,0)),0)</f>
        <v>0</v>
      </c>
      <c r="N45" s="168" t="str">
        <f>IFERROR(IF(I45="","",IF(INDEX(ACTUALS!$AB$4:$AB$100,MATCH($B45,ACTUALS!$B$4:$B$100,0),1)=(AB45+AC45+AH45+AI45),CorrectNumberofGoals,0)),0)</f>
        <v/>
      </c>
      <c r="O45" s="168">
        <f>IFERROR(IF(V45="",0,IF($V45=INDEX(ACTUALS!$K$3:$K$100,MATCH($B45,ACTUALS!$B$3:$B$100,0),1),penaltiesscored,0)),0)</f>
        <v>0</v>
      </c>
      <c r="P45" s="168">
        <f>IFERROR(IF(B45="","",IF(INDEX(ACTUALS!$L$4:$L$100,MATCH($B45,ACTUALS!$B$4:$B$100,0),1)=W45,CorrectResult,0)),0)</f>
        <v>3</v>
      </c>
      <c r="Q45" s="168">
        <f>IFERROR(IF(ISNUMBER(AI45),IF(ISNUMBER(INDEX(ACTUALS!$Y$3:$Y$100,MATCH($B45,ACTUALS!$B$3:$B$100,0),1)),shootoutswon,0),0),0)</f>
        <v>0</v>
      </c>
      <c r="R45" s="168">
        <f t="shared" si="14"/>
        <v>0</v>
      </c>
      <c r="S45" s="168" t="e">
        <f t="shared" si="25"/>
        <v>#VALUE!</v>
      </c>
      <c r="T45" s="168" t="str">
        <f>IF($W45="","",IF(NOT(ISERROR(MATCH($S45,ACTUALS!$H$40:$H$47,0))),"Y","N"))</f>
        <v/>
      </c>
      <c r="U45" s="168" t="str">
        <f t="shared" si="26"/>
        <v/>
      </c>
      <c r="V45" s="168" t="str">
        <f t="shared" si="27"/>
        <v/>
      </c>
      <c r="W45" s="63" t="str">
        <f t="shared" si="15"/>
        <v/>
      </c>
      <c r="X45" s="65" t="e">
        <f t="shared" si="16"/>
        <v>#VALUE!</v>
      </c>
      <c r="Y45" s="65" t="e">
        <f t="shared" si="17"/>
        <v>#VALUE!</v>
      </c>
      <c r="Z45" s="65" t="str">
        <f t="shared" si="18"/>
        <v/>
      </c>
      <c r="AA45" s="65" t="str">
        <f t="shared" si="19"/>
        <v/>
      </c>
      <c r="AB45" s="65" t="str">
        <f t="shared" si="20"/>
        <v/>
      </c>
      <c r="AC45" s="65" t="str">
        <f t="shared" si="21"/>
        <v/>
      </c>
      <c r="AD45" s="65"/>
      <c r="AE45" s="65"/>
      <c r="AF45" s="65"/>
      <c r="AG45" s="65"/>
      <c r="AH45" s="65">
        <f t="shared" si="28"/>
        <v>0</v>
      </c>
      <c r="AI45" s="65">
        <f t="shared" si="29"/>
        <v>0</v>
      </c>
      <c r="AJ45" s="65" t="str">
        <f t="shared" si="22"/>
        <v/>
      </c>
      <c r="AK45" s="65" t="str">
        <f t="shared" si="23"/>
        <v/>
      </c>
      <c r="AL45" s="65" t="e">
        <f t="shared" si="30"/>
        <v>#VALUE!</v>
      </c>
      <c r="AM45" s="65" t="e">
        <f t="shared" si="24"/>
        <v>#VALUE!</v>
      </c>
      <c r="AN45" s="161">
        <f t="shared" si="13"/>
        <v>45474</v>
      </c>
      <c r="AT45" s="79"/>
      <c r="AU45" s="136">
        <v>3</v>
      </c>
      <c r="AV45" s="137" t="str">
        <f t="shared" ca="1" si="31"/>
        <v>Netherlands</v>
      </c>
      <c r="AW45" s="137" t="str">
        <f t="shared" ca="1" si="32"/>
        <v>0-0-0</v>
      </c>
      <c r="AX45" s="137">
        <f t="shared" ca="1" si="33"/>
        <v>0</v>
      </c>
      <c r="AY45" s="138">
        <f t="shared" ca="1" si="34"/>
        <v>0</v>
      </c>
      <c r="AZ45" s="75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U45" s="58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R45" s="75"/>
      <c r="GS45" s="157"/>
      <c r="GT45" s="157"/>
      <c r="GU45" s="75"/>
      <c r="GV45" s="75"/>
      <c r="GW45" s="75"/>
      <c r="GX45" s="75"/>
      <c r="GY45" s="75"/>
      <c r="GZ45" s="75"/>
    </row>
    <row r="46" spans="1:208" s="11" customFormat="1" ht="30" customHeight="1" x14ac:dyDescent="0.25">
      <c r="A46" s="20"/>
      <c r="B46" s="122">
        <v>43</v>
      </c>
      <c r="C46" s="122" t="s">
        <v>48</v>
      </c>
      <c r="D46" s="123">
        <v>45475</v>
      </c>
      <c r="E46" s="122" t="s">
        <v>78</v>
      </c>
      <c r="F46" s="124">
        <v>0.75</v>
      </c>
      <c r="G46" s="125">
        <f t="shared" si="11"/>
        <v>45475.5</v>
      </c>
      <c r="H46" s="122" t="str">
        <f>IF(I39="","Round of 16",INDEX(BD:BD,MATCH("1e",BN:BN,0),1)&amp;" - "&amp;INDEX(BD:BD,MATCH(INDEX(HL:HL,MATCH(AZ42,HB:HB,0),1),BN:BN,0),1))</f>
        <v>Round of 16</v>
      </c>
      <c r="I46" s="49"/>
      <c r="J46" s="62"/>
      <c r="K46" s="66"/>
      <c r="L46" s="175">
        <f>IF(I46="",0,IFERROR(IF(SCORING.RULES!$C$8="No",1,((VLOOKUP($B46,ACTUALS!$B$4:$L$100,7,FALSE)=$H46)+(VLOOKUP($B46,ACTUALS!$B$4:$L$100,7,FALSE)=S46)))*(M46+N46+O46+P46+Q46),0))+$R46</f>
        <v>0</v>
      </c>
      <c r="M46" s="168">
        <f>IFERROR(IF($B46="","",IF(U46=INDEX(ACTUALS!$AA$4:$AA$100,MATCH($B46,ACTUALS!$B$4:$B$100,0),1),CorrectScore,0)),0)</f>
        <v>0</v>
      </c>
      <c r="N46" s="168" t="str">
        <f>IFERROR(IF(I46="","",IF(INDEX(ACTUALS!$AB$4:$AB$100,MATCH($B46,ACTUALS!$B$4:$B$100,0),1)=(AB46+AC46+AH46+AI46),CorrectNumberofGoals,0)),0)</f>
        <v/>
      </c>
      <c r="O46" s="168">
        <f>IFERROR(IF(V46="",0,IF($V46=INDEX(ACTUALS!$K$3:$K$100,MATCH($B46,ACTUALS!$B$3:$B$100,0),1),penaltiesscored,0)),0)</f>
        <v>0</v>
      </c>
      <c r="P46" s="168">
        <f>IFERROR(IF(B46="","",IF(INDEX(ACTUALS!$L$4:$L$100,MATCH($B46,ACTUALS!$B$4:$B$100,0),1)=W46,CorrectResult,0)),0)</f>
        <v>3</v>
      </c>
      <c r="Q46" s="168">
        <f>IFERROR(IF(ISNUMBER(AI46),IF(ISNUMBER(INDEX(ACTUALS!$Y$3:$Y$100,MATCH($B46,ACTUALS!$B$3:$B$100,0),1)),shootoutswon,0),0),0)</f>
        <v>0</v>
      </c>
      <c r="R46" s="168">
        <f t="shared" si="14"/>
        <v>0</v>
      </c>
      <c r="S46" s="168" t="e">
        <f t="shared" si="25"/>
        <v>#VALUE!</v>
      </c>
      <c r="T46" s="168" t="str">
        <f>IF($W46="","",IF(NOT(ISERROR(MATCH($S46,ACTUALS!$H$40:$H$47,0))),"Y","N"))</f>
        <v/>
      </c>
      <c r="U46" s="168" t="str">
        <f t="shared" si="26"/>
        <v/>
      </c>
      <c r="V46" s="168" t="str">
        <f t="shared" si="27"/>
        <v/>
      </c>
      <c r="W46" s="63" t="str">
        <f t="shared" si="15"/>
        <v/>
      </c>
      <c r="X46" s="65" t="e">
        <f t="shared" si="16"/>
        <v>#VALUE!</v>
      </c>
      <c r="Y46" s="65" t="e">
        <f t="shared" si="17"/>
        <v>#VALUE!</v>
      </c>
      <c r="Z46" s="65" t="str">
        <f t="shared" si="18"/>
        <v/>
      </c>
      <c r="AA46" s="65" t="str">
        <f t="shared" si="19"/>
        <v/>
      </c>
      <c r="AB46" s="65" t="str">
        <f t="shared" si="20"/>
        <v/>
      </c>
      <c r="AC46" s="65" t="str">
        <f t="shared" si="21"/>
        <v/>
      </c>
      <c r="AD46" s="65"/>
      <c r="AE46" s="65"/>
      <c r="AF46" s="65"/>
      <c r="AG46" s="65"/>
      <c r="AH46" s="65">
        <f t="shared" si="28"/>
        <v>0</v>
      </c>
      <c r="AI46" s="65">
        <f t="shared" si="29"/>
        <v>0</v>
      </c>
      <c r="AJ46" s="65" t="str">
        <f t="shared" si="22"/>
        <v/>
      </c>
      <c r="AK46" s="65" t="str">
        <f t="shared" si="23"/>
        <v/>
      </c>
      <c r="AL46" s="65" t="e">
        <f t="shared" si="30"/>
        <v>#VALUE!</v>
      </c>
      <c r="AM46" s="65" t="e">
        <f t="shared" si="24"/>
        <v>#VALUE!</v>
      </c>
      <c r="AN46" s="161">
        <f t="shared" si="13"/>
        <v>45475</v>
      </c>
      <c r="AT46" s="79"/>
      <c r="AU46" s="139">
        <v>4</v>
      </c>
      <c r="AV46" s="140" t="str">
        <f t="shared" ca="1" si="31"/>
        <v>Serbia</v>
      </c>
      <c r="AW46" s="140" t="str">
        <f t="shared" ca="1" si="32"/>
        <v>0-0-0</v>
      </c>
      <c r="AX46" s="140">
        <f t="shared" ca="1" si="33"/>
        <v>0</v>
      </c>
      <c r="AY46" s="141">
        <f t="shared" ca="1" si="34"/>
        <v>0</v>
      </c>
      <c r="AZ46" s="75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U46" s="58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R46" s="75"/>
      <c r="GS46" s="157"/>
      <c r="GT46" s="157"/>
      <c r="GU46" s="75"/>
      <c r="GV46" s="75"/>
      <c r="GW46" s="75"/>
      <c r="GX46" s="75"/>
      <c r="GY46" s="75"/>
      <c r="GZ46" s="75"/>
    </row>
    <row r="47" spans="1:208" s="11" customFormat="1" ht="30" customHeight="1" thickBot="1" x14ac:dyDescent="0.3">
      <c r="A47" s="20"/>
      <c r="B47" s="127">
        <v>44</v>
      </c>
      <c r="C47" s="127" t="s">
        <v>48</v>
      </c>
      <c r="D47" s="128">
        <v>45475</v>
      </c>
      <c r="E47" s="127" t="s">
        <v>87</v>
      </c>
      <c r="F47" s="129">
        <v>0.875</v>
      </c>
      <c r="G47" s="130">
        <f t="shared" si="11"/>
        <v>45475.625</v>
      </c>
      <c r="H47" s="127" t="str">
        <f>IF(I39="","Round of 16",INDEX(BD:BD,MATCH("1d",BN:BN,0),1)&amp;" - "&amp;INDEX(BD:BD,MATCH("2f",BN:BN,0),1))</f>
        <v>Round of 16</v>
      </c>
      <c r="I47" s="51"/>
      <c r="J47" s="62"/>
      <c r="K47" s="66"/>
      <c r="L47" s="175">
        <f>IF(I47="",0,IFERROR(IF(SCORING.RULES!$C$8="No",1,((VLOOKUP($B47,ACTUALS!$B$4:$L$100,7,FALSE)=$H47)+(VLOOKUP($B47,ACTUALS!$B$4:$L$100,7,FALSE)=S47)))*(M47+N47+O47+P47+Q47),0))+$R47</f>
        <v>0</v>
      </c>
      <c r="M47" s="168">
        <f>IFERROR(IF($B47="","",IF(U47=INDEX(ACTUALS!$AA$4:$AA$100,MATCH($B47,ACTUALS!$B$4:$B$100,0),1),CorrectScore,0)),0)</f>
        <v>0</v>
      </c>
      <c r="N47" s="168" t="str">
        <f>IFERROR(IF(I47="","",IF(INDEX(ACTUALS!$AB$4:$AB$100,MATCH($B47,ACTUALS!$B$4:$B$100,0),1)=(AB47+AC47+AH47+AI47),CorrectNumberofGoals,0)),0)</f>
        <v/>
      </c>
      <c r="O47" s="168">
        <f>IFERROR(IF(V47="",0,IF($V47=INDEX(ACTUALS!$K$3:$K$100,MATCH($B47,ACTUALS!$B$3:$B$100,0),1),penaltiesscored,0)),0)</f>
        <v>0</v>
      </c>
      <c r="P47" s="168">
        <f>IFERROR(IF(B47="","",IF(INDEX(ACTUALS!$L$4:$L$100,MATCH($B47,ACTUALS!$B$4:$B$100,0),1)=W47,CorrectResult,0)),0)</f>
        <v>3</v>
      </c>
      <c r="Q47" s="168">
        <f>IFERROR(IF(ISNUMBER(AI47),IF(ISNUMBER(INDEX(ACTUALS!$Y$3:$Y$100,MATCH($B47,ACTUALS!$B$3:$B$100,0),1)),shootoutswon,0),0),0)</f>
        <v>0</v>
      </c>
      <c r="R47" s="168">
        <f t="shared" si="14"/>
        <v>0</v>
      </c>
      <c r="S47" s="168" t="e">
        <f t="shared" si="25"/>
        <v>#VALUE!</v>
      </c>
      <c r="T47" s="168" t="str">
        <f>IF($W47="","",IF(NOT(ISERROR(MATCH($S47,ACTUALS!$H$40:$H$47,0))),"Y","N"))</f>
        <v/>
      </c>
      <c r="U47" s="168" t="str">
        <f t="shared" si="26"/>
        <v/>
      </c>
      <c r="V47" s="168" t="str">
        <f t="shared" si="27"/>
        <v/>
      </c>
      <c r="W47" s="63" t="str">
        <f t="shared" si="15"/>
        <v/>
      </c>
      <c r="X47" s="65" t="e">
        <f t="shared" si="16"/>
        <v>#VALUE!</v>
      </c>
      <c r="Y47" s="65" t="e">
        <f t="shared" si="17"/>
        <v>#VALUE!</v>
      </c>
      <c r="Z47" s="65" t="str">
        <f t="shared" si="18"/>
        <v/>
      </c>
      <c r="AA47" s="65" t="str">
        <f t="shared" si="19"/>
        <v/>
      </c>
      <c r="AB47" s="65" t="str">
        <f t="shared" si="20"/>
        <v/>
      </c>
      <c r="AC47" s="65" t="str">
        <f t="shared" si="21"/>
        <v/>
      </c>
      <c r="AD47" s="65"/>
      <c r="AE47" s="65"/>
      <c r="AF47" s="65"/>
      <c r="AG47" s="65"/>
      <c r="AH47" s="65">
        <f t="shared" si="28"/>
        <v>0</v>
      </c>
      <c r="AI47" s="65">
        <f t="shared" si="29"/>
        <v>0</v>
      </c>
      <c r="AJ47" s="65" t="str">
        <f t="shared" si="22"/>
        <v/>
      </c>
      <c r="AK47" s="65" t="str">
        <f t="shared" si="23"/>
        <v/>
      </c>
      <c r="AL47" s="65" t="e">
        <f t="shared" si="30"/>
        <v>#VALUE!</v>
      </c>
      <c r="AM47" s="65" t="e">
        <f t="shared" si="24"/>
        <v>#VALUE!</v>
      </c>
      <c r="AN47" s="161">
        <f t="shared" si="13"/>
        <v>45475</v>
      </c>
      <c r="AT47" s="80"/>
      <c r="AU47" s="142">
        <v>5</v>
      </c>
      <c r="AV47" s="143" t="str">
        <f t="shared" ca="1" si="31"/>
        <v>Italy</v>
      </c>
      <c r="AW47" s="143" t="str">
        <f t="shared" ca="1" si="32"/>
        <v>0-0-0</v>
      </c>
      <c r="AX47" s="143">
        <f t="shared" ca="1" si="33"/>
        <v>0</v>
      </c>
      <c r="AY47" s="144">
        <f t="shared" ca="1" si="34"/>
        <v>0</v>
      </c>
      <c r="AZ47" s="75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U47" s="58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R47" s="75"/>
      <c r="GS47" s="157"/>
      <c r="GT47" s="157"/>
      <c r="GU47" s="75"/>
      <c r="GV47" s="75"/>
      <c r="GW47" s="75"/>
      <c r="GX47" s="75"/>
      <c r="GY47" s="75"/>
      <c r="GZ47" s="75"/>
    </row>
    <row r="48" spans="1:208" s="11" customFormat="1" ht="30" customHeight="1" thickBot="1" x14ac:dyDescent="0.3">
      <c r="A48" s="20"/>
      <c r="B48" s="113">
        <v>45</v>
      </c>
      <c r="C48" s="113" t="s">
        <v>74</v>
      </c>
      <c r="D48" s="114">
        <v>45478</v>
      </c>
      <c r="E48" s="113" t="s">
        <v>83</v>
      </c>
      <c r="F48" s="115">
        <v>0.75</v>
      </c>
      <c r="G48" s="116">
        <f t="shared" si="11"/>
        <v>45478.5</v>
      </c>
      <c r="H48" s="113" t="str">
        <f>IF(I47="","Quarterfinal 1",Z42&amp;" - "&amp;Z40)</f>
        <v>Quarterfinal 1</v>
      </c>
      <c r="I48" s="50"/>
      <c r="J48" s="62"/>
      <c r="K48" s="66"/>
      <c r="L48" s="175">
        <f>IF(I48="",0,IFERROR(IF(SCORING.RULES!$C$8="No",1,((VLOOKUP($B48,ACTUALS!$B$4:$L$100,7,FALSE)=$H48)+(VLOOKUP($B48,ACTUALS!$B$4:$L$100,7,FALSE)=S48)))*(M48+N48+O48+P48+Q48),0))+$R48</f>
        <v>0</v>
      </c>
      <c r="M48" s="168">
        <f>IFERROR(IF($B48="","",IF(U48=INDEX(ACTUALS!$AA$4:$AA$100,MATCH($B48,ACTUALS!$B$4:$B$100,0),1),CorrectScore,0)),0)</f>
        <v>0</v>
      </c>
      <c r="N48" s="168" t="str">
        <f>IFERROR(IF(I48="","",IF(INDEX(ACTUALS!$AB$4:$AB$100,MATCH($B48,ACTUALS!$B$4:$B$100,0),1)=(AB48+AC48+AH48+AI48),CorrectNumberofGoals,0)),0)</f>
        <v/>
      </c>
      <c r="O48" s="168">
        <f>IFERROR(IF(V48="",0,IF($V48=INDEX(ACTUALS!$K$3:$K$100,MATCH($B48,ACTUALS!$B$3:$B$100,0),1),penaltiesscored,0)),0)</f>
        <v>0</v>
      </c>
      <c r="P48" s="168">
        <f>IFERROR(IF(B48="","",IF(INDEX(ACTUALS!$L$4:$L$100,MATCH($B48,ACTUALS!$B$4:$B$100,0),1)=W48,CorrectResult,0)),0)</f>
        <v>3</v>
      </c>
      <c r="Q48" s="168">
        <f>IFERROR(IF(ISNUMBER(AI48),IF(ISNUMBER(INDEX(ACTUALS!$Y$3:$Y$100,MATCH($B48,ACTUALS!$B$3:$B$100,0),1)),shootoutswon,0),0),0)</f>
        <v>0</v>
      </c>
      <c r="R48" s="168">
        <f t="shared" si="14"/>
        <v>0</v>
      </c>
      <c r="S48" s="168" t="e">
        <f t="shared" si="25"/>
        <v>#VALUE!</v>
      </c>
      <c r="T48" s="168" t="str">
        <f>IF($W48="","",IF(NOT(ISERROR(MATCH($S48,ACTUALS!$H$48:$H$51,0))),"Y","N"))</f>
        <v/>
      </c>
      <c r="U48" s="168" t="str">
        <f t="shared" si="26"/>
        <v/>
      </c>
      <c r="V48" s="168" t="str">
        <f t="shared" si="27"/>
        <v/>
      </c>
      <c r="W48" s="63" t="str">
        <f t="shared" si="15"/>
        <v/>
      </c>
      <c r="X48" s="65" t="e">
        <f t="shared" si="16"/>
        <v>#VALUE!</v>
      </c>
      <c r="Y48" s="65" t="e">
        <f t="shared" si="17"/>
        <v>#VALUE!</v>
      </c>
      <c r="Z48" s="65" t="str">
        <f>IF(W48="","",IF(W48=X48,X48,Y48))</f>
        <v/>
      </c>
      <c r="AA48" s="65" t="str">
        <f t="shared" si="19"/>
        <v/>
      </c>
      <c r="AB48" s="65" t="str">
        <f t="shared" si="20"/>
        <v/>
      </c>
      <c r="AC48" s="65" t="str">
        <f t="shared" si="21"/>
        <v/>
      </c>
      <c r="AD48" s="65"/>
      <c r="AE48" s="65"/>
      <c r="AF48" s="65"/>
      <c r="AG48" s="65"/>
      <c r="AH48" s="65">
        <f t="shared" si="28"/>
        <v>0</v>
      </c>
      <c r="AI48" s="65">
        <f t="shared" si="29"/>
        <v>0</v>
      </c>
      <c r="AJ48" s="65" t="str">
        <f t="shared" si="22"/>
        <v/>
      </c>
      <c r="AK48" s="65" t="str">
        <f t="shared" si="23"/>
        <v/>
      </c>
      <c r="AL48" s="65" t="e">
        <f t="shared" si="30"/>
        <v>#VALUE!</v>
      </c>
      <c r="AM48" s="65" t="e">
        <f t="shared" si="24"/>
        <v>#VALUE!</v>
      </c>
      <c r="AN48" s="161">
        <f t="shared" si="13"/>
        <v>45478</v>
      </c>
      <c r="AT48" s="79"/>
      <c r="AU48" s="145">
        <v>6</v>
      </c>
      <c r="AV48" s="146" t="str">
        <f t="shared" ca="1" si="31"/>
        <v>Scotland</v>
      </c>
      <c r="AW48" s="146" t="str">
        <f t="shared" ca="1" si="32"/>
        <v>0-0-0</v>
      </c>
      <c r="AX48" s="146">
        <f t="shared" ca="1" si="33"/>
        <v>0</v>
      </c>
      <c r="AY48" s="147">
        <f t="shared" ca="1" si="34"/>
        <v>0</v>
      </c>
      <c r="AZ48" s="75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U48" s="58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R48" s="75"/>
      <c r="GS48" s="157"/>
      <c r="GT48" s="157"/>
      <c r="GU48" s="75"/>
      <c r="GV48" s="75"/>
      <c r="GW48" s="75"/>
      <c r="GX48" s="75"/>
      <c r="GY48" s="75"/>
      <c r="GZ48" s="75"/>
    </row>
    <row r="49" spans="1:208" s="11" customFormat="1" ht="30" customHeight="1" x14ac:dyDescent="0.25">
      <c r="A49" s="20"/>
      <c r="B49" s="122">
        <v>46</v>
      </c>
      <c r="C49" s="122" t="s">
        <v>74</v>
      </c>
      <c r="D49" s="123">
        <v>45478</v>
      </c>
      <c r="E49" s="122" t="s">
        <v>84</v>
      </c>
      <c r="F49" s="124">
        <v>0.875</v>
      </c>
      <c r="G49" s="125">
        <f t="shared" si="11"/>
        <v>45478.625</v>
      </c>
      <c r="H49" s="122" t="str">
        <f>IF(I47="","Quarterfinal 2",Z44&amp;" - "&amp;Z45)</f>
        <v>Quarterfinal 2</v>
      </c>
      <c r="I49" s="49"/>
      <c r="J49" s="62"/>
      <c r="K49" s="66"/>
      <c r="L49" s="175">
        <f>IF(I49="",0,IFERROR(IF(SCORING.RULES!$C$8="No",1,((VLOOKUP($B49,ACTUALS!$B$4:$L$100,7,FALSE)=$H49)+(VLOOKUP($B49,ACTUALS!$B$4:$L$100,7,FALSE)=S49)))*(M49+N49+O49+P49+Q49),0))+$R49</f>
        <v>0</v>
      </c>
      <c r="M49" s="168">
        <f>IFERROR(IF($B49="","",IF(U49=INDEX(ACTUALS!$AA$4:$AA$100,MATCH($B49,ACTUALS!$B$4:$B$100,0),1),CorrectScore,0)),0)</f>
        <v>0</v>
      </c>
      <c r="N49" s="168" t="str">
        <f>IFERROR(IF(I49="","",IF(INDEX(ACTUALS!$AB$4:$AB$100,MATCH($B49,ACTUALS!$B$4:$B$100,0),1)=(AB49+AC49+AH49+AI49),CorrectNumberofGoals,0)),0)</f>
        <v/>
      </c>
      <c r="O49" s="168">
        <f>IFERROR(IF(V49="",0,IF($V49=INDEX(ACTUALS!$K$3:$K$100,MATCH($B49,ACTUALS!$B$3:$B$100,0),1),penaltiesscored,0)),0)</f>
        <v>0</v>
      </c>
      <c r="P49" s="168">
        <f>IFERROR(IF(B49="","",IF(INDEX(ACTUALS!$L$4:$L$100,MATCH($B49,ACTUALS!$B$4:$B$100,0),1)=W49,CorrectResult,0)),0)</f>
        <v>3</v>
      </c>
      <c r="Q49" s="168">
        <f>IFERROR(IF(ISNUMBER(AI49),IF(ISNUMBER(INDEX(ACTUALS!$Y$3:$Y$100,MATCH($B49,ACTUALS!$B$3:$B$100,0),1)),shootoutswon,0),0),0)</f>
        <v>0</v>
      </c>
      <c r="R49" s="168">
        <f t="shared" si="14"/>
        <v>0</v>
      </c>
      <c r="S49" s="168" t="e">
        <f t="shared" si="25"/>
        <v>#VALUE!</v>
      </c>
      <c r="T49" s="168" t="str">
        <f>IF($W49="","",IF(NOT(ISERROR(MATCH($S49,ACTUALS!$H$48:$H$51,0))),"Y","N"))</f>
        <v/>
      </c>
      <c r="U49" s="168" t="str">
        <f t="shared" si="26"/>
        <v/>
      </c>
      <c r="V49" s="168" t="str">
        <f t="shared" si="27"/>
        <v/>
      </c>
      <c r="W49" s="63" t="str">
        <f t="shared" si="15"/>
        <v/>
      </c>
      <c r="X49" s="65" t="e">
        <f t="shared" si="16"/>
        <v>#VALUE!</v>
      </c>
      <c r="Y49" s="65" t="e">
        <f t="shared" si="17"/>
        <v>#VALUE!</v>
      </c>
      <c r="Z49" s="65" t="str">
        <f t="shared" si="18"/>
        <v/>
      </c>
      <c r="AA49" s="65" t="str">
        <f t="shared" si="19"/>
        <v/>
      </c>
      <c r="AB49" s="65" t="str">
        <f t="shared" si="20"/>
        <v/>
      </c>
      <c r="AC49" s="65" t="str">
        <f t="shared" si="21"/>
        <v/>
      </c>
      <c r="AD49" s="65"/>
      <c r="AE49" s="65"/>
      <c r="AF49" s="65"/>
      <c r="AG49" s="65"/>
      <c r="AH49" s="65">
        <f t="shared" si="28"/>
        <v>0</v>
      </c>
      <c r="AI49" s="65">
        <f t="shared" si="29"/>
        <v>0</v>
      </c>
      <c r="AJ49" s="65" t="str">
        <f t="shared" si="22"/>
        <v/>
      </c>
      <c r="AK49" s="65" t="str">
        <f t="shared" si="23"/>
        <v/>
      </c>
      <c r="AL49" s="65" t="e">
        <f t="shared" si="30"/>
        <v>#VALUE!</v>
      </c>
      <c r="AM49" s="65" t="e">
        <f t="shared" si="24"/>
        <v>#VALUE!</v>
      </c>
      <c r="AN49" s="161">
        <f t="shared" si="13"/>
        <v>45478</v>
      </c>
      <c r="AT49" s="79"/>
      <c r="AU49" s="79"/>
      <c r="AV49" s="79"/>
      <c r="AW49" s="79"/>
      <c r="AX49" s="79"/>
      <c r="AY49" s="79"/>
      <c r="AZ49" s="75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U49" s="58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R49" s="75"/>
      <c r="GS49" s="157"/>
      <c r="GT49" s="157"/>
      <c r="GU49" s="75"/>
      <c r="GV49" s="75"/>
      <c r="GW49" s="75"/>
      <c r="GX49" s="75"/>
      <c r="GY49" s="75"/>
      <c r="GZ49" s="75"/>
    </row>
    <row r="50" spans="1:208" s="11" customFormat="1" ht="30" customHeight="1" x14ac:dyDescent="0.25">
      <c r="A50" s="20"/>
      <c r="B50" s="122">
        <v>47</v>
      </c>
      <c r="C50" s="122" t="s">
        <v>74</v>
      </c>
      <c r="D50" s="123">
        <v>45479</v>
      </c>
      <c r="E50" s="122" t="s">
        <v>80</v>
      </c>
      <c r="F50" s="124">
        <v>0.875</v>
      </c>
      <c r="G50" s="125">
        <f t="shared" si="11"/>
        <v>45479.625</v>
      </c>
      <c r="H50" s="122" t="str">
        <f>IF(I47="","Quarterfinal 3",Z46&amp;" - "&amp;Z47)</f>
        <v>Quarterfinal 3</v>
      </c>
      <c r="I50" s="49"/>
      <c r="J50" s="62"/>
      <c r="K50" s="66"/>
      <c r="L50" s="175">
        <f>IF(I50="",0,IFERROR(IF(SCORING.RULES!$C$8="No",1,((VLOOKUP($B50,ACTUALS!$B$4:$L$100,7,FALSE)=$H50)+(VLOOKUP($B50,ACTUALS!$B$4:$L$100,7,FALSE)=S50)))*(M50+N50+O50+P50+Q50),0))+$R50</f>
        <v>0</v>
      </c>
      <c r="M50" s="168">
        <f>IFERROR(IF($B50="","",IF(U50=INDEX(ACTUALS!$AA$4:$AA$100,MATCH($B50,ACTUALS!$B$4:$B$100,0),1),CorrectScore,0)),0)</f>
        <v>0</v>
      </c>
      <c r="N50" s="168" t="str">
        <f>IFERROR(IF(I50="","",IF(INDEX(ACTUALS!$AB$4:$AB$100,MATCH($B50,ACTUALS!$B$4:$B$100,0),1)=(AB50+AC50+AH50+AI50),CorrectNumberofGoals,0)),0)</f>
        <v/>
      </c>
      <c r="O50" s="168">
        <f>IFERROR(IF(V50="",0,IF($V50=INDEX(ACTUALS!$K$3:$K$100,MATCH($B50,ACTUALS!$B$3:$B$100,0),1),penaltiesscored,0)),0)</f>
        <v>0</v>
      </c>
      <c r="P50" s="168">
        <f>IFERROR(IF(B50="","",IF(INDEX(ACTUALS!$L$4:$L$100,MATCH($B50,ACTUALS!$B$4:$B$100,0),1)=W50,CorrectResult,0)),0)</f>
        <v>3</v>
      </c>
      <c r="Q50" s="168">
        <f>IFERROR(IF(ISNUMBER(AI50),IF(ISNUMBER(INDEX(ACTUALS!$Y$3:$Y$100,MATCH($B50,ACTUALS!$B$3:$B$100,0),1)),shootoutswon,0),0),0)</f>
        <v>0</v>
      </c>
      <c r="R50" s="168">
        <f t="shared" si="14"/>
        <v>0</v>
      </c>
      <c r="S50" s="168" t="e">
        <f t="shared" si="25"/>
        <v>#VALUE!</v>
      </c>
      <c r="T50" s="168" t="str">
        <f>IF($W50="","",IF(NOT(ISERROR(MATCH($S50,ACTUALS!$H$48:$H$51,0))),"Y","N"))</f>
        <v/>
      </c>
      <c r="U50" s="168" t="str">
        <f t="shared" si="26"/>
        <v/>
      </c>
      <c r="V50" s="168" t="str">
        <f t="shared" si="27"/>
        <v/>
      </c>
      <c r="W50" s="63" t="str">
        <f t="shared" si="15"/>
        <v/>
      </c>
      <c r="X50" s="65" t="e">
        <f t="shared" si="16"/>
        <v>#VALUE!</v>
      </c>
      <c r="Y50" s="65" t="e">
        <f t="shared" si="17"/>
        <v>#VALUE!</v>
      </c>
      <c r="Z50" s="65" t="str">
        <f t="shared" si="18"/>
        <v/>
      </c>
      <c r="AA50" s="65" t="str">
        <f t="shared" si="19"/>
        <v/>
      </c>
      <c r="AB50" s="65" t="str">
        <f t="shared" si="20"/>
        <v/>
      </c>
      <c r="AC50" s="65" t="str">
        <f t="shared" si="21"/>
        <v/>
      </c>
      <c r="AD50" s="65"/>
      <c r="AE50" s="65"/>
      <c r="AF50" s="65"/>
      <c r="AG50" s="65"/>
      <c r="AH50" s="65">
        <f t="shared" si="28"/>
        <v>0</v>
      </c>
      <c r="AI50" s="65">
        <f t="shared" si="29"/>
        <v>0</v>
      </c>
      <c r="AJ50" s="65" t="str">
        <f t="shared" si="22"/>
        <v/>
      </c>
      <c r="AK50" s="65" t="str">
        <f t="shared" si="23"/>
        <v/>
      </c>
      <c r="AL50" s="65" t="e">
        <f t="shared" si="30"/>
        <v>#VALUE!</v>
      </c>
      <c r="AM50" s="65" t="e">
        <f t="shared" si="24"/>
        <v>#VALUE!</v>
      </c>
      <c r="AN50" s="161">
        <f t="shared" si="13"/>
        <v>45479</v>
      </c>
      <c r="AT50" s="79"/>
      <c r="AU50" s="181"/>
      <c r="AV50" s="181"/>
      <c r="AW50" s="80"/>
      <c r="AX50" s="81"/>
      <c r="AY50" s="80"/>
      <c r="AZ50" s="75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U50" s="58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R50" s="75"/>
      <c r="GS50" s="157"/>
      <c r="GT50" s="157"/>
      <c r="GU50" s="75"/>
      <c r="GV50" s="75"/>
      <c r="GW50" s="75"/>
      <c r="GX50" s="75"/>
      <c r="GY50" s="75"/>
      <c r="GZ50" s="75"/>
    </row>
    <row r="51" spans="1:208" s="11" customFormat="1" ht="30" customHeight="1" thickBot="1" x14ac:dyDescent="0.3">
      <c r="A51" s="20"/>
      <c r="B51" s="127">
        <v>48</v>
      </c>
      <c r="C51" s="127" t="s">
        <v>74</v>
      </c>
      <c r="D51" s="128">
        <v>45479</v>
      </c>
      <c r="E51" s="127" t="s">
        <v>85</v>
      </c>
      <c r="F51" s="129">
        <v>0.75</v>
      </c>
      <c r="G51" s="130">
        <f t="shared" si="11"/>
        <v>45479.5</v>
      </c>
      <c r="H51" s="127" t="str">
        <f>IF(I47="","Quarterfinal 4",Z43&amp;" - "&amp;Z41)</f>
        <v>Quarterfinal 4</v>
      </c>
      <c r="I51" s="51"/>
      <c r="J51" s="62"/>
      <c r="K51" s="66"/>
      <c r="L51" s="175">
        <f>IF(I51="",0,IFERROR(IF(SCORING.RULES!$C$8="No",1,((VLOOKUP($B51,ACTUALS!$B$4:$L$100,7,FALSE)=$H51)+(VLOOKUP($B51,ACTUALS!$B$4:$L$100,7,FALSE)=S51)))*(M51+N51+O51+P51+Q51),0))+$R51</f>
        <v>0</v>
      </c>
      <c r="M51" s="168">
        <f>IFERROR(IF($B51="","",IF(U51=INDEX(ACTUALS!$AA$4:$AA$100,MATCH($B51,ACTUALS!$B$4:$B$100,0),1),CorrectScore,0)),0)</f>
        <v>0</v>
      </c>
      <c r="N51" s="168" t="str">
        <f>IFERROR(IF(I51="","",IF(INDEX(ACTUALS!$AB$4:$AB$100,MATCH($B51,ACTUALS!$B$4:$B$100,0),1)=(AB51+AC51+AH51+AI51),CorrectNumberofGoals,0)),0)</f>
        <v/>
      </c>
      <c r="O51" s="168">
        <f>IFERROR(IF(V51="",0,IF($V51=INDEX(ACTUALS!$K$3:$K$100,MATCH($B51,ACTUALS!$B$3:$B$100,0),1),penaltiesscored,0)),0)</f>
        <v>0</v>
      </c>
      <c r="P51" s="168">
        <f>IFERROR(IF(B51="","",IF(INDEX(ACTUALS!$L$4:$L$100,MATCH($B51,ACTUALS!$B$4:$B$100,0),1)=W51,CorrectResult,0)),0)</f>
        <v>3</v>
      </c>
      <c r="Q51" s="168">
        <f>IFERROR(IF(ISNUMBER(AI51),IF(ISNUMBER(INDEX(ACTUALS!$Y$3:$Y$100,MATCH($B51,ACTUALS!$B$3:$B$100,0),1)),shootoutswon,0),0),0)</f>
        <v>0</v>
      </c>
      <c r="R51" s="168">
        <f t="shared" si="14"/>
        <v>0</v>
      </c>
      <c r="S51" s="168" t="e">
        <f t="shared" si="25"/>
        <v>#VALUE!</v>
      </c>
      <c r="T51" s="168" t="str">
        <f>IF($W51="","",IF(NOT(ISERROR(MATCH($S51,ACTUALS!$H$48:$H$51,0))),"Y","N"))</f>
        <v/>
      </c>
      <c r="U51" s="168" t="str">
        <f t="shared" si="26"/>
        <v/>
      </c>
      <c r="V51" s="168" t="str">
        <f t="shared" si="27"/>
        <v/>
      </c>
      <c r="W51" s="63" t="str">
        <f t="shared" si="15"/>
        <v/>
      </c>
      <c r="X51" s="65" t="e">
        <f t="shared" si="16"/>
        <v>#VALUE!</v>
      </c>
      <c r="Y51" s="65" t="e">
        <f t="shared" si="17"/>
        <v>#VALUE!</v>
      </c>
      <c r="Z51" s="65" t="str">
        <f t="shared" si="18"/>
        <v/>
      </c>
      <c r="AA51" s="65" t="str">
        <f t="shared" si="19"/>
        <v/>
      </c>
      <c r="AB51" s="65" t="str">
        <f t="shared" si="20"/>
        <v/>
      </c>
      <c r="AC51" s="65" t="str">
        <f t="shared" si="21"/>
        <v/>
      </c>
      <c r="AD51" s="65"/>
      <c r="AE51" s="65"/>
      <c r="AF51" s="65"/>
      <c r="AG51" s="65"/>
      <c r="AH51" s="65">
        <f t="shared" si="28"/>
        <v>0</v>
      </c>
      <c r="AI51" s="65">
        <f t="shared" si="29"/>
        <v>0</v>
      </c>
      <c r="AJ51" s="65" t="str">
        <f t="shared" si="22"/>
        <v/>
      </c>
      <c r="AK51" s="65" t="str">
        <f t="shared" si="23"/>
        <v/>
      </c>
      <c r="AL51" s="65" t="e">
        <f t="shared" si="30"/>
        <v>#VALUE!</v>
      </c>
      <c r="AM51" s="65" t="e">
        <f t="shared" si="24"/>
        <v>#VALUE!</v>
      </c>
      <c r="AN51" s="161">
        <f t="shared" si="13"/>
        <v>45479</v>
      </c>
      <c r="AT51" s="79"/>
      <c r="AU51" s="79"/>
      <c r="AV51" s="79"/>
      <c r="AW51" s="79"/>
      <c r="AX51" s="79"/>
      <c r="AY51" s="79"/>
      <c r="AZ51" s="75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U51" s="58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  <c r="DR51" s="59"/>
      <c r="DS51" s="59"/>
      <c r="DT51" s="59"/>
      <c r="DU51" s="59"/>
      <c r="DV51" s="59"/>
      <c r="DW51" s="59"/>
      <c r="DX51" s="59"/>
      <c r="DY51" s="59"/>
      <c r="DZ51" s="59"/>
      <c r="EA51" s="59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R51" s="75"/>
      <c r="GS51" s="157"/>
      <c r="GT51" s="157"/>
      <c r="GU51" s="75"/>
      <c r="GV51" s="75"/>
      <c r="GW51" s="75"/>
      <c r="GX51" s="75"/>
      <c r="GY51" s="75"/>
      <c r="GZ51" s="75"/>
    </row>
    <row r="52" spans="1:208" s="11" customFormat="1" ht="30" customHeight="1" x14ac:dyDescent="0.25">
      <c r="A52" s="20"/>
      <c r="B52" s="113">
        <v>49</v>
      </c>
      <c r="C52" s="113" t="s">
        <v>75</v>
      </c>
      <c r="D52" s="114">
        <v>45482</v>
      </c>
      <c r="E52" s="113" t="s">
        <v>78</v>
      </c>
      <c r="F52" s="115">
        <v>0.875</v>
      </c>
      <c r="G52" s="116">
        <f>D52+TIME(HOUR(F52)+$A$7,0,0)</f>
        <v>45482.625</v>
      </c>
      <c r="H52" s="113" t="str">
        <f>IF(I51="","Semifinal 1",Z48&amp;" - "&amp;Z49)</f>
        <v>Semifinal 1</v>
      </c>
      <c r="I52" s="50"/>
      <c r="J52" s="62"/>
      <c r="K52" s="66"/>
      <c r="L52" s="175">
        <f>IF(I52="",0,IFERROR(IF(SCORING.RULES!$C$8="No",1,((VLOOKUP($B52,ACTUALS!$B$4:$L$100,7,FALSE)=$H52)+(VLOOKUP($B52,ACTUALS!$B$4:$L$100,7,FALSE)=S52)))*(M52+N52+O52+P52+Q52),0))+$R52</f>
        <v>0</v>
      </c>
      <c r="M52" s="168">
        <f>IFERROR(IF($B52="","",IF(U52=INDEX(ACTUALS!$AA$4:$AA$100,MATCH($B52,ACTUALS!$B$4:$B$100,0),1),CorrectScore,0)),0)</f>
        <v>0</v>
      </c>
      <c r="N52" s="168" t="str">
        <f>IFERROR(IF(I52="","",IF(INDEX(ACTUALS!$AB$4:$AB$100,MATCH($B52,ACTUALS!$B$4:$B$100,0),1)=(AB52+AC52+AH52+AI52),CorrectNumberofGoals,0)),0)</f>
        <v/>
      </c>
      <c r="O52" s="168">
        <f>IFERROR(IF(V52="",0,IF($V52=INDEX(ACTUALS!$K$3:$K$100,MATCH($B52,ACTUALS!$B$3:$B$100,0),1),penaltiesscored,0)),0)</f>
        <v>0</v>
      </c>
      <c r="P52" s="168">
        <f>IFERROR(IF(B52="","",IF(INDEX(ACTUALS!$L$4:$L$100,MATCH($B52,ACTUALS!$B$4:$B$100,0),1)=W52,CorrectResult,0)),0)</f>
        <v>3</v>
      </c>
      <c r="Q52" s="168">
        <f>IFERROR(IF(ISNUMBER(AI52),IF(ISNUMBER(INDEX(ACTUALS!$Y$3:$Y$100,MATCH($B52,ACTUALS!$B$3:$B$100,0),1)),shootoutswon,0),0),0)</f>
        <v>0</v>
      </c>
      <c r="R52" s="168">
        <f t="shared" si="14"/>
        <v>0</v>
      </c>
      <c r="S52" s="168" t="e">
        <f t="shared" si="25"/>
        <v>#VALUE!</v>
      </c>
      <c r="T52" s="168" t="str">
        <f>IF($W52="","",IF(NOT(ISERROR(MATCH($S52,ACTUALS!$H$52:$H$53,0))),"Y","N"))</f>
        <v/>
      </c>
      <c r="U52" s="168" t="str">
        <f t="shared" si="26"/>
        <v/>
      </c>
      <c r="V52" s="168" t="str">
        <f t="shared" si="27"/>
        <v/>
      </c>
      <c r="W52" s="63" t="str">
        <f t="shared" si="15"/>
        <v/>
      </c>
      <c r="X52" s="65" t="e">
        <f t="shared" si="16"/>
        <v>#VALUE!</v>
      </c>
      <c r="Y52" s="65" t="e">
        <f t="shared" si="17"/>
        <v>#VALUE!</v>
      </c>
      <c r="Z52" s="65" t="str">
        <f>IF(W52="","",IF(W52=X52,X52,Y52))</f>
        <v/>
      </c>
      <c r="AA52" s="65" t="str">
        <f>IF(W52="","",IF(Z52=X52,Y52,X52))</f>
        <v/>
      </c>
      <c r="AB52" s="65" t="str">
        <f t="shared" si="20"/>
        <v/>
      </c>
      <c r="AC52" s="65" t="str">
        <f t="shared" si="21"/>
        <v/>
      </c>
      <c r="AD52" s="65"/>
      <c r="AE52" s="65"/>
      <c r="AF52" s="65"/>
      <c r="AG52" s="65"/>
      <c r="AH52" s="65">
        <f t="shared" si="28"/>
        <v>0</v>
      </c>
      <c r="AI52" s="65">
        <f t="shared" si="29"/>
        <v>0</v>
      </c>
      <c r="AJ52" s="65" t="str">
        <f t="shared" si="22"/>
        <v/>
      </c>
      <c r="AK52" s="65" t="str">
        <f t="shared" si="23"/>
        <v/>
      </c>
      <c r="AL52" s="65" t="e">
        <f t="shared" si="30"/>
        <v>#VALUE!</v>
      </c>
      <c r="AM52" s="65" t="e">
        <f t="shared" si="24"/>
        <v>#VALUE!</v>
      </c>
      <c r="AN52" s="161">
        <f t="shared" si="13"/>
        <v>45482</v>
      </c>
      <c r="AT52" s="75"/>
      <c r="AU52" s="79"/>
      <c r="AV52" s="79"/>
      <c r="AW52" s="79"/>
      <c r="AX52" s="79"/>
      <c r="AY52" s="79"/>
      <c r="AZ52" s="75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U52" s="58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R52" s="75"/>
      <c r="GS52" s="157"/>
      <c r="GT52" s="157"/>
      <c r="GU52" s="75"/>
      <c r="GV52" s="75"/>
      <c r="GW52" s="75"/>
      <c r="GX52" s="75"/>
      <c r="GY52" s="75"/>
      <c r="GZ52" s="75"/>
    </row>
    <row r="53" spans="1:208" s="11" customFormat="1" ht="30" customHeight="1" thickBot="1" x14ac:dyDescent="0.3">
      <c r="A53" s="20"/>
      <c r="B53" s="127">
        <v>50</v>
      </c>
      <c r="C53" s="127" t="s">
        <v>75</v>
      </c>
      <c r="D53" s="128">
        <v>45483</v>
      </c>
      <c r="E53" s="127" t="s">
        <v>81</v>
      </c>
      <c r="F53" s="129">
        <v>0.875</v>
      </c>
      <c r="G53" s="130">
        <f>D53+TIME(HOUR(F53)+$A$7,0,0)</f>
        <v>45483.625</v>
      </c>
      <c r="H53" s="127" t="str">
        <f>IF(I51="","Semifinal 2",Z50&amp;" - "&amp;Z51)</f>
        <v>Semifinal 2</v>
      </c>
      <c r="I53" s="51"/>
      <c r="J53" s="62"/>
      <c r="K53" s="66"/>
      <c r="L53" s="175">
        <f>IF(I53="",0,IFERROR(IF(SCORING.RULES!$C$8="No",1,((VLOOKUP($B53,ACTUALS!$B$4:$L$100,7,FALSE)=$H53)+(VLOOKUP($B53,ACTUALS!$B$4:$L$100,7,FALSE)=S53)))*(M53+N53+O53+P53+Q53),0))+$R53</f>
        <v>0</v>
      </c>
      <c r="M53" s="168">
        <f>IFERROR(IF($B53="","",IF(U53=INDEX(ACTUALS!$AA$4:$AA$100,MATCH($B53,ACTUALS!$B$4:$B$100,0),1),CorrectScore,0)),0)</f>
        <v>0</v>
      </c>
      <c r="N53" s="168" t="str">
        <f>IFERROR(IF(I53="","",IF(INDEX(ACTUALS!$AB$4:$AB$100,MATCH($B53,ACTUALS!$B$4:$B$100,0),1)=(AB53+AC53+AH53+AI53),CorrectNumberofGoals,0)),0)</f>
        <v/>
      </c>
      <c r="O53" s="168">
        <f>IFERROR(IF(V53="",0,IF($V53=INDEX(ACTUALS!$K$3:$K$100,MATCH($B53,ACTUALS!$B$3:$B$100,0),1),penaltiesscored,0)),0)</f>
        <v>0</v>
      </c>
      <c r="P53" s="168">
        <f>IFERROR(IF(B53="","",IF(INDEX(ACTUALS!$L$4:$L$100,MATCH($B53,ACTUALS!$B$4:$B$100,0),1)=W53,CorrectResult,0)),0)</f>
        <v>3</v>
      </c>
      <c r="Q53" s="168">
        <f>IFERROR(IF(ISNUMBER(AI53),IF(ISNUMBER(INDEX(ACTUALS!$Y$3:$Y$100,MATCH($B53,ACTUALS!$B$3:$B$100,0),1)),shootoutswon,0),0),0)</f>
        <v>0</v>
      </c>
      <c r="R53" s="168">
        <f t="shared" si="14"/>
        <v>0</v>
      </c>
      <c r="S53" s="168" t="e">
        <f t="shared" si="25"/>
        <v>#VALUE!</v>
      </c>
      <c r="T53" s="168" t="str">
        <f>IF($W53="","",IF(NOT(ISERROR(MATCH($S53,ACTUALS!$H$52:$H$53,0))),"Y","N"))</f>
        <v/>
      </c>
      <c r="U53" s="168" t="str">
        <f t="shared" si="26"/>
        <v/>
      </c>
      <c r="V53" s="168" t="str">
        <f t="shared" si="27"/>
        <v/>
      </c>
      <c r="W53" s="63" t="str">
        <f t="shared" si="15"/>
        <v/>
      </c>
      <c r="X53" s="65" t="e">
        <f t="shared" si="16"/>
        <v>#VALUE!</v>
      </c>
      <c r="Y53" s="65" t="e">
        <f t="shared" si="17"/>
        <v>#VALUE!</v>
      </c>
      <c r="Z53" s="65" t="str">
        <f>IF(W53="","",IF(W53=X53,X53,Y53))</f>
        <v/>
      </c>
      <c r="AA53" s="65" t="str">
        <f>IF(W53="","",IF(Z53=X53,Y53,X53))</f>
        <v/>
      </c>
      <c r="AB53" s="65" t="str">
        <f t="shared" si="20"/>
        <v/>
      </c>
      <c r="AC53" s="65" t="str">
        <f t="shared" si="21"/>
        <v/>
      </c>
      <c r="AD53" s="65"/>
      <c r="AE53" s="65"/>
      <c r="AF53" s="65"/>
      <c r="AG53" s="65"/>
      <c r="AH53" s="65">
        <f t="shared" si="28"/>
        <v>0</v>
      </c>
      <c r="AI53" s="65">
        <f t="shared" si="29"/>
        <v>0</v>
      </c>
      <c r="AJ53" s="65" t="str">
        <f t="shared" si="22"/>
        <v/>
      </c>
      <c r="AK53" s="65" t="str">
        <f t="shared" si="23"/>
        <v/>
      </c>
      <c r="AL53" s="65" t="e">
        <f t="shared" si="30"/>
        <v>#VALUE!</v>
      </c>
      <c r="AM53" s="65" t="e">
        <f t="shared" si="24"/>
        <v>#VALUE!</v>
      </c>
      <c r="AN53" s="161">
        <f t="shared" si="13"/>
        <v>45483</v>
      </c>
      <c r="AT53" s="75"/>
      <c r="AU53" s="79"/>
      <c r="AV53" s="79"/>
      <c r="AW53" s="79"/>
      <c r="AX53" s="79"/>
      <c r="AY53" s="79"/>
      <c r="AZ53" s="75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U53" s="58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R53" s="75"/>
      <c r="GS53" s="157"/>
      <c r="GT53" s="157"/>
      <c r="GU53" s="75"/>
      <c r="GV53" s="75"/>
      <c r="GW53" s="75"/>
      <c r="GX53" s="75"/>
      <c r="GY53" s="75"/>
      <c r="GZ53" s="75"/>
    </row>
    <row r="54" spans="1:208" s="11" customFormat="1" ht="30" customHeight="1" x14ac:dyDescent="0.25">
      <c r="A54" s="20"/>
      <c r="B54" s="113">
        <v>51</v>
      </c>
      <c r="C54" s="113" t="s">
        <v>45</v>
      </c>
      <c r="D54" s="114">
        <v>45487</v>
      </c>
      <c r="E54" s="113" t="s">
        <v>80</v>
      </c>
      <c r="F54" s="115">
        <v>0.875</v>
      </c>
      <c r="G54" s="116">
        <f>D54+TIME(HOUR(F54)+$A$7,0,0)</f>
        <v>45487.625</v>
      </c>
      <c r="H54" s="113" t="str">
        <f>IF(I53="","Final",Z52&amp;" - "&amp;Z53)</f>
        <v>Final</v>
      </c>
      <c r="I54" s="50"/>
      <c r="J54" s="62"/>
      <c r="K54" s="66"/>
      <c r="L54" s="175">
        <f>IF(I54="",0,IFERROR(IF(SCORING.RULES!$C$8="No",1,((VLOOKUP($B54,ACTUALS!$B$4:$L$100,7,FALSE)=$H54)+(VLOOKUP($B54,ACTUALS!$B$4:$L$100,7,FALSE)=S54)))*(M54+N54+O54+P54+Q54),0))+$R54</f>
        <v>0</v>
      </c>
      <c r="M54" s="168">
        <f>IFERROR(IF($B54="","",IF(U54=INDEX(ACTUALS!$AA$4:$AA$100,MATCH($B54,ACTUALS!$B$4:$B$100,0),1),CorrectScore,0)),0)</f>
        <v>0</v>
      </c>
      <c r="N54" s="168" t="str">
        <f>IFERROR(IF(I54="","",IF(INDEX(ACTUALS!$AB$4:$AB$100,MATCH($B54,ACTUALS!$B$4:$B$100,0),1)=(AB54+AC54+AH54+AI54),CorrectNumberofGoals,0)),0)</f>
        <v/>
      </c>
      <c r="O54" s="168">
        <f>IFERROR(IF(V54="",0,IF($V54=INDEX(ACTUALS!$K$3:$K$100,MATCH($B54,ACTUALS!$B$3:$B$100,0),1),penaltiesscored,0)),0)</f>
        <v>0</v>
      </c>
      <c r="P54" s="168">
        <f>IFERROR(IF(B54="","",IF(INDEX(ACTUALS!$L$4:$L$100,MATCH($B54,ACTUALS!$B$4:$B$100,0),1)=W54,CorrectResult,0)),0)</f>
        <v>3</v>
      </c>
      <c r="Q54" s="168">
        <f>IFERROR(IF(ISNUMBER(AI54),IF(ISNUMBER(INDEX(ACTUALS!$Y$3:$Y$100,MATCH($B54,ACTUALS!$B$3:$B$100,0),1)),shootoutswon,0),0),0)</f>
        <v>0</v>
      </c>
      <c r="R54" s="168">
        <f t="shared" si="14"/>
        <v>0</v>
      </c>
      <c r="S54" s="168" t="e">
        <f t="shared" si="25"/>
        <v>#VALUE!</v>
      </c>
      <c r="T54" s="168" t="e">
        <f>IF($X54="","",IF($S54=ACTUALS!H54,"Y","N"))</f>
        <v>#VALUE!</v>
      </c>
      <c r="U54" s="168" t="str">
        <f t="shared" si="26"/>
        <v/>
      </c>
      <c r="V54" s="168" t="str">
        <f t="shared" si="27"/>
        <v/>
      </c>
      <c r="W54" s="63" t="str">
        <f t="shared" si="15"/>
        <v/>
      </c>
      <c r="X54" s="65" t="e">
        <f t="shared" si="16"/>
        <v>#VALUE!</v>
      </c>
      <c r="Y54" s="65" t="e">
        <f t="shared" si="17"/>
        <v>#VALUE!</v>
      </c>
      <c r="Z54" s="65" t="str">
        <f>IF(W54="","",IF(W54=X54,X54,Y54))</f>
        <v/>
      </c>
      <c r="AA54" s="65" t="str">
        <f>IF(W54="","",IF(Z54=X54,Y54,X54))</f>
        <v/>
      </c>
      <c r="AB54" s="65" t="str">
        <f t="shared" si="20"/>
        <v/>
      </c>
      <c r="AC54" s="65" t="str">
        <f t="shared" si="21"/>
        <v/>
      </c>
      <c r="AD54" s="65"/>
      <c r="AE54" s="65"/>
      <c r="AF54" s="65"/>
      <c r="AG54" s="65"/>
      <c r="AH54" s="65">
        <f t="shared" si="28"/>
        <v>0</v>
      </c>
      <c r="AI54" s="65">
        <f t="shared" si="29"/>
        <v>0</v>
      </c>
      <c r="AJ54" s="65" t="str">
        <f t="shared" si="22"/>
        <v/>
      </c>
      <c r="AK54" s="65" t="str">
        <f t="shared" si="23"/>
        <v/>
      </c>
      <c r="AL54" s="65" t="e">
        <f t="shared" si="30"/>
        <v>#VALUE!</v>
      </c>
      <c r="AM54" s="65" t="e">
        <f t="shared" si="24"/>
        <v>#VALUE!</v>
      </c>
      <c r="AN54" s="161">
        <f t="shared" si="13"/>
        <v>45487</v>
      </c>
      <c r="AT54" s="75"/>
      <c r="AU54" s="79"/>
      <c r="AV54" s="79"/>
      <c r="AW54" s="79"/>
      <c r="AX54" s="79"/>
      <c r="AY54" s="79"/>
      <c r="AZ54" s="75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U54" s="58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R54" s="75"/>
      <c r="GS54" s="157"/>
      <c r="GT54" s="157"/>
      <c r="GU54" s="75"/>
      <c r="GV54" s="75"/>
      <c r="GW54" s="75"/>
      <c r="GX54" s="75"/>
      <c r="GY54" s="75"/>
      <c r="GZ54" s="75"/>
    </row>
    <row r="55" spans="1:208" x14ac:dyDescent="0.3">
      <c r="A55" s="21"/>
      <c r="D55" s="14"/>
      <c r="F55" s="15"/>
      <c r="G55" s="16"/>
      <c r="W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U55" s="11"/>
      <c r="AV55" s="11"/>
      <c r="AW55" s="11"/>
      <c r="AX55" s="11"/>
      <c r="AY55" s="11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CU55" s="60"/>
      <c r="GS55" s="156"/>
      <c r="GT55" s="159"/>
    </row>
    <row r="56" spans="1:208" x14ac:dyDescent="0.3">
      <c r="A56" s="21"/>
      <c r="B56" s="76"/>
      <c r="C56" s="76"/>
      <c r="D56" s="14"/>
      <c r="E56" s="89"/>
      <c r="F56" s="89"/>
      <c r="G56" s="90"/>
      <c r="H56" s="89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89"/>
      <c r="X56" s="89"/>
      <c r="Y56" s="92"/>
      <c r="Z56" s="92"/>
      <c r="AA56" s="92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92"/>
      <c r="AP56" s="92"/>
      <c r="AQ56" s="92"/>
      <c r="AR56" s="92"/>
      <c r="AS56" s="92"/>
      <c r="AT56" s="92"/>
      <c r="AU56" s="11"/>
      <c r="AV56" s="11"/>
      <c r="AW56" s="11"/>
      <c r="AX56" s="11"/>
      <c r="AY56" s="11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CU56" s="60"/>
      <c r="GS56" s="156"/>
      <c r="GT56" s="159"/>
    </row>
    <row r="57" spans="1:208" x14ac:dyDescent="0.3">
      <c r="A57" s="21"/>
      <c r="B57" s="170" t="s">
        <v>201</v>
      </c>
      <c r="C57" s="169"/>
      <c r="D57" s="172">
        <f>COUNTA(K4:K54)</f>
        <v>0</v>
      </c>
      <c r="E57" s="2"/>
      <c r="F57" s="47"/>
      <c r="W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U57" s="11"/>
      <c r="AV57" s="11"/>
      <c r="AW57" s="11"/>
      <c r="AX57" s="11"/>
      <c r="AY57" s="11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CU57" s="60"/>
      <c r="GS57" s="159"/>
      <c r="GT57" s="159"/>
    </row>
    <row r="58" spans="1:208" x14ac:dyDescent="0.3">
      <c r="A58" s="21"/>
      <c r="B58" s="171" t="s">
        <v>202</v>
      </c>
      <c r="C58" s="169"/>
      <c r="D58" s="172">
        <f>SUM(L4:L54)+(IF(D57=ACTUALS!F62,SCORING.RULES!C10,0))</f>
        <v>10</v>
      </c>
      <c r="E58" s="2"/>
      <c r="F58" s="47"/>
      <c r="W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CU58" s="60"/>
      <c r="GS58" s="159"/>
      <c r="GT58" s="159"/>
    </row>
    <row r="59" spans="1:208" x14ac:dyDescent="0.3">
      <c r="A59" s="21"/>
      <c r="B59" s="169"/>
      <c r="C59" s="169"/>
      <c r="D59" s="14"/>
      <c r="E59" s="2"/>
      <c r="F59" s="47"/>
      <c r="W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CU59" s="60"/>
      <c r="GS59" s="159"/>
      <c r="GT59" s="159"/>
    </row>
    <row r="60" spans="1:208" x14ac:dyDescent="0.3">
      <c r="A60" s="21"/>
      <c r="B60" s="169"/>
      <c r="C60" s="169"/>
      <c r="D60" s="14"/>
      <c r="E60" s="2"/>
      <c r="F60" s="47"/>
      <c r="W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CU60" s="60"/>
      <c r="GS60" s="159"/>
      <c r="GT60" s="159"/>
    </row>
    <row r="61" spans="1:208" x14ac:dyDescent="0.3">
      <c r="A61" s="21"/>
      <c r="B61" s="169"/>
      <c r="C61" s="169"/>
      <c r="D61" s="14"/>
      <c r="E61" s="89"/>
      <c r="F61" s="89"/>
      <c r="G61" s="90"/>
      <c r="H61" s="89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89"/>
      <c r="X61" s="89"/>
      <c r="Y61" s="92"/>
      <c r="Z61" s="92"/>
      <c r="AA61" s="92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92"/>
      <c r="AP61" s="92"/>
      <c r="AQ61" s="92"/>
      <c r="AR61" s="92"/>
      <c r="AS61" s="92"/>
      <c r="AT61" s="92"/>
      <c r="CU61" s="60"/>
      <c r="GS61" s="159"/>
      <c r="GT61" s="159"/>
    </row>
    <row r="62" spans="1:208" x14ac:dyDescent="0.3">
      <c r="B62" s="169"/>
      <c r="C62" s="169"/>
      <c r="D62" s="14"/>
      <c r="E62" s="89"/>
      <c r="F62" s="89"/>
      <c r="G62" s="90"/>
      <c r="H62" s="89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89"/>
      <c r="X62" s="89"/>
      <c r="Y62" s="92"/>
      <c r="Z62" s="92"/>
      <c r="AA62" s="92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92"/>
      <c r="AP62" s="92"/>
      <c r="AQ62" s="92"/>
      <c r="AR62" s="92"/>
      <c r="AS62" s="92"/>
      <c r="AT62" s="92"/>
      <c r="GS62" s="159"/>
      <c r="GT62" s="159"/>
    </row>
    <row r="63" spans="1:208" x14ac:dyDescent="0.3">
      <c r="B63" s="169"/>
      <c r="C63" s="169"/>
      <c r="E63" s="89"/>
      <c r="F63" s="89"/>
      <c r="G63" s="90"/>
      <c r="H63" s="89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89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GS63" s="159"/>
      <c r="GT63" s="159"/>
    </row>
    <row r="64" spans="1:208" x14ac:dyDescent="0.3">
      <c r="B64" s="169"/>
      <c r="C64" s="169"/>
      <c r="E64" s="89"/>
      <c r="F64" s="89"/>
      <c r="G64" s="90"/>
      <c r="H64" s="89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89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GS64" s="159"/>
      <c r="GT64" s="159"/>
    </row>
    <row r="65" spans="2:202" x14ac:dyDescent="0.3">
      <c r="B65" s="169"/>
      <c r="C65" s="169"/>
      <c r="E65" s="89"/>
      <c r="F65" s="89"/>
      <c r="G65" s="90"/>
      <c r="H65" s="89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89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GS65" s="159"/>
      <c r="GT65" s="159"/>
    </row>
    <row r="66" spans="2:202" x14ac:dyDescent="0.3">
      <c r="B66" s="169"/>
      <c r="C66" s="169"/>
      <c r="E66" s="89"/>
      <c r="F66" s="89"/>
      <c r="G66" s="90"/>
      <c r="H66" s="89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89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GS66" s="159"/>
      <c r="GT66" s="159"/>
    </row>
    <row r="67" spans="2:202" x14ac:dyDescent="0.3">
      <c r="B67" s="169"/>
      <c r="C67" s="169"/>
      <c r="E67" s="89"/>
      <c r="F67" s="89"/>
      <c r="G67" s="90"/>
      <c r="H67" s="89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89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GS67" s="159"/>
      <c r="GT67" s="159"/>
    </row>
    <row r="68" spans="2:202" x14ac:dyDescent="0.3">
      <c r="B68" s="169"/>
      <c r="C68" s="169"/>
      <c r="E68" s="2"/>
      <c r="F68" s="2"/>
      <c r="G68" s="47"/>
      <c r="H68" s="2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2"/>
      <c r="Y68" s="1"/>
      <c r="GS68" s="159"/>
      <c r="GT68" s="159"/>
    </row>
    <row r="69" spans="2:202" x14ac:dyDescent="0.3">
      <c r="B69" s="169"/>
      <c r="C69" s="169"/>
      <c r="E69" s="2"/>
      <c r="F69" s="2"/>
      <c r="G69" s="47"/>
      <c r="H69" s="2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2"/>
      <c r="Y69" s="1"/>
      <c r="GS69" s="159"/>
      <c r="GT69" s="159"/>
    </row>
    <row r="70" spans="2:202" x14ac:dyDescent="0.3">
      <c r="B70" s="169"/>
      <c r="C70" s="169"/>
      <c r="G70" s="47"/>
      <c r="H70" s="2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2"/>
      <c r="Y70" s="1"/>
      <c r="GS70" s="159"/>
      <c r="GT70" s="159"/>
    </row>
    <row r="71" spans="2:202" x14ac:dyDescent="0.3">
      <c r="B71" s="169"/>
      <c r="C71" s="169"/>
      <c r="GS71" s="159"/>
      <c r="GT71" s="159"/>
    </row>
    <row r="72" spans="2:202" x14ac:dyDescent="0.3">
      <c r="B72" s="169"/>
      <c r="C72" s="169"/>
      <c r="GS72" s="159"/>
    </row>
    <row r="73" spans="2:202" x14ac:dyDescent="0.3">
      <c r="B73" s="169"/>
      <c r="C73" s="169"/>
      <c r="GS73" s="159"/>
    </row>
    <row r="74" spans="2:202" x14ac:dyDescent="0.3">
      <c r="B74" s="169"/>
      <c r="C74" s="169"/>
    </row>
    <row r="75" spans="2:202" x14ac:dyDescent="0.3">
      <c r="B75" s="169"/>
      <c r="C75" s="169"/>
    </row>
    <row r="76" spans="2:202" x14ac:dyDescent="0.3">
      <c r="B76" s="169"/>
      <c r="C76" s="169"/>
    </row>
    <row r="77" spans="2:202" x14ac:dyDescent="0.3">
      <c r="B77" s="169"/>
      <c r="C77" s="169"/>
    </row>
    <row r="78" spans="2:202" x14ac:dyDescent="0.3">
      <c r="B78" s="169"/>
      <c r="C78" s="169"/>
    </row>
    <row r="79" spans="2:202" x14ac:dyDescent="0.3">
      <c r="B79" s="169"/>
      <c r="C79" s="169"/>
    </row>
    <row r="80" spans="2:202" x14ac:dyDescent="0.3">
      <c r="B80" s="169"/>
      <c r="C80" s="169"/>
    </row>
    <row r="81" spans="2:3" x14ac:dyDescent="0.3">
      <c r="B81" s="169"/>
      <c r="C81" s="169"/>
    </row>
    <row r="82" spans="2:3" x14ac:dyDescent="0.3">
      <c r="B82" s="169"/>
      <c r="C82" s="169"/>
    </row>
    <row r="83" spans="2:3" x14ac:dyDescent="0.3">
      <c r="B83" s="169"/>
      <c r="C83" s="169"/>
    </row>
    <row r="84" spans="2:3" x14ac:dyDescent="0.3">
      <c r="B84" s="169"/>
      <c r="C84" s="169"/>
    </row>
    <row r="85" spans="2:3" x14ac:dyDescent="0.3">
      <c r="B85" s="169"/>
      <c r="C85" s="169"/>
    </row>
    <row r="86" spans="2:3" x14ac:dyDescent="0.3">
      <c r="B86" s="169"/>
      <c r="C86" s="169"/>
    </row>
    <row r="87" spans="2:3" x14ac:dyDescent="0.3">
      <c r="B87" s="169"/>
      <c r="C87" s="169"/>
    </row>
  </sheetData>
  <sheetProtection algorithmName="SHA-512" hashValue="ictnF0aHka91md3HzBJjiR4R8A1kF7mP42wEejB2IpjHY7btUFB+tPJgt1wRv0jAG/KMN06OGXETGehCFG9yZA==" saltValue="RtwQYGy5+yDQ/WyANl4Zjg==" spinCount="100000" sheet="1" objects="1" scenarios="1"/>
  <mergeCells count="15">
    <mergeCell ref="HI3:HI19"/>
    <mergeCell ref="HC4:HH4"/>
    <mergeCell ref="AU5:AV5"/>
    <mergeCell ref="AU11:AV11"/>
    <mergeCell ref="AU17:AV17"/>
    <mergeCell ref="B1:W1"/>
    <mergeCell ref="AT1:AY1"/>
    <mergeCell ref="AT2:AY2"/>
    <mergeCell ref="AU3:AY3"/>
    <mergeCell ref="HC3:HH3"/>
    <mergeCell ref="AU23:AV23"/>
    <mergeCell ref="AU29:AV29"/>
    <mergeCell ref="AU35:AV35"/>
    <mergeCell ref="AU41:AY41"/>
    <mergeCell ref="AU50:AV50"/>
  </mergeCells>
  <conditionalFormatting sqref="A5 A8">
    <cfRule type="expression" dxfId="35" priority="13">
      <formula>AND(LEN($X2)&gt;0,(OR(IFERROR(FIND($X2,$HA$30,1)&gt;0,0),IFERROR(FIND($Y2,$HA$30,1)&gt;0,0))))</formula>
    </cfRule>
  </conditionalFormatting>
  <conditionalFormatting sqref="A6">
    <cfRule type="expression" dxfId="34" priority="14">
      <formula>AND(LEN($X2)&gt;0,(OR(IFERROR(FIND($X2,$HA$30,1)&gt;0,0),IFERROR(FIND($Y2,$HA$30,1)&gt;0,0))))</formula>
    </cfRule>
  </conditionalFormatting>
  <conditionalFormatting sqref="A7">
    <cfRule type="expression" dxfId="33" priority="15">
      <formula>AND(LEN($X2)&gt;0,(OR(IFERROR(FIND($X2,$HA$30,1)&gt;0,0),IFERROR(FIND($Y2,$HA$30,1)&gt;0,0))))</formula>
    </cfRule>
  </conditionalFormatting>
  <conditionalFormatting sqref="B4:I54">
    <cfRule type="expression" dxfId="32" priority="11">
      <formula>AND(LEN($X4)&gt;0,(OR(IFERROR(FIND($X4,$HA$30,1)&gt;0,0),IFERROR(FIND($Y4,$HA$30,1)&gt;0,0))))</formula>
    </cfRule>
  </conditionalFormatting>
  <conditionalFormatting sqref="M4:M39 J40:V54">
    <cfRule type="expression" dxfId="31" priority="1">
      <formula>LEFT(I4,FIND(":",I4,1)-1)=RIGHT(I4,LEN(I4)-FIND(":",I4,1))</formula>
    </cfRule>
  </conditionalFormatting>
  <conditionalFormatting sqref="AU8:AY8">
    <cfRule type="expression" dxfId="30" priority="7">
      <formula>$AZ8="X"</formula>
    </cfRule>
  </conditionalFormatting>
  <conditionalFormatting sqref="AU14:AY14">
    <cfRule type="expression" dxfId="29" priority="6">
      <formula>$AZ14="X"</formula>
    </cfRule>
  </conditionalFormatting>
  <conditionalFormatting sqref="AU20:AY20">
    <cfRule type="expression" dxfId="28" priority="5">
      <formula>$AZ20="X"</formula>
    </cfRule>
  </conditionalFormatting>
  <conditionalFormatting sqref="AU26:AY26">
    <cfRule type="expression" dxfId="27" priority="4">
      <formula>$AZ26="X"</formula>
    </cfRule>
  </conditionalFormatting>
  <conditionalFormatting sqref="AU32:AY32">
    <cfRule type="expression" dxfId="26" priority="3">
      <formula>$AZ32="X"</formula>
    </cfRule>
  </conditionalFormatting>
  <conditionalFormatting sqref="AU38:AY38">
    <cfRule type="expression" dxfId="25" priority="2">
      <formula>$AZ38="X"</formula>
    </cfRule>
  </conditionalFormatting>
  <conditionalFormatting sqref="BM1:BM1048576">
    <cfRule type="expression" dxfId="24" priority="8">
      <formula>ISNUMBER(BM1)</formula>
    </cfRule>
  </conditionalFormatting>
  <conditionalFormatting sqref="CV4:EA35">
    <cfRule type="expression" dxfId="23" priority="12">
      <formula>CV4=0</formula>
    </cfRule>
  </conditionalFormatting>
  <conditionalFormatting sqref="ED4:FI35">
    <cfRule type="expression" dxfId="22" priority="10">
      <formula>ED4=0</formula>
    </cfRule>
  </conditionalFormatting>
  <conditionalFormatting sqref="FL4:GQ35">
    <cfRule type="expression" dxfId="21" priority="9">
      <formula>FL4=0</formula>
    </cfRule>
  </conditionalFormatting>
  <hyperlinks>
    <hyperlink ref="AT2" r:id="rId1" xr:uid="{3766126C-19FC-4031-9AEE-63EE4D736E0E}"/>
  </hyperlinks>
  <pageMargins left="0.7" right="0.7" top="0.75" bottom="0.75" header="0.3" footer="0.3"/>
  <pageSetup orientation="portrait" horizontalDpi="4294967293" verticalDpi="0" r:id="rId2"/>
  <drawing r:id="rId3"/>
  <tableParts count="4">
    <tablePart r:id="rId4"/>
    <tablePart r:id="rId5"/>
    <tablePart r:id="rId6"/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3592B-3364-47A8-80CE-6183E455D113}">
  <sheetPr>
    <tabColor theme="8" tint="0.39997558519241921"/>
  </sheetPr>
  <dimension ref="A1:HM87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6" sqref="A6"/>
    </sheetView>
  </sheetViews>
  <sheetFormatPr defaultRowHeight="16.5" x14ac:dyDescent="0.3"/>
  <cols>
    <col min="1" max="1" width="26.42578125" style="5" customWidth="1"/>
    <col min="2" max="2" width="13" style="6" customWidth="1"/>
    <col min="3" max="3" width="14.42578125" style="6" bestFit="1" customWidth="1"/>
    <col min="4" max="4" width="10.5703125" style="6" bestFit="1" customWidth="1"/>
    <col min="5" max="5" width="31.28515625" style="6" bestFit="1" customWidth="1"/>
    <col min="6" max="6" width="10.42578125" style="6" bestFit="1" customWidth="1"/>
    <col min="7" max="7" width="22.42578125" style="7" bestFit="1" customWidth="1"/>
    <col min="8" max="8" width="30.85546875" style="6" bestFit="1" customWidth="1"/>
    <col min="9" max="9" width="11.7109375" style="8" bestFit="1" customWidth="1"/>
    <col min="10" max="10" width="12.42578125" style="8" bestFit="1" customWidth="1"/>
    <col min="11" max="11" width="13" style="8" customWidth="1"/>
    <col min="12" max="12" width="17.28515625" style="8" bestFit="1" customWidth="1"/>
    <col min="13" max="13" width="18.85546875" style="8" hidden="1" customWidth="1"/>
    <col min="14" max="14" width="31.5703125" style="8" hidden="1" customWidth="1"/>
    <col min="15" max="15" width="31.7109375" style="8" hidden="1" customWidth="1"/>
    <col min="16" max="16" width="18.5703125" style="8" hidden="1" customWidth="1"/>
    <col min="17" max="17" width="26.85546875" style="8" hidden="1" customWidth="1"/>
    <col min="18" max="18" width="19.42578125" style="8" hidden="1" customWidth="1"/>
    <col min="19" max="19" width="19.140625" style="8" hidden="1" customWidth="1"/>
    <col min="20" max="20" width="18.7109375" style="8" hidden="1" customWidth="1"/>
    <col min="21" max="21" width="29.42578125" style="8" hidden="1" customWidth="1"/>
    <col min="22" max="22" width="27" style="8" hidden="1" customWidth="1"/>
    <col min="23" max="23" width="20.7109375" style="8" hidden="1" customWidth="1"/>
    <col min="24" max="24" width="14.28515625" style="6" hidden="1" customWidth="1"/>
    <col min="25" max="27" width="14.28515625" style="5" hidden="1" customWidth="1"/>
    <col min="28" max="37" width="17.28515625" style="5" hidden="1" customWidth="1"/>
    <col min="38" max="38" width="26.7109375" style="5" hidden="1" customWidth="1"/>
    <col min="39" max="40" width="17.28515625" style="5" hidden="1" customWidth="1"/>
    <col min="41" max="41" width="9.140625" style="5" hidden="1" customWidth="1"/>
    <col min="42" max="42" width="31.28515625" style="5" hidden="1" customWidth="1"/>
    <col min="43" max="44" width="9.140625" style="5" hidden="1" customWidth="1"/>
    <col min="45" max="45" width="1.42578125" style="5" hidden="1" customWidth="1"/>
    <col min="46" max="46" width="9.140625" style="5" customWidth="1"/>
    <col min="47" max="47" width="2.140625" style="6" bestFit="1" customWidth="1"/>
    <col min="48" max="48" width="17.28515625" style="5" bestFit="1" customWidth="1"/>
    <col min="49" max="49" width="9.140625" style="5" customWidth="1"/>
    <col min="50" max="50" width="4.42578125" style="6" bestFit="1" customWidth="1"/>
    <col min="51" max="51" width="9.140625" style="6" customWidth="1"/>
    <col min="52" max="52" width="10" style="67" customWidth="1"/>
    <col min="53" max="53" width="10" style="1" hidden="1" customWidth="1"/>
    <col min="54" max="54" width="9.140625" style="1" hidden="1" customWidth="1"/>
    <col min="55" max="55" width="9.140625" style="2" hidden="1" customWidth="1"/>
    <col min="56" max="56" width="17.28515625" style="2" hidden="1" customWidth="1"/>
    <col min="57" max="57" width="3" style="2" hidden="1" customWidth="1"/>
    <col min="58" max="58" width="2.5703125" style="2" hidden="1" customWidth="1"/>
    <col min="59" max="59" width="2.140625" style="2" hidden="1" customWidth="1"/>
    <col min="60" max="60" width="13.7109375" style="2" hidden="1" customWidth="1"/>
    <col min="61" max="61" width="15.42578125" style="1" hidden="1" customWidth="1"/>
    <col min="62" max="62" width="16.5703125" style="1" hidden="1" customWidth="1"/>
    <col min="63" max="63" width="18.140625" style="1" hidden="1" customWidth="1"/>
    <col min="64" max="64" width="9.140625" style="2" hidden="1" customWidth="1"/>
    <col min="65" max="65" width="11" style="2" hidden="1" customWidth="1"/>
    <col min="66" max="66" width="9.140625" style="2" hidden="1" customWidth="1"/>
    <col min="67" max="67" width="18.7109375" style="1" hidden="1" customWidth="1"/>
    <col min="68" max="68" width="18.7109375" style="2" hidden="1" customWidth="1"/>
    <col min="69" max="73" width="18.7109375" style="1" hidden="1" customWidth="1"/>
    <col min="74" max="75" width="22.7109375" style="1" hidden="1" customWidth="1"/>
    <col min="76" max="76" width="13.42578125" style="1" hidden="1" customWidth="1"/>
    <col min="77" max="79" width="9.140625" style="1" hidden="1" customWidth="1"/>
    <col min="80" max="80" width="18.5703125" style="1" hidden="1" customWidth="1"/>
    <col min="81" max="81" width="9.140625" style="1" hidden="1" customWidth="1"/>
    <col min="82" max="82" width="18.140625" style="1" hidden="1" customWidth="1"/>
    <col min="83" max="83" width="15.140625" style="1" hidden="1" customWidth="1"/>
    <col min="84" max="84" width="5.7109375" style="1" hidden="1" customWidth="1"/>
    <col min="85" max="85" width="13.7109375" style="1" hidden="1" customWidth="1"/>
    <col min="86" max="96" width="9.140625" style="1" hidden="1" customWidth="1"/>
    <col min="97" max="98" width="9.140625" style="5" hidden="1" customWidth="1"/>
    <col min="99" max="99" width="14.28515625" style="1" hidden="1" customWidth="1"/>
    <col min="100" max="131" width="4" style="54" hidden="1" customWidth="1"/>
    <col min="132" max="132" width="9.140625" style="1" hidden="1" customWidth="1"/>
    <col min="133" max="133" width="14.28515625" style="1" hidden="1" customWidth="1"/>
    <col min="134" max="165" width="4" style="1" hidden="1" customWidth="1"/>
    <col min="166" max="166" width="9.140625" style="1" hidden="1" customWidth="1"/>
    <col min="167" max="167" width="14.28515625" style="1" hidden="1" customWidth="1"/>
    <col min="168" max="193" width="4" style="1" hidden="1" customWidth="1"/>
    <col min="194" max="199" width="4" style="5" hidden="1" customWidth="1"/>
    <col min="200" max="200" width="9.140625" style="67" hidden="1" customWidth="1"/>
    <col min="201" max="201" width="23.7109375" style="160" bestFit="1" customWidth="1"/>
    <col min="202" max="202" width="12.42578125" style="160" customWidth="1"/>
    <col min="203" max="203" width="12" style="67" bestFit="1" customWidth="1"/>
    <col min="204" max="204" width="19.5703125" style="5" customWidth="1"/>
    <col min="205" max="208" width="12" style="67" customWidth="1"/>
    <col min="209" max="209" width="9.140625" style="5"/>
    <col min="210" max="221" width="9.140625" style="5" hidden="1" customWidth="1"/>
    <col min="222" max="16384" width="9.140625" style="5"/>
  </cols>
  <sheetData>
    <row r="1" spans="1:221" ht="120" customHeight="1" thickBot="1" x14ac:dyDescent="1.1000000000000001">
      <c r="A1" s="23"/>
      <c r="B1" s="182" t="s">
        <v>66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190" t="e" vm="1">
        <v>#VALUE!</v>
      </c>
      <c r="AU1" s="190"/>
      <c r="AV1" s="190"/>
      <c r="AW1" s="190"/>
      <c r="AX1" s="190"/>
      <c r="AY1" s="191"/>
      <c r="BT1" s="61"/>
      <c r="GS1" s="152"/>
      <c r="GT1" s="152"/>
      <c r="GU1" s="83"/>
      <c r="GV1" s="83"/>
      <c r="GW1" s="83"/>
      <c r="GX1" s="83"/>
      <c r="GY1" s="83"/>
      <c r="GZ1" s="83"/>
      <c r="HA1" s="67"/>
      <c r="HB1" s="67"/>
    </row>
    <row r="2" spans="1:221" s="67" customFormat="1" ht="17.25" thickBot="1" x14ac:dyDescent="0.35">
      <c r="B2" s="68"/>
      <c r="C2" s="68"/>
      <c r="D2" s="68"/>
      <c r="E2" s="68"/>
      <c r="F2" s="68"/>
      <c r="G2" s="69"/>
      <c r="H2" s="68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68"/>
      <c r="AT2" s="192" t="s">
        <v>191</v>
      </c>
      <c r="AU2" s="193"/>
      <c r="AV2" s="193"/>
      <c r="AW2" s="193"/>
      <c r="AX2" s="193"/>
      <c r="AY2" s="193"/>
      <c r="BA2" s="71"/>
      <c r="BB2" s="71"/>
      <c r="BC2" s="72"/>
      <c r="BD2" s="72"/>
      <c r="BE2" s="72"/>
      <c r="BF2" s="72"/>
      <c r="BG2" s="72"/>
      <c r="BH2" s="72"/>
      <c r="BI2" s="71"/>
      <c r="BJ2" s="71"/>
      <c r="BK2" s="71"/>
      <c r="BL2" s="72"/>
      <c r="BM2" s="72"/>
      <c r="BN2" s="72"/>
      <c r="BO2" s="71"/>
      <c r="BP2" s="72" t="s">
        <v>157</v>
      </c>
      <c r="BQ2" s="72" t="s">
        <v>158</v>
      </c>
      <c r="BR2" s="72" t="s">
        <v>159</v>
      </c>
      <c r="BS2" s="72" t="s">
        <v>160</v>
      </c>
      <c r="BT2" s="72" t="s">
        <v>164</v>
      </c>
      <c r="BU2" s="72" t="s">
        <v>165</v>
      </c>
      <c r="BV2" s="72" t="s">
        <v>166</v>
      </c>
      <c r="BW2" s="72" t="s">
        <v>168</v>
      </c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U2" s="71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S2" s="153"/>
      <c r="GT2" s="153"/>
      <c r="GV2" s="53" t="s">
        <v>155</v>
      </c>
    </row>
    <row r="3" spans="1:221" s="9" customFormat="1" ht="40.5" customHeight="1" thickBot="1" x14ac:dyDescent="0.75">
      <c r="B3" s="64" t="s">
        <v>58</v>
      </c>
      <c r="C3" s="25" t="s">
        <v>59</v>
      </c>
      <c r="D3" s="25" t="s">
        <v>60</v>
      </c>
      <c r="E3" s="25" t="s">
        <v>88</v>
      </c>
      <c r="F3" s="25" t="s">
        <v>61</v>
      </c>
      <c r="G3" s="25" t="s">
        <v>62</v>
      </c>
      <c r="H3" s="25" t="s">
        <v>63</v>
      </c>
      <c r="I3" s="86" t="s">
        <v>64</v>
      </c>
      <c r="J3" s="84" t="s">
        <v>170</v>
      </c>
      <c r="K3" s="85" t="s">
        <v>171</v>
      </c>
      <c r="L3" s="48" t="s">
        <v>207</v>
      </c>
      <c r="M3" s="167" t="s">
        <v>195</v>
      </c>
      <c r="N3" s="167" t="s">
        <v>196</v>
      </c>
      <c r="O3" s="167" t="s">
        <v>197</v>
      </c>
      <c r="P3" s="167" t="s">
        <v>198</v>
      </c>
      <c r="Q3" s="167" t="s">
        <v>199</v>
      </c>
      <c r="R3" s="167" t="s">
        <v>182</v>
      </c>
      <c r="S3" s="167" t="s">
        <v>185</v>
      </c>
      <c r="T3" s="167" t="s">
        <v>186</v>
      </c>
      <c r="U3" s="167" t="s">
        <v>181</v>
      </c>
      <c r="V3" s="167" t="s">
        <v>187</v>
      </c>
      <c r="W3" s="48" t="s">
        <v>65</v>
      </c>
      <c r="X3" s="26" t="s">
        <v>2</v>
      </c>
      <c r="Y3" s="27" t="s">
        <v>3</v>
      </c>
      <c r="Z3" s="27" t="s">
        <v>14</v>
      </c>
      <c r="AA3" s="27" t="s">
        <v>15</v>
      </c>
      <c r="AB3" s="27" t="s">
        <v>17</v>
      </c>
      <c r="AC3" s="27" t="s">
        <v>18</v>
      </c>
      <c r="AD3" s="27" t="s">
        <v>39</v>
      </c>
      <c r="AE3" s="27" t="s">
        <v>40</v>
      </c>
      <c r="AF3" s="27" t="s">
        <v>22</v>
      </c>
      <c r="AG3" s="27" t="s">
        <v>23</v>
      </c>
      <c r="AH3" s="27" t="s">
        <v>172</v>
      </c>
      <c r="AI3" s="27" t="s">
        <v>173</v>
      </c>
      <c r="AJ3" s="27" t="s">
        <v>174</v>
      </c>
      <c r="AK3" s="27" t="s">
        <v>175</v>
      </c>
      <c r="AL3" s="27" t="s">
        <v>200</v>
      </c>
      <c r="AM3" s="27" t="s">
        <v>179</v>
      </c>
      <c r="AN3" s="27" t="s">
        <v>192</v>
      </c>
      <c r="AT3" s="74"/>
      <c r="AU3" s="184" t="s">
        <v>50</v>
      </c>
      <c r="AV3" s="185"/>
      <c r="AW3" s="185"/>
      <c r="AX3" s="185"/>
      <c r="AY3" s="186"/>
      <c r="AZ3" s="82"/>
      <c r="BA3" s="40"/>
      <c r="BB3" s="40"/>
      <c r="BC3" s="3" t="s">
        <v>0</v>
      </c>
      <c r="BD3" s="3" t="s">
        <v>13</v>
      </c>
      <c r="BE3" s="3" t="s">
        <v>9</v>
      </c>
      <c r="BF3" s="3" t="s">
        <v>7</v>
      </c>
      <c r="BG3" s="3" t="s">
        <v>10</v>
      </c>
      <c r="BH3" s="3" t="s">
        <v>11</v>
      </c>
      <c r="BI3" s="3" t="s">
        <v>19</v>
      </c>
      <c r="BJ3" s="3" t="s">
        <v>20</v>
      </c>
      <c r="BK3" s="41" t="s">
        <v>16</v>
      </c>
      <c r="BL3" s="3" t="s">
        <v>21</v>
      </c>
      <c r="BM3" s="39" t="s">
        <v>44</v>
      </c>
      <c r="BN3" s="3" t="s">
        <v>43</v>
      </c>
      <c r="BO3" s="4" t="s">
        <v>21</v>
      </c>
      <c r="BP3" s="4" t="s">
        <v>36</v>
      </c>
      <c r="BQ3" s="4" t="s">
        <v>38</v>
      </c>
      <c r="BR3" s="4" t="s">
        <v>37</v>
      </c>
      <c r="BS3" s="4" t="s">
        <v>161</v>
      </c>
      <c r="BT3" s="4" t="s">
        <v>162</v>
      </c>
      <c r="BU3" s="4" t="s">
        <v>163</v>
      </c>
      <c r="BV3" s="4" t="s">
        <v>167</v>
      </c>
      <c r="BW3" s="4" t="s">
        <v>169</v>
      </c>
      <c r="BX3" s="40" t="s">
        <v>41</v>
      </c>
      <c r="BY3" s="40" t="s">
        <v>42</v>
      </c>
      <c r="BZ3" s="40"/>
      <c r="CA3" s="40" t="s">
        <v>0</v>
      </c>
      <c r="CB3" s="40" t="s">
        <v>136</v>
      </c>
      <c r="CC3" s="40" t="s">
        <v>11</v>
      </c>
      <c r="CD3" s="40" t="s">
        <v>16</v>
      </c>
      <c r="CE3" s="40" t="s">
        <v>19</v>
      </c>
      <c r="CF3" s="40" t="s">
        <v>137</v>
      </c>
      <c r="CG3" s="40" t="s">
        <v>139</v>
      </c>
      <c r="CH3" s="40" t="s">
        <v>21</v>
      </c>
      <c r="CI3" s="40"/>
      <c r="CJ3" s="40"/>
      <c r="CK3" s="40"/>
      <c r="CL3" s="40"/>
      <c r="CM3" s="40"/>
      <c r="CN3" s="40"/>
      <c r="CO3" s="40"/>
      <c r="CP3" s="40"/>
      <c r="CQ3" s="40"/>
      <c r="CR3" s="40"/>
      <c r="CU3" s="40" t="s">
        <v>35</v>
      </c>
      <c r="CV3" s="55" t="s">
        <v>27</v>
      </c>
      <c r="CW3" s="55" t="s">
        <v>124</v>
      </c>
      <c r="CX3" s="55" t="s">
        <v>125</v>
      </c>
      <c r="CY3" s="55" t="s">
        <v>31</v>
      </c>
      <c r="CZ3" s="55" t="s">
        <v>28</v>
      </c>
      <c r="DA3" s="55" t="s">
        <v>33</v>
      </c>
      <c r="DB3" s="55" t="s">
        <v>126</v>
      </c>
      <c r="DC3" s="55" t="s">
        <v>127</v>
      </c>
      <c r="DD3" s="55" t="s">
        <v>128</v>
      </c>
      <c r="DE3" s="55" t="s">
        <v>25</v>
      </c>
      <c r="DF3" s="55" t="s">
        <v>34</v>
      </c>
      <c r="DG3" s="55" t="s">
        <v>24</v>
      </c>
      <c r="DH3" s="55" t="s">
        <v>32</v>
      </c>
      <c r="DI3" s="55" t="s">
        <v>8</v>
      </c>
      <c r="DJ3" s="55" t="s">
        <v>129</v>
      </c>
      <c r="DK3" s="55" t="s">
        <v>26</v>
      </c>
      <c r="DL3" s="55" t="s">
        <v>29</v>
      </c>
      <c r="DM3" s="55" t="s">
        <v>130</v>
      </c>
      <c r="DN3" s="55" t="s">
        <v>131</v>
      </c>
      <c r="DO3" s="55" t="s">
        <v>132</v>
      </c>
      <c r="DP3" s="55" t="s">
        <v>133</v>
      </c>
      <c r="DQ3" s="55" t="s">
        <v>134</v>
      </c>
      <c r="DR3" s="55" t="s">
        <v>30</v>
      </c>
      <c r="DS3" s="55" t="s">
        <v>135</v>
      </c>
      <c r="DT3" s="55"/>
      <c r="DU3" s="55"/>
      <c r="DV3" s="55"/>
      <c r="DW3" s="55"/>
      <c r="DX3" s="55"/>
      <c r="DY3" s="55"/>
      <c r="DZ3" s="55"/>
      <c r="EA3" s="55"/>
      <c r="EB3" s="40"/>
      <c r="EC3" s="40" t="s">
        <v>35</v>
      </c>
      <c r="ED3" s="55" t="s">
        <v>27</v>
      </c>
      <c r="EE3" s="55" t="s">
        <v>124</v>
      </c>
      <c r="EF3" s="55" t="s">
        <v>125</v>
      </c>
      <c r="EG3" s="55" t="s">
        <v>31</v>
      </c>
      <c r="EH3" s="55" t="s">
        <v>28</v>
      </c>
      <c r="EI3" s="55" t="s">
        <v>33</v>
      </c>
      <c r="EJ3" s="55" t="s">
        <v>126</v>
      </c>
      <c r="EK3" s="55" t="s">
        <v>127</v>
      </c>
      <c r="EL3" s="55" t="s">
        <v>128</v>
      </c>
      <c r="EM3" s="55" t="s">
        <v>25</v>
      </c>
      <c r="EN3" s="55" t="s">
        <v>34</v>
      </c>
      <c r="EO3" s="55" t="s">
        <v>24</v>
      </c>
      <c r="EP3" s="55" t="s">
        <v>32</v>
      </c>
      <c r="EQ3" s="55" t="s">
        <v>8</v>
      </c>
      <c r="ER3" s="55" t="s">
        <v>129</v>
      </c>
      <c r="ES3" s="55" t="s">
        <v>26</v>
      </c>
      <c r="ET3" s="55" t="s">
        <v>29</v>
      </c>
      <c r="EU3" s="55" t="s">
        <v>130</v>
      </c>
      <c r="EV3" s="55" t="s">
        <v>131</v>
      </c>
      <c r="EW3" s="55" t="s">
        <v>132</v>
      </c>
      <c r="EX3" s="55" t="s">
        <v>133</v>
      </c>
      <c r="EY3" s="55" t="s">
        <v>134</v>
      </c>
      <c r="EZ3" s="55" t="s">
        <v>30</v>
      </c>
      <c r="FA3" s="55" t="s">
        <v>135</v>
      </c>
      <c r="FB3" s="55"/>
      <c r="FC3" s="55"/>
      <c r="FD3" s="55"/>
      <c r="FE3" s="55"/>
      <c r="FF3" s="55"/>
      <c r="FG3" s="55"/>
      <c r="FH3" s="55"/>
      <c r="FI3" s="55"/>
      <c r="FJ3" s="40"/>
      <c r="FK3" s="40" t="s">
        <v>35</v>
      </c>
      <c r="FL3" s="55" t="s">
        <v>27</v>
      </c>
      <c r="FM3" s="55" t="s">
        <v>124</v>
      </c>
      <c r="FN3" s="55" t="s">
        <v>125</v>
      </c>
      <c r="FO3" s="55" t="s">
        <v>31</v>
      </c>
      <c r="FP3" s="55" t="s">
        <v>28</v>
      </c>
      <c r="FQ3" s="55" t="s">
        <v>33</v>
      </c>
      <c r="FR3" s="55" t="s">
        <v>126</v>
      </c>
      <c r="FS3" s="55" t="s">
        <v>127</v>
      </c>
      <c r="FT3" s="55" t="s">
        <v>128</v>
      </c>
      <c r="FU3" s="55" t="s">
        <v>25</v>
      </c>
      <c r="FV3" s="55" t="s">
        <v>34</v>
      </c>
      <c r="FW3" s="55" t="s">
        <v>24</v>
      </c>
      <c r="FX3" s="55" t="s">
        <v>32</v>
      </c>
      <c r="FY3" s="55" t="s">
        <v>8</v>
      </c>
      <c r="FZ3" s="55" t="s">
        <v>129</v>
      </c>
      <c r="GA3" s="55" t="s">
        <v>26</v>
      </c>
      <c r="GB3" s="55" t="s">
        <v>29</v>
      </c>
      <c r="GC3" s="55" t="s">
        <v>130</v>
      </c>
      <c r="GD3" s="55" t="s">
        <v>131</v>
      </c>
      <c r="GE3" s="55" t="s">
        <v>132</v>
      </c>
      <c r="GF3" s="55" t="s">
        <v>133</v>
      </c>
      <c r="GG3" s="55" t="s">
        <v>134</v>
      </c>
      <c r="GH3" s="55" t="s">
        <v>30</v>
      </c>
      <c r="GI3" s="55" t="s">
        <v>135</v>
      </c>
      <c r="GJ3" s="55"/>
      <c r="GK3" s="55"/>
      <c r="GL3" s="12"/>
      <c r="GM3" s="12"/>
      <c r="GN3" s="12"/>
      <c r="GO3" s="12"/>
      <c r="GP3" s="12"/>
      <c r="GQ3" s="12"/>
      <c r="GR3" s="82"/>
      <c r="GS3" s="154" t="s">
        <v>13</v>
      </c>
      <c r="GT3" s="155" t="s">
        <v>47</v>
      </c>
      <c r="GU3" s="82"/>
      <c r="GV3" s="52" t="s">
        <v>156</v>
      </c>
      <c r="GW3" s="82"/>
      <c r="GX3" s="82"/>
      <c r="GY3" s="82"/>
      <c r="GZ3" s="82"/>
      <c r="HC3" s="178" t="s">
        <v>142</v>
      </c>
      <c r="HD3" s="178"/>
      <c r="HE3" s="178"/>
      <c r="HF3" s="178"/>
      <c r="HG3" s="178"/>
      <c r="HH3" s="178"/>
      <c r="HI3" s="178"/>
      <c r="HJ3" s="43" t="s">
        <v>144</v>
      </c>
      <c r="HK3" s="43" t="s">
        <v>146</v>
      </c>
      <c r="HL3" s="43" t="s">
        <v>147</v>
      </c>
      <c r="HM3" s="43" t="s">
        <v>148</v>
      </c>
    </row>
    <row r="4" spans="1:221" s="11" customFormat="1" ht="30" customHeight="1" thickBot="1" x14ac:dyDescent="0.25">
      <c r="B4" s="113">
        <v>1</v>
      </c>
      <c r="C4" s="113" t="s">
        <v>1</v>
      </c>
      <c r="D4" s="114">
        <v>45457</v>
      </c>
      <c r="E4" s="113" t="s">
        <v>78</v>
      </c>
      <c r="F4" s="115">
        <v>0.875</v>
      </c>
      <c r="G4" s="116">
        <f>(D4+F4)+IF($A$7&gt;=0,TIMEVALUE($A$7&amp;":00"),-TIMEVALUE(ABS($A$7)&amp;":00"))</f>
        <v>45457.625</v>
      </c>
      <c r="H4" s="113" t="s">
        <v>89</v>
      </c>
      <c r="I4" s="117"/>
      <c r="J4" s="118"/>
      <c r="K4" s="118"/>
      <c r="L4" s="174">
        <f>IF(I4="",0,IFERROR(IF(SCORING.RULES!$C$8="No",1,((VLOOKUP($B4,ACTUALS!$B$4:$L$100,7,FALSE)=$H4)+(VLOOKUP($B4,ACTUALS!$B$4:$L$100,7,FALSE)=S4)))*(M4+N4+O4+P4+Q4),0))+$R4</f>
        <v>0</v>
      </c>
      <c r="M4" s="168">
        <f>IFERROR(IF($B4="","",IF(U4=INDEX(ACTUALS!$AA$4:$AA$100,MATCH($B4,ACTUALS!$B$4:$B$100,0),1),CorrectScore,0)),0)</f>
        <v>0</v>
      </c>
      <c r="N4" s="157" t="str">
        <f>IFERROR(IF(I4="","",IF(INDEX(ACTUALS!$AB$4:$AB$100,MATCH($B4,ACTUALS!$B$4:$B$100,0),1)=(AB4+AC4+AH4+AI4),CorrectNumberofGoals,0)),0)</f>
        <v/>
      </c>
      <c r="O4" s="157"/>
      <c r="P4" s="157">
        <f>IFERROR(IF(B4="","",IF(INDEX(ACTUALS!$L$4:$L$100,MATCH($B4,ACTUALS!$B$4:$B$100,0),1)=W4,CorrectResult,0)),0)</f>
        <v>3</v>
      </c>
      <c r="Q4" s="157"/>
      <c r="R4" s="157"/>
      <c r="S4" s="157" t="str">
        <f t="shared" ref="S4:S39" si="0">IF(OR($H4="",$B4&lt;37),"",RIGHT($H4,LEN($H4)-FIND("-",$H4,1)-1)&amp;" - "&amp;LEFT($H4,FIND("-",$H4,1)-2))</f>
        <v/>
      </c>
      <c r="T4" s="157"/>
      <c r="U4" s="157" t="str">
        <f t="shared" ref="U4:U39" si="1">IF($I4="","",IF($T4="Y",AC4+AI4&amp;":"&amp;AB4+AH4,AB4+AH4&amp;":"&amp;AC4+AI4))</f>
        <v/>
      </c>
      <c r="V4" s="157" t="str">
        <f t="shared" ref="V4:V39" si="2">IF($K4="","",IF($T4="Y",$AK4&amp;":"&amp;$AJ4,$AJ4&amp;":"&amp;$AK4))</f>
        <v/>
      </c>
      <c r="W4" s="119" t="str">
        <f>IF(tblActuals35415192327[[#This Row],[SCORE]]="","",IF(AB4=AC4,"Draw",IF(AB4&gt;AC4,X4,Y4)))</f>
        <v/>
      </c>
      <c r="X4" s="120" t="str">
        <f>IF(tblActuals35415192327[[#This Row],[TEAMS]]="","",LEFT(H4,FIND(" -",H4,1)-1))</f>
        <v>Germany</v>
      </c>
      <c r="Y4" s="120" t="str">
        <f>IF(tblActuals35415192327[[#This Row],[TEAMS]]="","",MID(H4,FIND("-",H4,1)+2,LEN(H4)-FIND("-",H4,1)+2))</f>
        <v>Scotland</v>
      </c>
      <c r="Z4" s="120" t="str">
        <f>IF(tblActuals35415192327[[#This Row],[Team 1 Goals]]&gt;tblActuals35415192327[[#This Row],[Team 2 Goals]],tblActuals35415192327[[#This Row],[Team 1]],IF(tblActuals35415192327[[#This Row],[Team 2 Goals]]&gt;tblActuals35415192327[[#This Row],[Team 1 Goals]],tblActuals35415192327[[#This Row],[Team 2]],""))</f>
        <v/>
      </c>
      <c r="AA4" s="120" t="str">
        <f>IF(tblActuals35415192327[[#This Row],[Winner]]=tblActuals35415192327[[#This Row],[Team 1]],tblActuals35415192327[[#This Row],[Team 2]],IF(tblActuals35415192327[[#This Row],[Winner]]=tblActuals35415192327[[#This Row],[Team 2]],tblActuals35415192327[[#This Row],[Team 1]],""))</f>
        <v/>
      </c>
      <c r="AB4" s="120" t="str">
        <f>IF(tblActuals35415192327[[#This Row],[SCORE]]="","",LEFT(I4,FIND(":",I4,1)-1)*1)</f>
        <v/>
      </c>
      <c r="AC4" s="120" t="str">
        <f>IF(tblActuals35415192327[[#This Row],[SCORE]]="","",MID(I4,FIND(":",I4,1)+1,LEN(I4)-FIND(":",I4,1)+1)*1)</f>
        <v/>
      </c>
      <c r="AD4" s="120" t="str">
        <f>IF(OR(tblActuals35415192327[[#This Row],[Team 1 Goals]]="",tblActuals35415192327[[#This Row],[Team 2 Goals]]=""),"",tblActuals35415192327[[#This Row],[Team 1 Goals]]-tblActuals35415192327[[#This Row],[Team 2 Goals]])</f>
        <v/>
      </c>
      <c r="AE4" s="120" t="str">
        <f>IF(OR(tblActuals35415192327[[#This Row],[Team 1 Goals]]="",tblActuals35415192327[[#This Row],[Team 2 Goals]]=""),"",tblActuals35415192327[[#This Row],[Team 2 Goals]]-tblActuals35415192327[[#This Row],[Team 1 Goals]])</f>
        <v/>
      </c>
      <c r="AF4" s="120" t="str">
        <f>IF(tblActuals35415192327[[#This Row],[SCORE]]="","",IF(tblActuals35415192327[[#This Row],[WINNER / RESULT]]="Draw",1,IF(tblActuals35415192327[[#This Row],[WINNER / RESULT]]=tblActuals35415192327[[#This Row],[Team 1]],3,0)))</f>
        <v/>
      </c>
      <c r="AG4" s="120" t="str">
        <f>IF(tblActuals35415192327[[#This Row],[SCORE]]="","",IF(tblActuals35415192327[[#This Row],[WINNER / RESULT]]="Draw",1,IF(tblActuals35415192327[[#This Row],[WINNER / RESULT]]=tblActuals35415192327[[#This Row],[Team 2]],3,0)))</f>
        <v/>
      </c>
      <c r="AH4" s="121"/>
      <c r="AI4" s="121"/>
      <c r="AJ4" s="121"/>
      <c r="AK4" s="121"/>
      <c r="AL4" s="120" t="e">
        <f>tblActuals35415192327[[#This Row],[Team 1 Goals]]+tblActuals35415192327[[#This Row],[Team 1 ET Goals]]&amp;":"&amp;tblActuals35415192327[[#This Row],[Team 2 Goals]]+tblActuals35415192327[[#This Row],[Team 2 ET Goals]]</f>
        <v>#VALUE!</v>
      </c>
      <c r="AM4" s="120" t="e">
        <f>+tblActuals35415192327[[#This Row],[Team 1 Goals]]+tblActuals35415192327[[#This Row],[Team 2 Goals]]</f>
        <v>#VALUE!</v>
      </c>
      <c r="AN4" s="161">
        <f t="shared" ref="AN4:AN35" si="3">DATE(YEAR(G4),MONTH(G4),DAY(G4))</f>
        <v>45457</v>
      </c>
      <c r="AP4" s="3" t="s">
        <v>4</v>
      </c>
      <c r="AR4" s="10"/>
      <c r="AT4" s="75"/>
      <c r="AU4" s="75"/>
      <c r="AV4" s="75"/>
      <c r="AW4" s="75"/>
      <c r="AX4" s="75"/>
      <c r="AY4" s="75"/>
      <c r="AZ4" s="75"/>
      <c r="BA4" s="42"/>
      <c r="BB4" s="4"/>
      <c r="BC4" s="4" t="s">
        <v>1</v>
      </c>
      <c r="BD4" s="4" t="s">
        <v>27</v>
      </c>
      <c r="BE4" s="4">
        <f>COUNTIF(tblActuals35415192327[Winner],BD4)</f>
        <v>0</v>
      </c>
      <c r="BF4" s="4">
        <f>COUNTIFS(tblActuals35415192327[Team 2],BD4,tblActuals35415192327[WINNER / RESULT],"Draw")+COUNTIFS(tblActuals35415192327[Team 1],BD4,tblActuals35415192327[WINNER / RESULT],"Draw")</f>
        <v>0</v>
      </c>
      <c r="BG4" s="4">
        <f>COUNTIF(tblActuals35415192327[Loser],BD4)</f>
        <v>0</v>
      </c>
      <c r="BH4" s="4">
        <f>BF4+(3*BE4)</f>
        <v>0</v>
      </c>
      <c r="BI4" s="4">
        <f>SUMIFS(tblActuals35415192327[Team 1 Goals],tblActuals35415192327[Team 1],BD4)+SUMIFS(tblActuals35415192327[Team 2 Goals],tblActuals35415192327[Team 2],BD4)</f>
        <v>0</v>
      </c>
      <c r="BJ4" s="4">
        <f>SUMIFS(tblActuals35415192327[Team 2 Goals],tblActuals35415192327[Team 1],BD4)+SUMIFS(tblActuals35415192327[Team 1 Goals],tblActuals35415192327[Team 2],BD4)</f>
        <v>0</v>
      </c>
      <c r="BK4" s="4">
        <f>BI4-BJ4</f>
        <v>0</v>
      </c>
      <c r="BL4" s="4">
        <f ca="1">RANK(BY4,$BY$4:$BY$7,1)</f>
        <v>1</v>
      </c>
      <c r="BM4" s="4" t="str">
        <f t="shared" ref="BM4:BM32" si="4">IFERROR(VLOOKUP(BD4,GS:GT,2,FALSE),"")</f>
        <v/>
      </c>
      <c r="BN4" s="4" t="str">
        <f ca="1">IF(BM4="",BL4&amp;BC4,BM4&amp;BC4)</f>
        <v>1A</v>
      </c>
      <c r="BO4" s="4">
        <f>RANK(BH4,$BH$4:$BH$7,0)</f>
        <v>1</v>
      </c>
      <c r="BP4" s="4" cm="1">
        <f t="array" aca="1" ref="BP4" ca="1">SUMPRODUCT((OFFSET($CV$3:$EA$3,MATCH($BD4,$CU$4:$CU$35,0),0))*((IF($BO6=$BO4,$CV$3:$EA$3=$BD6,0))+(IF($BO7=$BO4,$CV$3:$EA$3=$BD7,0))+(IF($BO5=$BO4,$CV$3:$EA$3=$BD5,0))))</f>
        <v>0</v>
      </c>
      <c r="BQ4" s="4" cm="1">
        <f t="array" aca="1" ref="BQ4" ca="1">SUMPRODUCT((OFFSET($ED$3:$FI$3,MATCH($BD4,$EC$4:$EC$35,0),0))*((IF($BO6=$BO4,$ED$3:$FI$3=$BD6,0))+(IF($BO7=$BO4,$ED$3:$FI$3=$BD7,0))+(IF($BO5=$BO4,$ED$3:$FI$3=$BD5,0))))</f>
        <v>0</v>
      </c>
      <c r="BR4" s="4" cm="1">
        <f t="array" aca="1" ref="BR4" ca="1">SUMPRODUCT((OFFSET($FL$3:$GQ$3,MATCH($BD4,$FK$4:$FK$35,0),0))*((IF($BO6=$BO4,$FL$3:$GQ$3=$BD6,0))+(IF($BO7=$BO4,$FL$3:$GQ$3=$BD7,0))+(IF($BO5=$BO4,$FL$3:$GQ$3=$BD5,0))))</f>
        <v>0</v>
      </c>
      <c r="BS4" s="4" cm="1">
        <f t="array" aca="1" ref="BS4" ca="1">SUMPRODUCT((OFFSET($CV$3:$EA$3,MATCH($BD4,$CU$4:$CU$35,0),0))*((IF($BO6&lt;&gt;$BO4,$CV$3:$EA$3=$BD6,0))+(IF($BO7&lt;&gt;$BO4,$CV$3:$EA$3=$BD7,0))+(IF($BO5&lt;&gt;$BO4,$CV$3:$EA$3=$BD5,0))))</f>
        <v>0</v>
      </c>
      <c r="BT4" s="4" cm="1">
        <f t="array" aca="1" ref="BT4" ca="1">SUMPRODUCT((OFFSET($ED$3:$FI$3,MATCH($BD4,$EC$4:$EC$35,0),0))*((IF($BO6&lt;&gt;$BO4,$ED$3:$FI$3=$BD6,0))+(IF($BO7&lt;&gt;$BO4,$ED$3:$FI$3=$BD7,0))+(IF($BO5&lt;&gt;$BO4,$ED$3:$FI$3=$BD5,0))))</f>
        <v>0</v>
      </c>
      <c r="BU4" s="4" cm="1">
        <f t="array" aca="1" ref="BU4" ca="1">SUMPRODUCT((OFFSET($FL$3:$GQ$3,MATCH($BD4,$FK$4:$FK$35,0),0))*((IF($BO6&lt;&gt;$BO4,$FL$3:$GQ$3=$BD6,0))+(IF($BO7&lt;&gt;$BO4,$FL$3:$GQ$3=$BD7,0))+(IF($BO5&lt;&gt;$BO4,$FL$3:$GQ$3=$BD5,0))))</f>
        <v>0</v>
      </c>
      <c r="BV4" s="4">
        <f>BK4</f>
        <v>0</v>
      </c>
      <c r="BW4" s="4">
        <f>BI4</f>
        <v>0</v>
      </c>
      <c r="BX4" s="4">
        <f ca="1">(BP4/10)+(BQ4/100)+(BR4/1000)+(BT4/10000)+(BU4/100000)+(BV4/1000000)+(BW4/10000000)+(ROW(BS7)/100000000)</f>
        <v>7.0000000000000005E-8</v>
      </c>
      <c r="BY4" s="4">
        <f ca="1">+BO4-BX4</f>
        <v>0.99999992999999998</v>
      </c>
      <c r="BZ4" s="4"/>
      <c r="CA4" s="4" t="s">
        <v>1</v>
      </c>
      <c r="CB4" s="4" t="str">
        <f ca="1">AV8</f>
        <v>Scotland</v>
      </c>
      <c r="CC4" s="4">
        <f t="shared" ref="CC4:CC9" ca="1" si="5">SUMIF(BD:BD,CB4,BH:BH)</f>
        <v>0</v>
      </c>
      <c r="CD4" s="4">
        <f t="shared" ref="CD4:CD9" ca="1" si="6">SUMIF(BD:BD,CB4,BK:BK)</f>
        <v>0</v>
      </c>
      <c r="CE4" s="4">
        <f t="shared" ref="CE4:CE9" ca="1" si="7">SUMIF(BD:BD,CB4,BI:BI)</f>
        <v>0</v>
      </c>
      <c r="CF4" s="4">
        <f t="shared" ref="CF4:CF9" ca="1" si="8">SUMIF(BD:BD,CB4,BE:BE)</f>
        <v>0</v>
      </c>
      <c r="CG4" s="4">
        <f t="shared" ref="CG4:CG9" ca="1" si="9">(CC4/1000)+(CD4/10000)+(CE4/100000)+(ROW(CF4)/10000000)</f>
        <v>3.9999999999999998E-7</v>
      </c>
      <c r="CH4" s="4">
        <f t="shared" ref="CH4:CH9" ca="1" si="10">RANK(CG4,$CG$4:$CG$9)</f>
        <v>6</v>
      </c>
      <c r="CI4" s="4"/>
      <c r="CJ4" s="4"/>
      <c r="CK4" s="4"/>
      <c r="CL4" s="4"/>
      <c r="CM4" s="4"/>
      <c r="CN4" s="4"/>
      <c r="CO4" s="4"/>
      <c r="CP4" s="4"/>
      <c r="CQ4" s="4"/>
      <c r="CR4" s="4"/>
      <c r="CU4" s="4" t="s">
        <v>27</v>
      </c>
      <c r="CV4" s="56">
        <f>SUMIFS(tblActuals35415192327[Team 2 Points],tblActuals35415192327[Team 2],$CU4,tblActuals35415192327[Team 1],CV$3)+SUMIFS(tblActuals35415192327[Team 1 Points],tblActuals35415192327[Team 1],$CU4,tblActuals35415192327[Team 2],CV$3)</f>
        <v>0</v>
      </c>
      <c r="CW4" s="56">
        <f>SUMIFS(tblActuals35415192327[Team 2 Points],tblActuals35415192327[Team 2],$CU4,tblActuals35415192327[Team 1],CW$3)+SUMIFS(tblActuals35415192327[Team 1 Points],tblActuals35415192327[Team 1],$CU4,tblActuals35415192327[Team 2],CW$3)</f>
        <v>0</v>
      </c>
      <c r="CX4" s="56">
        <f>SUMIFS(tblActuals35415192327[Team 2 Points],tblActuals35415192327[Team 2],$CU4,tblActuals35415192327[Team 1],CX$3)+SUMIFS(tblActuals35415192327[Team 1 Points],tblActuals35415192327[Team 1],$CU4,tblActuals35415192327[Team 2],CX$3)</f>
        <v>0</v>
      </c>
      <c r="CY4" s="56">
        <f>SUMIFS(tblActuals35415192327[Team 2 Points],tblActuals35415192327[Team 2],$CU4,tblActuals35415192327[Team 1],CY$3)+SUMIFS(tblActuals35415192327[Team 1 Points],tblActuals35415192327[Team 1],$CU4,tblActuals35415192327[Team 2],CY$3)</f>
        <v>0</v>
      </c>
      <c r="CZ4" s="56">
        <f>SUMIFS(tblActuals35415192327[Team 2 Points],tblActuals35415192327[Team 2],$CU4,tblActuals35415192327[Team 1],CZ$3)+SUMIFS(tblActuals35415192327[Team 1 Points],tblActuals35415192327[Team 1],$CU4,tblActuals35415192327[Team 2],CZ$3)</f>
        <v>0</v>
      </c>
      <c r="DA4" s="56">
        <f>SUMIFS(tblActuals35415192327[Team 2 Points],tblActuals35415192327[Team 2],$CU4,tblActuals35415192327[Team 1],DA$3)+SUMIFS(tblActuals35415192327[Team 1 Points],tblActuals35415192327[Team 1],$CU4,tblActuals35415192327[Team 2],DA$3)</f>
        <v>0</v>
      </c>
      <c r="DB4" s="56">
        <f>SUMIFS(tblActuals35415192327[Team 2 Points],tblActuals35415192327[Team 2],$CU4,tblActuals35415192327[Team 1],DB$3)+SUMIFS(tblActuals35415192327[Team 1 Points],tblActuals35415192327[Team 1],$CU4,tblActuals35415192327[Team 2],DB$3)</f>
        <v>0</v>
      </c>
      <c r="DC4" s="56">
        <f>SUMIFS(tblActuals35415192327[Team 2 Points],tblActuals35415192327[Team 2],$CU4,tblActuals35415192327[Team 1],DC$3)+SUMIFS(tblActuals35415192327[Team 1 Points],tblActuals35415192327[Team 1],$CU4,tblActuals35415192327[Team 2],DC$3)</f>
        <v>0</v>
      </c>
      <c r="DD4" s="56">
        <f>SUMIFS(tblActuals35415192327[Team 2 Points],tblActuals35415192327[Team 2],$CU4,tblActuals35415192327[Team 1],DD$3)+SUMIFS(tblActuals35415192327[Team 1 Points],tblActuals35415192327[Team 1],$CU4,tblActuals35415192327[Team 2],DD$3)</f>
        <v>0</v>
      </c>
      <c r="DE4" s="56">
        <f>SUMIFS(tblActuals35415192327[Team 2 Points],tblActuals35415192327[Team 2],$CU4,tblActuals35415192327[Team 1],DE$3)+SUMIFS(tblActuals35415192327[Team 1 Points],tblActuals35415192327[Team 1],$CU4,tblActuals35415192327[Team 2],DE$3)</f>
        <v>0</v>
      </c>
      <c r="DF4" s="56">
        <f>SUMIFS(tblActuals35415192327[Team 2 Points],tblActuals35415192327[Team 2],$CU4,tblActuals35415192327[Team 1],DF$3)+SUMIFS(tblActuals35415192327[Team 1 Points],tblActuals35415192327[Team 1],$CU4,tblActuals35415192327[Team 2],DF$3)</f>
        <v>0</v>
      </c>
      <c r="DG4" s="56">
        <f>SUMIFS(tblActuals35415192327[Team 2 Points],tblActuals35415192327[Team 2],$CU4,tblActuals35415192327[Team 1],DG$3)+SUMIFS(tblActuals35415192327[Team 1 Points],tblActuals35415192327[Team 1],$CU4,tblActuals35415192327[Team 2],DG$3)</f>
        <v>0</v>
      </c>
      <c r="DH4" s="56">
        <f>SUMIFS(tblActuals35415192327[Team 2 Points],tblActuals35415192327[Team 2],$CU4,tblActuals35415192327[Team 1],DH$3)+SUMIFS(tblActuals35415192327[Team 1 Points],tblActuals35415192327[Team 1],$CU4,tblActuals35415192327[Team 2],DH$3)</f>
        <v>0</v>
      </c>
      <c r="DI4" s="56">
        <f>SUMIFS(tblActuals35415192327[Team 2 Points],tblActuals35415192327[Team 2],$CU4,tblActuals35415192327[Team 1],DI$3)+SUMIFS(tblActuals35415192327[Team 1 Points],tblActuals35415192327[Team 1],$CU4,tblActuals35415192327[Team 2],DI$3)</f>
        <v>0</v>
      </c>
      <c r="DJ4" s="56">
        <f>SUMIFS(tblActuals35415192327[Team 2 Points],tblActuals35415192327[Team 2],$CU4,tblActuals35415192327[Team 1],DJ$3)+SUMIFS(tblActuals35415192327[Team 1 Points],tblActuals35415192327[Team 1],$CU4,tblActuals35415192327[Team 2],DJ$3)</f>
        <v>0</v>
      </c>
      <c r="DK4" s="56">
        <f>SUMIFS(tblActuals35415192327[Team 2 Points],tblActuals35415192327[Team 2],$CU4,tblActuals35415192327[Team 1],DK$3)+SUMIFS(tblActuals35415192327[Team 1 Points],tblActuals35415192327[Team 1],$CU4,tblActuals35415192327[Team 2],DK$3)</f>
        <v>0</v>
      </c>
      <c r="DL4" s="56">
        <f>SUMIFS(tblActuals35415192327[Team 2 Points],tblActuals35415192327[Team 2],$CU4,tblActuals35415192327[Team 1],DL$3)+SUMIFS(tblActuals35415192327[Team 1 Points],tblActuals35415192327[Team 1],$CU4,tblActuals35415192327[Team 2],DL$3)</f>
        <v>0</v>
      </c>
      <c r="DM4" s="56">
        <f>SUMIFS(tblActuals35415192327[Team 2 Points],tblActuals35415192327[Team 2],$CU4,tblActuals35415192327[Team 1],DM$3)+SUMIFS(tblActuals35415192327[Team 1 Points],tblActuals35415192327[Team 1],$CU4,tblActuals35415192327[Team 2],DM$3)</f>
        <v>0</v>
      </c>
      <c r="DN4" s="56">
        <f>SUMIFS(tblActuals35415192327[Team 2 Points],tblActuals35415192327[Team 2],$CU4,tblActuals35415192327[Team 1],DN$3)+SUMIFS(tblActuals35415192327[Team 1 Points],tblActuals35415192327[Team 1],$CU4,tblActuals35415192327[Team 2],DN$3)</f>
        <v>0</v>
      </c>
      <c r="DO4" s="56">
        <f>SUMIFS(tblActuals35415192327[Team 2 Points],tblActuals35415192327[Team 2],$CU4,tblActuals35415192327[Team 1],DO$3)+SUMIFS(tblActuals35415192327[Team 1 Points],tblActuals35415192327[Team 1],$CU4,tblActuals35415192327[Team 2],DO$3)</f>
        <v>0</v>
      </c>
      <c r="DP4" s="56">
        <f>SUMIFS(tblActuals35415192327[Team 2 Points],tblActuals35415192327[Team 2],$CU4,tblActuals35415192327[Team 1],DP$3)+SUMIFS(tblActuals35415192327[Team 1 Points],tblActuals35415192327[Team 1],$CU4,tblActuals35415192327[Team 2],DP$3)</f>
        <v>0</v>
      </c>
      <c r="DQ4" s="56">
        <f>SUMIFS(tblActuals35415192327[Team 2 Points],tblActuals35415192327[Team 2],$CU4,tblActuals35415192327[Team 1],DQ$3)+SUMIFS(tblActuals35415192327[Team 1 Points],tblActuals35415192327[Team 1],$CU4,tblActuals35415192327[Team 2],DQ$3)</f>
        <v>0</v>
      </c>
      <c r="DR4" s="56">
        <f>SUMIFS(tblActuals35415192327[Team 2 Points],tblActuals35415192327[Team 2],$CU4,tblActuals35415192327[Team 1],DR$3)+SUMIFS(tblActuals35415192327[Team 1 Points],tblActuals35415192327[Team 1],$CU4,tblActuals35415192327[Team 2],DR$3)</f>
        <v>0</v>
      </c>
      <c r="DS4" s="56">
        <f>SUMIFS(tblActuals35415192327[Team 2 Points],tblActuals35415192327[Team 2],$CU4,tblActuals35415192327[Team 1],DS$3)+SUMIFS(tblActuals35415192327[Team 1 Points],tblActuals35415192327[Team 1],$CU4,tblActuals35415192327[Team 2],DS$3)</f>
        <v>0</v>
      </c>
      <c r="DT4" s="57"/>
      <c r="DU4" s="57"/>
      <c r="DV4" s="57"/>
      <c r="DW4" s="57"/>
      <c r="DX4" s="57"/>
      <c r="DY4" s="57"/>
      <c r="DZ4" s="57"/>
      <c r="EA4" s="57"/>
      <c r="EB4" s="4"/>
      <c r="EC4" s="4" t="s">
        <v>27</v>
      </c>
      <c r="ED4" s="56">
        <f>SUMIFS(tblActuals35415192327[Team 2 GD],tblActuals35415192327[Team 2],$CU4,tblActuals35415192327[Team 1],ED$3)+SUMIFS(tblActuals35415192327[Team 1 GD],tblActuals35415192327[Team 1],$CU4,tblActuals35415192327[Team 2],ED$3)</f>
        <v>0</v>
      </c>
      <c r="EE4" s="56">
        <f>SUMIFS(tblActuals35415192327[Team 2 GD],tblActuals35415192327[Team 2],$CU4,tblActuals35415192327[Team 1],EE$3)+SUMIFS(tblActuals35415192327[Team 1 GD],tblActuals35415192327[Team 1],$CU4,tblActuals35415192327[Team 2],EE$3)</f>
        <v>0</v>
      </c>
      <c r="EF4" s="56">
        <f>SUMIFS(tblActuals35415192327[Team 2 GD],tblActuals35415192327[Team 2],$CU4,tblActuals35415192327[Team 1],EF$3)+SUMIFS(tblActuals35415192327[Team 1 GD],tblActuals35415192327[Team 1],$CU4,tblActuals35415192327[Team 2],EF$3)</f>
        <v>0</v>
      </c>
      <c r="EG4" s="56">
        <f>SUMIFS(tblActuals35415192327[Team 2 GD],tblActuals35415192327[Team 2],$CU4,tblActuals35415192327[Team 1],EG$3)+SUMIFS(tblActuals35415192327[Team 1 GD],tblActuals35415192327[Team 1],$CU4,tblActuals35415192327[Team 2],EG$3)</f>
        <v>0</v>
      </c>
      <c r="EH4" s="56">
        <f>SUMIFS(tblActuals35415192327[Team 2 GD],tblActuals35415192327[Team 2],$CU4,tblActuals35415192327[Team 1],EH$3)+SUMIFS(tblActuals35415192327[Team 1 GD],tblActuals35415192327[Team 1],$CU4,tblActuals35415192327[Team 2],EH$3)</f>
        <v>0</v>
      </c>
      <c r="EI4" s="56">
        <f>SUMIFS(tblActuals35415192327[Team 2 GD],tblActuals35415192327[Team 2],$CU4,tblActuals35415192327[Team 1],EI$3)+SUMIFS(tblActuals35415192327[Team 1 GD],tblActuals35415192327[Team 1],$CU4,tblActuals35415192327[Team 2],EI$3)</f>
        <v>0</v>
      </c>
      <c r="EJ4" s="56">
        <f>SUMIFS(tblActuals35415192327[Team 2 GD],tblActuals35415192327[Team 2],$CU4,tblActuals35415192327[Team 1],EJ$3)+SUMIFS(tblActuals35415192327[Team 1 GD],tblActuals35415192327[Team 1],$CU4,tblActuals35415192327[Team 2],EJ$3)</f>
        <v>0</v>
      </c>
      <c r="EK4" s="56">
        <f>SUMIFS(tblActuals35415192327[Team 2 GD],tblActuals35415192327[Team 2],$CU4,tblActuals35415192327[Team 1],EK$3)+SUMIFS(tblActuals35415192327[Team 1 GD],tblActuals35415192327[Team 1],$CU4,tblActuals35415192327[Team 2],EK$3)</f>
        <v>0</v>
      </c>
      <c r="EL4" s="56">
        <f>SUMIFS(tblActuals35415192327[Team 2 GD],tblActuals35415192327[Team 2],$CU4,tblActuals35415192327[Team 1],EL$3)+SUMIFS(tblActuals35415192327[Team 1 GD],tblActuals35415192327[Team 1],$CU4,tblActuals35415192327[Team 2],EL$3)</f>
        <v>0</v>
      </c>
      <c r="EM4" s="56">
        <f>SUMIFS(tblActuals35415192327[Team 2 GD],tblActuals35415192327[Team 2],$CU4,tblActuals35415192327[Team 1],EM$3)+SUMIFS(tblActuals35415192327[Team 1 GD],tblActuals35415192327[Team 1],$CU4,tblActuals35415192327[Team 2],EM$3)</f>
        <v>0</v>
      </c>
      <c r="EN4" s="56">
        <f>SUMIFS(tblActuals35415192327[Team 2 GD],tblActuals35415192327[Team 2],$CU4,tblActuals35415192327[Team 1],EN$3)+SUMIFS(tblActuals35415192327[Team 1 GD],tblActuals35415192327[Team 1],$CU4,tblActuals35415192327[Team 2],EN$3)</f>
        <v>0</v>
      </c>
      <c r="EO4" s="56">
        <f>SUMIFS(tblActuals35415192327[Team 2 GD],tblActuals35415192327[Team 2],$CU4,tblActuals35415192327[Team 1],EO$3)+SUMIFS(tblActuals35415192327[Team 1 GD],tblActuals35415192327[Team 1],$CU4,tblActuals35415192327[Team 2],EO$3)</f>
        <v>0</v>
      </c>
      <c r="EP4" s="56">
        <f>SUMIFS(tblActuals35415192327[Team 2 GD],tblActuals35415192327[Team 2],$CU4,tblActuals35415192327[Team 1],EP$3)+SUMIFS(tblActuals35415192327[Team 1 GD],tblActuals35415192327[Team 1],$CU4,tblActuals35415192327[Team 2],EP$3)</f>
        <v>0</v>
      </c>
      <c r="EQ4" s="56">
        <f>SUMIFS(tblActuals35415192327[Team 2 GD],tblActuals35415192327[Team 2],$CU4,tblActuals35415192327[Team 1],EQ$3)+SUMIFS(tblActuals35415192327[Team 1 GD],tblActuals35415192327[Team 1],$CU4,tblActuals35415192327[Team 2],EQ$3)</f>
        <v>0</v>
      </c>
      <c r="ER4" s="56">
        <f>SUMIFS(tblActuals35415192327[Team 2 GD],tblActuals35415192327[Team 2],$CU4,tblActuals35415192327[Team 1],ER$3)+SUMIFS(tblActuals35415192327[Team 1 GD],tblActuals35415192327[Team 1],$CU4,tblActuals35415192327[Team 2],ER$3)</f>
        <v>0</v>
      </c>
      <c r="ES4" s="56">
        <f>SUMIFS(tblActuals35415192327[Team 2 GD],tblActuals35415192327[Team 2],$CU4,tblActuals35415192327[Team 1],ES$3)+SUMIFS(tblActuals35415192327[Team 1 GD],tblActuals35415192327[Team 1],$CU4,tblActuals35415192327[Team 2],ES$3)</f>
        <v>0</v>
      </c>
      <c r="ET4" s="56">
        <f>SUMIFS(tblActuals35415192327[Team 2 GD],tblActuals35415192327[Team 2],$CU4,tblActuals35415192327[Team 1],ET$3)+SUMIFS(tblActuals35415192327[Team 1 GD],tblActuals35415192327[Team 1],$CU4,tblActuals35415192327[Team 2],ET$3)</f>
        <v>0</v>
      </c>
      <c r="EU4" s="56">
        <f>SUMIFS(tblActuals35415192327[Team 2 GD],tblActuals35415192327[Team 2],$CU4,tblActuals35415192327[Team 1],EU$3)+SUMIFS(tblActuals35415192327[Team 1 GD],tblActuals35415192327[Team 1],$CU4,tblActuals35415192327[Team 2],EU$3)</f>
        <v>0</v>
      </c>
      <c r="EV4" s="56">
        <f>SUMIFS(tblActuals35415192327[Team 2 GD],tblActuals35415192327[Team 2],$CU4,tblActuals35415192327[Team 1],EV$3)+SUMIFS(tblActuals35415192327[Team 1 GD],tblActuals35415192327[Team 1],$CU4,tblActuals35415192327[Team 2],EV$3)</f>
        <v>0</v>
      </c>
      <c r="EW4" s="56">
        <f>SUMIFS(tblActuals35415192327[Team 2 GD],tblActuals35415192327[Team 2],$CU4,tblActuals35415192327[Team 1],EW$3)+SUMIFS(tblActuals35415192327[Team 1 GD],tblActuals35415192327[Team 1],$CU4,tblActuals35415192327[Team 2],EW$3)</f>
        <v>0</v>
      </c>
      <c r="EX4" s="56">
        <f>SUMIFS(tblActuals35415192327[Team 2 GD],tblActuals35415192327[Team 2],$CU4,tblActuals35415192327[Team 1],EX$3)+SUMIFS(tblActuals35415192327[Team 1 GD],tblActuals35415192327[Team 1],$CU4,tblActuals35415192327[Team 2],EX$3)</f>
        <v>0</v>
      </c>
      <c r="EY4" s="56">
        <f>SUMIFS(tblActuals35415192327[Team 2 GD],tblActuals35415192327[Team 2],$CU4,tblActuals35415192327[Team 1],EY$3)+SUMIFS(tblActuals35415192327[Team 1 GD],tblActuals35415192327[Team 1],$CU4,tblActuals35415192327[Team 2],EY$3)</f>
        <v>0</v>
      </c>
      <c r="EZ4" s="56">
        <f>SUMIFS(tblActuals35415192327[Team 2 GD],tblActuals35415192327[Team 2],$CU4,tblActuals35415192327[Team 1],EZ$3)+SUMIFS(tblActuals35415192327[Team 1 GD],tblActuals35415192327[Team 1],$CU4,tblActuals35415192327[Team 2],EZ$3)</f>
        <v>0</v>
      </c>
      <c r="FA4" s="56">
        <f>SUMIFS(tblActuals35415192327[Team 2 GD],tblActuals35415192327[Team 2],$CU4,tblActuals35415192327[Team 1],FA$3)+SUMIFS(tblActuals35415192327[Team 1 GD],tblActuals35415192327[Team 1],$CU4,tblActuals35415192327[Team 2],FA$3)</f>
        <v>0</v>
      </c>
      <c r="FB4" s="57"/>
      <c r="FC4" s="57"/>
      <c r="FD4" s="57"/>
      <c r="FE4" s="57"/>
      <c r="FF4" s="57"/>
      <c r="FG4" s="57"/>
      <c r="FH4" s="57"/>
      <c r="FI4" s="57"/>
      <c r="FJ4" s="4"/>
      <c r="FK4" s="4" t="s">
        <v>27</v>
      </c>
      <c r="FL4" s="56">
        <f>SUMIFS(tblActuals35415192327[Team 2 Goals],tblActuals35415192327[Team 2],$CU4,tblActuals35415192327[Team 1],FL$3)+SUMIFS(tblActuals35415192327[Team 1 Goals],tblActuals35415192327[Team 1],$CU4,tblActuals35415192327[Team 2],FL$3)</f>
        <v>0</v>
      </c>
      <c r="FM4" s="56">
        <f>SUMIFS(tblActuals35415192327[Team 2 Goals],tblActuals35415192327[Team 2],$CU4,tblActuals35415192327[Team 1],FM$3)+SUMIFS(tblActuals35415192327[Team 1 Goals],tblActuals35415192327[Team 1],$CU4,tblActuals35415192327[Team 2],FM$3)</f>
        <v>0</v>
      </c>
      <c r="FN4" s="56">
        <f>SUMIFS(tblActuals35415192327[Team 2 Goals],tblActuals35415192327[Team 2],$CU4,tblActuals35415192327[Team 1],FN$3)+SUMIFS(tblActuals35415192327[Team 1 Goals],tblActuals35415192327[Team 1],$CU4,tblActuals35415192327[Team 2],FN$3)</f>
        <v>0</v>
      </c>
      <c r="FO4" s="56">
        <f>SUMIFS(tblActuals35415192327[Team 2 Goals],tblActuals35415192327[Team 2],$CU4,tblActuals35415192327[Team 1],FO$3)+SUMIFS(tblActuals35415192327[Team 1 Goals],tblActuals35415192327[Team 1],$CU4,tblActuals35415192327[Team 2],FO$3)</f>
        <v>0</v>
      </c>
      <c r="FP4" s="56">
        <f>SUMIFS(tblActuals35415192327[Team 2 Goals],tblActuals35415192327[Team 2],$CU4,tblActuals35415192327[Team 1],FP$3)+SUMIFS(tblActuals35415192327[Team 1 Goals],tblActuals35415192327[Team 1],$CU4,tblActuals35415192327[Team 2],FP$3)</f>
        <v>0</v>
      </c>
      <c r="FQ4" s="56">
        <f>SUMIFS(tblActuals35415192327[Team 2 Goals],tblActuals35415192327[Team 2],$CU4,tblActuals35415192327[Team 1],FQ$3)+SUMIFS(tblActuals35415192327[Team 1 Goals],tblActuals35415192327[Team 1],$CU4,tblActuals35415192327[Team 2],FQ$3)</f>
        <v>0</v>
      </c>
      <c r="FR4" s="56">
        <f>SUMIFS(tblActuals35415192327[Team 2 Goals],tblActuals35415192327[Team 2],$CU4,tblActuals35415192327[Team 1],FR$3)+SUMIFS(tblActuals35415192327[Team 1 Goals],tblActuals35415192327[Team 1],$CU4,tblActuals35415192327[Team 2],FR$3)</f>
        <v>0</v>
      </c>
      <c r="FS4" s="56">
        <f>SUMIFS(tblActuals35415192327[Team 2 Goals],tblActuals35415192327[Team 2],$CU4,tblActuals35415192327[Team 1],FS$3)+SUMIFS(tblActuals35415192327[Team 1 Goals],tblActuals35415192327[Team 1],$CU4,tblActuals35415192327[Team 2],FS$3)</f>
        <v>0</v>
      </c>
      <c r="FT4" s="56">
        <f>SUMIFS(tblActuals35415192327[Team 2 Goals],tblActuals35415192327[Team 2],$CU4,tblActuals35415192327[Team 1],FT$3)+SUMIFS(tblActuals35415192327[Team 1 Goals],tblActuals35415192327[Team 1],$CU4,tblActuals35415192327[Team 2],FT$3)</f>
        <v>0</v>
      </c>
      <c r="FU4" s="56">
        <f>SUMIFS(tblActuals35415192327[Team 2 Goals],tblActuals35415192327[Team 2],$CU4,tblActuals35415192327[Team 1],FU$3)+SUMIFS(tblActuals35415192327[Team 1 Goals],tblActuals35415192327[Team 1],$CU4,tblActuals35415192327[Team 2],FU$3)</f>
        <v>0</v>
      </c>
      <c r="FV4" s="56">
        <f>SUMIFS(tblActuals35415192327[Team 2 Goals],tblActuals35415192327[Team 2],$CU4,tblActuals35415192327[Team 1],FV$3)+SUMIFS(tblActuals35415192327[Team 1 Goals],tblActuals35415192327[Team 1],$CU4,tblActuals35415192327[Team 2],FV$3)</f>
        <v>0</v>
      </c>
      <c r="FW4" s="56">
        <f>SUMIFS(tblActuals35415192327[Team 2 Goals],tblActuals35415192327[Team 2],$CU4,tblActuals35415192327[Team 1],FW$3)+SUMIFS(tblActuals35415192327[Team 1 Goals],tblActuals35415192327[Team 1],$CU4,tblActuals35415192327[Team 2],FW$3)</f>
        <v>0</v>
      </c>
      <c r="FX4" s="56">
        <f>SUMIFS(tblActuals35415192327[Team 2 Goals],tblActuals35415192327[Team 2],$CU4,tblActuals35415192327[Team 1],FX$3)+SUMIFS(tblActuals35415192327[Team 1 Goals],tblActuals35415192327[Team 1],$CU4,tblActuals35415192327[Team 2],FX$3)</f>
        <v>0</v>
      </c>
      <c r="FY4" s="56">
        <f>SUMIFS(tblActuals35415192327[Team 2 Goals],tblActuals35415192327[Team 2],$CU4,tblActuals35415192327[Team 1],FY$3)+SUMIFS(tblActuals35415192327[Team 1 Goals],tblActuals35415192327[Team 1],$CU4,tblActuals35415192327[Team 2],FY$3)</f>
        <v>0</v>
      </c>
      <c r="FZ4" s="56">
        <f>SUMIFS(tblActuals35415192327[Team 2 Goals],tblActuals35415192327[Team 2],$CU4,tblActuals35415192327[Team 1],FZ$3)+SUMIFS(tblActuals35415192327[Team 1 Goals],tblActuals35415192327[Team 1],$CU4,tblActuals35415192327[Team 2],FZ$3)</f>
        <v>0</v>
      </c>
      <c r="GA4" s="56">
        <f>SUMIFS(tblActuals35415192327[Team 2 Goals],tblActuals35415192327[Team 2],$CU4,tblActuals35415192327[Team 1],GA$3)+SUMIFS(tblActuals35415192327[Team 1 Goals],tblActuals35415192327[Team 1],$CU4,tblActuals35415192327[Team 2],GA$3)</f>
        <v>0</v>
      </c>
      <c r="GB4" s="56">
        <f>SUMIFS(tblActuals35415192327[Team 2 Goals],tblActuals35415192327[Team 2],$CU4,tblActuals35415192327[Team 1],GB$3)+SUMIFS(tblActuals35415192327[Team 1 Goals],tblActuals35415192327[Team 1],$CU4,tblActuals35415192327[Team 2],GB$3)</f>
        <v>0</v>
      </c>
      <c r="GC4" s="56">
        <f>SUMIFS(tblActuals35415192327[Team 2 Goals],tblActuals35415192327[Team 2],$CU4,tblActuals35415192327[Team 1],GC$3)+SUMIFS(tblActuals35415192327[Team 1 Goals],tblActuals35415192327[Team 1],$CU4,tblActuals35415192327[Team 2],GC$3)</f>
        <v>0</v>
      </c>
      <c r="GD4" s="56">
        <f>SUMIFS(tblActuals35415192327[Team 2 Goals],tblActuals35415192327[Team 2],$CU4,tblActuals35415192327[Team 1],GD$3)+SUMIFS(tblActuals35415192327[Team 1 Goals],tblActuals35415192327[Team 1],$CU4,tblActuals35415192327[Team 2],GD$3)</f>
        <v>0</v>
      </c>
      <c r="GE4" s="56">
        <f>SUMIFS(tblActuals35415192327[Team 2 Goals],tblActuals35415192327[Team 2],$CU4,tblActuals35415192327[Team 1],GE$3)+SUMIFS(tblActuals35415192327[Team 1 Goals],tblActuals35415192327[Team 1],$CU4,tblActuals35415192327[Team 2],GE$3)</f>
        <v>0</v>
      </c>
      <c r="GF4" s="56">
        <f>SUMIFS(tblActuals35415192327[Team 2 Goals],tblActuals35415192327[Team 2],$CU4,tblActuals35415192327[Team 1],GF$3)+SUMIFS(tblActuals35415192327[Team 1 Goals],tblActuals35415192327[Team 1],$CU4,tblActuals35415192327[Team 2],GF$3)</f>
        <v>0</v>
      </c>
      <c r="GG4" s="56">
        <f>SUMIFS(tblActuals35415192327[Team 2 Goals],tblActuals35415192327[Team 2],$CU4,tblActuals35415192327[Team 1],GG$3)+SUMIFS(tblActuals35415192327[Team 1 Goals],tblActuals35415192327[Team 1],$CU4,tblActuals35415192327[Team 2],GG$3)</f>
        <v>0</v>
      </c>
      <c r="GH4" s="56">
        <f>SUMIFS(tblActuals35415192327[Team 2 Goals],tblActuals35415192327[Team 2],$CU4,tblActuals35415192327[Team 1],GH$3)+SUMIFS(tblActuals35415192327[Team 1 Goals],tblActuals35415192327[Team 1],$CU4,tblActuals35415192327[Team 2],GH$3)</f>
        <v>0</v>
      </c>
      <c r="GI4" s="56">
        <f>SUMIFS(tblActuals35415192327[Team 2 Goals],tblActuals35415192327[Team 2],$CU4,tblActuals35415192327[Team 1],GI$3)+SUMIFS(tblActuals35415192327[Team 1 Goals],tblActuals35415192327[Team 1],$CU4,tblActuals35415192327[Team 2],GI$3)</f>
        <v>0</v>
      </c>
      <c r="GJ4" s="57"/>
      <c r="GK4" s="57"/>
      <c r="GL4" s="37"/>
      <c r="GM4" s="37"/>
      <c r="GN4" s="37"/>
      <c r="GO4" s="37"/>
      <c r="GP4" s="37"/>
      <c r="GQ4" s="37"/>
      <c r="GR4" s="75"/>
      <c r="GS4" s="156"/>
      <c r="GT4" s="156"/>
      <c r="GU4" s="75"/>
      <c r="GV4" s="22"/>
      <c r="GW4" s="75"/>
      <c r="GX4" s="75"/>
      <c r="GY4" s="75"/>
      <c r="GZ4" s="75"/>
      <c r="HB4" s="4" t="s">
        <v>0</v>
      </c>
      <c r="HC4" s="178" t="s">
        <v>143</v>
      </c>
      <c r="HD4" s="178"/>
      <c r="HE4" s="178"/>
      <c r="HF4" s="178"/>
      <c r="HG4" s="178"/>
      <c r="HH4" s="178"/>
      <c r="HI4" s="178"/>
      <c r="HJ4" s="43" t="s">
        <v>145</v>
      </c>
      <c r="HK4" s="43" t="s">
        <v>145</v>
      </c>
      <c r="HL4" s="43" t="s">
        <v>145</v>
      </c>
      <c r="HM4" s="43" t="s">
        <v>145</v>
      </c>
    </row>
    <row r="5" spans="1:221" s="11" customFormat="1" ht="30" customHeight="1" thickBot="1" x14ac:dyDescent="0.25">
      <c r="A5" s="28" t="s">
        <v>72</v>
      </c>
      <c r="B5" s="122">
        <v>2</v>
      </c>
      <c r="C5" s="122" t="s">
        <v>1</v>
      </c>
      <c r="D5" s="123">
        <v>45458</v>
      </c>
      <c r="E5" s="122" t="s">
        <v>79</v>
      </c>
      <c r="F5" s="124">
        <v>0.625</v>
      </c>
      <c r="G5" s="125">
        <f t="shared" ref="G5:G51" si="11">(D5+F5)+IF($A$7&gt;=0,TIMEVALUE($A$7&amp;":00"),-TIMEVALUE(ABS($A$7)&amp;":00"))</f>
        <v>45458.375</v>
      </c>
      <c r="H5" s="122" t="s">
        <v>90</v>
      </c>
      <c r="I5" s="126"/>
      <c r="J5" s="118"/>
      <c r="K5" s="118"/>
      <c r="L5" s="174">
        <f>IF(I5="",0,IFERROR(IF(SCORING.RULES!$C$8="No",1,((VLOOKUP($B5,ACTUALS!$B$4:$L$100,7,FALSE)=$H5)+(VLOOKUP($B5,ACTUALS!$B$4:$L$100,7,FALSE)=S5)))*(M5+N5+O5+P5+Q5),0))+$R5</f>
        <v>0</v>
      </c>
      <c r="M5" s="168">
        <f>IFERROR(IF($B5="","",IF(U5=INDEX(ACTUALS!$AA$4:$AA$100,MATCH($B5,ACTUALS!$B$4:$B$100,0),1),CorrectScore,0)),0)</f>
        <v>0</v>
      </c>
      <c r="N5" s="157" t="str">
        <f>IFERROR(IF(I5="","",IF(INDEX(ACTUALS!$AB$4:$AB$100,MATCH($B5,ACTUALS!$B$4:$B$100,0),1)=(AB5+AC5+AH5+AI5),CorrectNumberofGoals,0)),0)</f>
        <v/>
      </c>
      <c r="O5" s="157"/>
      <c r="P5" s="157">
        <f>IFERROR(IF(B5="","",IF(INDEX(ACTUALS!$L$4:$L$100,MATCH($B5,ACTUALS!$B$4:$B$100,0),1)=W5,CorrectResult,0)),0)</f>
        <v>3</v>
      </c>
      <c r="Q5" s="157"/>
      <c r="R5" s="157"/>
      <c r="S5" s="157" t="str">
        <f t="shared" si="0"/>
        <v/>
      </c>
      <c r="T5" s="157"/>
      <c r="U5" s="157" t="str">
        <f t="shared" si="1"/>
        <v/>
      </c>
      <c r="V5" s="157" t="str">
        <f t="shared" si="2"/>
        <v/>
      </c>
      <c r="W5" s="119" t="str">
        <f>IF(tblActuals35415192327[[#This Row],[SCORE]]="","",IF(AB5=AC5,"Draw",IF(AB5&gt;AC5,X5,Y5)))</f>
        <v/>
      </c>
      <c r="X5" s="120" t="str">
        <f>IF(tblActuals35415192327[[#This Row],[TEAMS]]="","",LEFT(H5,FIND(" -",H5,1)-1))</f>
        <v>Hungary</v>
      </c>
      <c r="Y5" s="120" t="str">
        <f>IF(tblActuals35415192327[[#This Row],[TEAMS]]="","",MID(H5,FIND("-",H5,1)+2,LEN(H5)-FIND("-",H5,1)+2))</f>
        <v>Switzerland</v>
      </c>
      <c r="Z5" s="120" t="str">
        <f>IF(tblActuals35415192327[[#This Row],[Team 1 Goals]]&gt;tblActuals35415192327[[#This Row],[Team 2 Goals]],tblActuals35415192327[[#This Row],[Team 1]],IF(tblActuals35415192327[[#This Row],[Team 2 Goals]]&gt;tblActuals35415192327[[#This Row],[Team 1 Goals]],tblActuals35415192327[[#This Row],[Team 2]],""))</f>
        <v/>
      </c>
      <c r="AA5" s="120" t="str">
        <f>IF(tblActuals35415192327[[#This Row],[Winner]]=tblActuals35415192327[[#This Row],[Team 1]],tblActuals35415192327[[#This Row],[Team 2]],IF(tblActuals35415192327[[#This Row],[Winner]]=tblActuals35415192327[[#This Row],[Team 2]],tblActuals35415192327[[#This Row],[Team 1]],""))</f>
        <v/>
      </c>
      <c r="AB5" s="120" t="str">
        <f>IF(tblActuals35415192327[[#This Row],[SCORE]]="","",LEFT(I5,FIND(":",I5,1)-1)*1)</f>
        <v/>
      </c>
      <c r="AC5" s="120" t="str">
        <f>IF(tblActuals35415192327[[#This Row],[SCORE]]="","",MID(I5,FIND(":",I5,1)+1,LEN(I5)-FIND(":",I5,1)+1)*1)</f>
        <v/>
      </c>
      <c r="AD5" s="120" t="str">
        <f>IF(OR(tblActuals35415192327[[#This Row],[Team 1 Goals]]="",tblActuals35415192327[[#This Row],[Team 2 Goals]]=""),"",tblActuals35415192327[[#This Row],[Team 1 Goals]]-tblActuals35415192327[[#This Row],[Team 2 Goals]])</f>
        <v/>
      </c>
      <c r="AE5" s="120" t="str">
        <f>IF(OR(tblActuals35415192327[[#This Row],[Team 1 Goals]]="",tblActuals35415192327[[#This Row],[Team 2 Goals]]=""),"",tblActuals35415192327[[#This Row],[Team 2 Goals]]-tblActuals35415192327[[#This Row],[Team 1 Goals]])</f>
        <v/>
      </c>
      <c r="AF5" s="120" t="str">
        <f>IF(tblActuals35415192327[[#This Row],[SCORE]]="","",IF(tblActuals35415192327[[#This Row],[WINNER / RESULT]]="Draw",1,IF(tblActuals35415192327[[#This Row],[WINNER / RESULT]]=tblActuals35415192327[[#This Row],[Team 1]],3,0)))</f>
        <v/>
      </c>
      <c r="AG5" s="120" t="str">
        <f>IF(tblActuals35415192327[[#This Row],[SCORE]]="","",IF(tblActuals35415192327[[#This Row],[WINNER / RESULT]]="Draw",1,IF(tblActuals35415192327[[#This Row],[WINNER / RESULT]]=tblActuals35415192327[[#This Row],[Team 2]],3,0)))</f>
        <v/>
      </c>
      <c r="AH5" s="121"/>
      <c r="AI5" s="121"/>
      <c r="AJ5" s="121"/>
      <c r="AK5" s="121"/>
      <c r="AL5" s="120" t="e">
        <f>tblActuals35415192327[[#This Row],[Team 1 Goals]]+tblActuals35415192327[[#This Row],[Team 1 ET Goals]]&amp;":"&amp;tblActuals35415192327[[#This Row],[Team 2 Goals]]+tblActuals35415192327[[#This Row],[Team 2 ET Goals]]</f>
        <v>#VALUE!</v>
      </c>
      <c r="AM5" s="120" t="e">
        <f>+tblActuals35415192327[[#This Row],[Team 1 Goals]]+tblActuals35415192327[[#This Row],[Team 2 Goals]]</f>
        <v>#VALUE!</v>
      </c>
      <c r="AN5" s="161">
        <f t="shared" si="3"/>
        <v>45458</v>
      </c>
      <c r="AP5" s="38" t="s">
        <v>80</v>
      </c>
      <c r="AT5" s="76"/>
      <c r="AU5" s="179" t="s">
        <v>51</v>
      </c>
      <c r="AV5" s="180"/>
      <c r="AW5" s="133" t="s">
        <v>46</v>
      </c>
      <c r="AX5" s="134" t="s">
        <v>57</v>
      </c>
      <c r="AY5" s="135" t="s">
        <v>11</v>
      </c>
      <c r="AZ5" s="75"/>
      <c r="BA5" s="42"/>
      <c r="BB5" s="4"/>
      <c r="BC5" s="4" t="s">
        <v>1</v>
      </c>
      <c r="BD5" s="4" t="s">
        <v>125</v>
      </c>
      <c r="BE5" s="4">
        <f>COUNTIF(tblActuals35415192327[Winner],BD5)</f>
        <v>0</v>
      </c>
      <c r="BF5" s="4">
        <f>COUNTIFS(tblActuals35415192327[Team 2],BD5,tblActuals35415192327[WINNER / RESULT],"Draw")+COUNTIFS(tblActuals35415192327[Team 1],BD5,tblActuals35415192327[WINNER / RESULT],"Draw")</f>
        <v>0</v>
      </c>
      <c r="BG5" s="4">
        <f>COUNTIF(tblActuals35415192327[Loser],BD5)</f>
        <v>0</v>
      </c>
      <c r="BH5" s="4">
        <f>BF5+(3*BE5)</f>
        <v>0</v>
      </c>
      <c r="BI5" s="4">
        <f>SUMIFS(tblActuals35415192327[Team 1 Goals],tblActuals35415192327[Team 1],BD5)+SUMIFS(tblActuals35415192327[Team 2 Goals],tblActuals35415192327[Team 2],BD5)</f>
        <v>0</v>
      </c>
      <c r="BJ5" s="4">
        <f>SUMIFS(tblActuals35415192327[Team 2 Goals],tblActuals35415192327[Team 1],BD5)+SUMIFS(tblActuals35415192327[Team 1 Goals],tblActuals35415192327[Team 2],BD5)</f>
        <v>0</v>
      </c>
      <c r="BK5" s="4">
        <f>BI5-BJ5</f>
        <v>0</v>
      </c>
      <c r="BL5" s="4">
        <f ca="1">RANK(BY5,$BY$4:$BY$7,1)</f>
        <v>2</v>
      </c>
      <c r="BM5" s="4" t="str">
        <f t="shared" si="4"/>
        <v/>
      </c>
      <c r="BN5" s="4" t="str">
        <f ca="1">IF(BM5="",BL5&amp;BC5,BM5&amp;BC5)</f>
        <v>2A</v>
      </c>
      <c r="BO5" s="4">
        <f>RANK(BH5,$BH$4:$BH$7,0)</f>
        <v>1</v>
      </c>
      <c r="BP5" s="4" cm="1">
        <f t="array" aca="1" ref="BP5" ca="1">SUMPRODUCT((OFFSET($CV$3:$EA$3,MATCH($BD5,$CU$4:$CU$35,0),0))*((IF($BO6=$BO5,$CV$3:$EA$3=$BD6,0))+(IF($BO7=$BO5,$CV$3:$EA$3=$BD7,0))+(IF($BO4=$BO5,$CV$3:$EA$3=$BD4,0))))</f>
        <v>0</v>
      </c>
      <c r="BQ5" s="4" cm="1">
        <f t="array" aca="1" ref="BQ5" ca="1">SUMPRODUCT((OFFSET($ED$3:$FI$3,MATCH($BD5,$EC$4:$EC$35,0),0))*((IF($BO6=$BO5,$ED$3:$FI$3=$BD6,0))+(IF($BO7=$BO5,$ED$3:$FI$3=$BD7,0))+(IF($BO4=$BO5,$ED$3:$FI$3=$BD4,0))))</f>
        <v>0</v>
      </c>
      <c r="BR5" s="4" cm="1">
        <f t="array" aca="1" ref="BR5" ca="1">SUMPRODUCT((OFFSET($FL$3:$GQ$3,MATCH($BD5,$FK$4:$FK$35,0),0))*((IF($BO6=$BO5,$FL$3:$GQ$3=$BD6,0))+(IF($BO7=$BO5,$FL$3:$GQ$3=$BD7,0))+(IF($BO4=$BO5,$FL$3:$GQ$3=$BD4,0))))</f>
        <v>0</v>
      </c>
      <c r="BS5" s="4" cm="1">
        <f t="array" aca="1" ref="BS5" ca="1">SUMPRODUCT((OFFSET($CV$3:$EA$3,MATCH($BD5,$CU$4:$CU$35,0),0))*((IF($BO6&lt;&gt;$BO5,$CV$3:$EA$3=$BD6,0))+(IF($BO7&lt;&gt;$BO5,$CV$3:$EA$3=$BD7,0))+(IF($BO4&lt;&gt;$BO5,$CV$3:$EA$3=$BD4,0))))</f>
        <v>0</v>
      </c>
      <c r="BT5" s="4" cm="1">
        <f t="array" aca="1" ref="BT5" ca="1">SUMPRODUCT((OFFSET($ED$3:$FI$3,MATCH($BD5,$EC$4:$EC$35,0),0))*((IF($BO6&lt;&gt;$BO5,$ED$3:$FI$3=$BD6,0))+(IF($BO7&lt;&gt;$BO5,$ED$3:$FI$3=$BD7,0))+(IF($BO4&lt;&gt;$BO5,$ED$3:$FI$3=$BD4,0))))</f>
        <v>0</v>
      </c>
      <c r="BU5" s="4" cm="1">
        <f t="array" aca="1" ref="BU5" ca="1">SUMPRODUCT((OFFSET($FL$3:$GQ$3,MATCH($BD5,$FK$4:$FK$35,0),0))*((IF($BO6&lt;&gt;$BO5,$FL$3:$GQ$3=$BD6,0))+(IF($BO7&lt;&gt;$BO5,$FL$3:$GQ$3=$BD7,0))+(IF($BO4&lt;&gt;$BO5,$FL$3:$GQ$3=$BD4,0))))</f>
        <v>0</v>
      </c>
      <c r="BV5" s="4">
        <f>BK5</f>
        <v>0</v>
      </c>
      <c r="BW5" s="4">
        <f>BI5</f>
        <v>0</v>
      </c>
      <c r="BX5" s="4">
        <f ca="1">(BP5/10)+(BQ5/100)+(BR5/1000)+(BT5/10000)+(BU5/100000)+(BV5/1000000)+(BW5/10000000)+(ROW(BS6)/100000000)</f>
        <v>5.9999999999999995E-8</v>
      </c>
      <c r="BY5" s="4">
        <f ca="1">+BO5-BX5</f>
        <v>0.99999994000000003</v>
      </c>
      <c r="BZ5" s="4"/>
      <c r="CA5" s="4" t="s">
        <v>5</v>
      </c>
      <c r="CB5" s="4" t="str">
        <f ca="1">AV14</f>
        <v>Italy</v>
      </c>
      <c r="CC5" s="4">
        <f t="shared" ca="1" si="5"/>
        <v>0</v>
      </c>
      <c r="CD5" s="4">
        <f t="shared" ca="1" si="6"/>
        <v>0</v>
      </c>
      <c r="CE5" s="4">
        <f t="shared" ca="1" si="7"/>
        <v>0</v>
      </c>
      <c r="CF5" s="4">
        <f t="shared" ca="1" si="8"/>
        <v>0</v>
      </c>
      <c r="CG5" s="4">
        <f t="shared" ca="1" si="9"/>
        <v>4.9999999999999998E-7</v>
      </c>
      <c r="CH5" s="4">
        <f t="shared" ca="1" si="10"/>
        <v>5</v>
      </c>
      <c r="CI5" s="4"/>
      <c r="CJ5" s="4"/>
      <c r="CK5" s="4"/>
      <c r="CL5" s="4"/>
      <c r="CM5" s="4"/>
      <c r="CN5" s="4"/>
      <c r="CO5" s="4"/>
      <c r="CP5" s="4"/>
      <c r="CQ5" s="4"/>
      <c r="CR5" s="4"/>
      <c r="CU5" s="4" t="s">
        <v>124</v>
      </c>
      <c r="CV5" s="56">
        <f>SUMIFS(tblActuals35415192327[Team 2 Points],tblActuals35415192327[Team 2],$CU5,tblActuals35415192327[Team 1],CV$3)+SUMIFS(tblActuals35415192327[Team 1 Points],tblActuals35415192327[Team 1],$CU5,tblActuals35415192327[Team 2],CV$3)</f>
        <v>0</v>
      </c>
      <c r="CW5" s="56">
        <f>SUMIFS(tblActuals35415192327[Team 2 Points],tblActuals35415192327[Team 2],$CU5,tblActuals35415192327[Team 1],CW$3)+SUMIFS(tblActuals35415192327[Team 1 Points],tblActuals35415192327[Team 1],$CU5,tblActuals35415192327[Team 2],CW$3)</f>
        <v>0</v>
      </c>
      <c r="CX5" s="56">
        <f>SUMIFS(tblActuals35415192327[Team 2 Points],tblActuals35415192327[Team 2],$CU5,tblActuals35415192327[Team 1],CX$3)+SUMIFS(tblActuals35415192327[Team 1 Points],tblActuals35415192327[Team 1],$CU5,tblActuals35415192327[Team 2],CX$3)</f>
        <v>0</v>
      </c>
      <c r="CY5" s="56">
        <f>SUMIFS(tblActuals35415192327[Team 2 Points],tblActuals35415192327[Team 2],$CU5,tblActuals35415192327[Team 1],CY$3)+SUMIFS(tblActuals35415192327[Team 1 Points],tblActuals35415192327[Team 1],$CU5,tblActuals35415192327[Team 2],CY$3)</f>
        <v>0</v>
      </c>
      <c r="CZ5" s="56">
        <f>SUMIFS(tblActuals35415192327[Team 2 Points],tblActuals35415192327[Team 2],$CU5,tblActuals35415192327[Team 1],CZ$3)+SUMIFS(tblActuals35415192327[Team 1 Points],tblActuals35415192327[Team 1],$CU5,tblActuals35415192327[Team 2],CZ$3)</f>
        <v>0</v>
      </c>
      <c r="DA5" s="56">
        <f>SUMIFS(tblActuals35415192327[Team 2 Points],tblActuals35415192327[Team 2],$CU5,tblActuals35415192327[Team 1],DA$3)+SUMIFS(tblActuals35415192327[Team 1 Points],tblActuals35415192327[Team 1],$CU5,tblActuals35415192327[Team 2],DA$3)</f>
        <v>0</v>
      </c>
      <c r="DB5" s="56">
        <f>SUMIFS(tblActuals35415192327[Team 2 Points],tblActuals35415192327[Team 2],$CU5,tblActuals35415192327[Team 1],DB$3)+SUMIFS(tblActuals35415192327[Team 1 Points],tblActuals35415192327[Team 1],$CU5,tblActuals35415192327[Team 2],DB$3)</f>
        <v>0</v>
      </c>
      <c r="DC5" s="56">
        <f>SUMIFS(tblActuals35415192327[Team 2 Points],tblActuals35415192327[Team 2],$CU5,tblActuals35415192327[Team 1],DC$3)+SUMIFS(tblActuals35415192327[Team 1 Points],tblActuals35415192327[Team 1],$CU5,tblActuals35415192327[Team 2],DC$3)</f>
        <v>0</v>
      </c>
      <c r="DD5" s="56">
        <f>SUMIFS(tblActuals35415192327[Team 2 Points],tblActuals35415192327[Team 2],$CU5,tblActuals35415192327[Team 1],DD$3)+SUMIFS(tblActuals35415192327[Team 1 Points],tblActuals35415192327[Team 1],$CU5,tblActuals35415192327[Team 2],DD$3)</f>
        <v>0</v>
      </c>
      <c r="DE5" s="56">
        <f>SUMIFS(tblActuals35415192327[Team 2 Points],tblActuals35415192327[Team 2],$CU5,tblActuals35415192327[Team 1],DE$3)+SUMIFS(tblActuals35415192327[Team 1 Points],tblActuals35415192327[Team 1],$CU5,tblActuals35415192327[Team 2],DE$3)</f>
        <v>0</v>
      </c>
      <c r="DF5" s="56">
        <f>SUMIFS(tblActuals35415192327[Team 2 Points],tblActuals35415192327[Team 2],$CU5,tblActuals35415192327[Team 1],DF$3)+SUMIFS(tblActuals35415192327[Team 1 Points],tblActuals35415192327[Team 1],$CU5,tblActuals35415192327[Team 2],DF$3)</f>
        <v>0</v>
      </c>
      <c r="DG5" s="56">
        <f>SUMIFS(tblActuals35415192327[Team 2 Points],tblActuals35415192327[Team 2],$CU5,tblActuals35415192327[Team 1],DG$3)+SUMIFS(tblActuals35415192327[Team 1 Points],tblActuals35415192327[Team 1],$CU5,tblActuals35415192327[Team 2],DG$3)</f>
        <v>0</v>
      </c>
      <c r="DH5" s="56">
        <f>SUMIFS(tblActuals35415192327[Team 2 Points],tblActuals35415192327[Team 2],$CU5,tblActuals35415192327[Team 1],DH$3)+SUMIFS(tblActuals35415192327[Team 1 Points],tblActuals35415192327[Team 1],$CU5,tblActuals35415192327[Team 2],DH$3)</f>
        <v>0</v>
      </c>
      <c r="DI5" s="56">
        <f>SUMIFS(tblActuals35415192327[Team 2 Points],tblActuals35415192327[Team 2],$CU5,tblActuals35415192327[Team 1],DI$3)+SUMIFS(tblActuals35415192327[Team 1 Points],tblActuals35415192327[Team 1],$CU5,tblActuals35415192327[Team 2],DI$3)</f>
        <v>0</v>
      </c>
      <c r="DJ5" s="56">
        <f>SUMIFS(tblActuals35415192327[Team 2 Points],tblActuals35415192327[Team 2],$CU5,tblActuals35415192327[Team 1],DJ$3)+SUMIFS(tblActuals35415192327[Team 1 Points],tblActuals35415192327[Team 1],$CU5,tblActuals35415192327[Team 2],DJ$3)</f>
        <v>0</v>
      </c>
      <c r="DK5" s="56">
        <f>SUMIFS(tblActuals35415192327[Team 2 Points],tblActuals35415192327[Team 2],$CU5,tblActuals35415192327[Team 1],DK$3)+SUMIFS(tblActuals35415192327[Team 1 Points],tblActuals35415192327[Team 1],$CU5,tblActuals35415192327[Team 2],DK$3)</f>
        <v>0</v>
      </c>
      <c r="DL5" s="56">
        <f>SUMIFS(tblActuals35415192327[Team 2 Points],tblActuals35415192327[Team 2],$CU5,tblActuals35415192327[Team 1],DL$3)+SUMIFS(tblActuals35415192327[Team 1 Points],tblActuals35415192327[Team 1],$CU5,tblActuals35415192327[Team 2],DL$3)</f>
        <v>0</v>
      </c>
      <c r="DM5" s="56">
        <f>SUMIFS(tblActuals35415192327[Team 2 Points],tblActuals35415192327[Team 2],$CU5,tblActuals35415192327[Team 1],DM$3)+SUMIFS(tblActuals35415192327[Team 1 Points],tblActuals35415192327[Team 1],$CU5,tblActuals35415192327[Team 2],DM$3)</f>
        <v>0</v>
      </c>
      <c r="DN5" s="56">
        <f>SUMIFS(tblActuals35415192327[Team 2 Points],tblActuals35415192327[Team 2],$CU5,tblActuals35415192327[Team 1],DN$3)+SUMIFS(tblActuals35415192327[Team 1 Points],tblActuals35415192327[Team 1],$CU5,tblActuals35415192327[Team 2],DN$3)</f>
        <v>0</v>
      </c>
      <c r="DO5" s="56">
        <f>SUMIFS(tblActuals35415192327[Team 2 Points],tblActuals35415192327[Team 2],$CU5,tblActuals35415192327[Team 1],DO$3)+SUMIFS(tblActuals35415192327[Team 1 Points],tblActuals35415192327[Team 1],$CU5,tblActuals35415192327[Team 2],DO$3)</f>
        <v>0</v>
      </c>
      <c r="DP5" s="56">
        <f>SUMIFS(tblActuals35415192327[Team 2 Points],tblActuals35415192327[Team 2],$CU5,tblActuals35415192327[Team 1],DP$3)+SUMIFS(tblActuals35415192327[Team 1 Points],tblActuals35415192327[Team 1],$CU5,tblActuals35415192327[Team 2],DP$3)</f>
        <v>0</v>
      </c>
      <c r="DQ5" s="56">
        <f>SUMIFS(tblActuals35415192327[Team 2 Points],tblActuals35415192327[Team 2],$CU5,tblActuals35415192327[Team 1],DQ$3)+SUMIFS(tblActuals35415192327[Team 1 Points],tblActuals35415192327[Team 1],$CU5,tblActuals35415192327[Team 2],DQ$3)</f>
        <v>0</v>
      </c>
      <c r="DR5" s="56">
        <f>SUMIFS(tblActuals35415192327[Team 2 Points],tblActuals35415192327[Team 2],$CU5,tblActuals35415192327[Team 1],DR$3)+SUMIFS(tblActuals35415192327[Team 1 Points],tblActuals35415192327[Team 1],$CU5,tblActuals35415192327[Team 2],DR$3)</f>
        <v>0</v>
      </c>
      <c r="DS5" s="56">
        <f>SUMIFS(tblActuals35415192327[Team 2 Points],tblActuals35415192327[Team 2],$CU5,tblActuals35415192327[Team 1],DS$3)+SUMIFS(tblActuals35415192327[Team 1 Points],tblActuals35415192327[Team 1],$CU5,tblActuals35415192327[Team 2],DS$3)</f>
        <v>0</v>
      </c>
      <c r="DT5" s="57"/>
      <c r="DU5" s="57"/>
      <c r="DV5" s="57"/>
      <c r="DW5" s="57"/>
      <c r="DX5" s="57"/>
      <c r="DY5" s="57"/>
      <c r="DZ5" s="57"/>
      <c r="EA5" s="57"/>
      <c r="EB5" s="4"/>
      <c r="EC5" s="4" t="s">
        <v>124</v>
      </c>
      <c r="ED5" s="56">
        <f>SUMIFS(tblActuals35415192327[Team 2 GD],tblActuals35415192327[Team 2],$CU5,tblActuals35415192327[Team 1],ED$3)+SUMIFS(tblActuals35415192327[Team 1 GD],tblActuals35415192327[Team 1],$CU5,tblActuals35415192327[Team 2],ED$3)</f>
        <v>0</v>
      </c>
      <c r="EE5" s="56">
        <f>SUMIFS(tblActuals35415192327[Team 2 GD],tblActuals35415192327[Team 2],$CU5,tblActuals35415192327[Team 1],EE$3)+SUMIFS(tblActuals35415192327[Team 1 GD],tblActuals35415192327[Team 1],$CU5,tblActuals35415192327[Team 2],EE$3)</f>
        <v>0</v>
      </c>
      <c r="EF5" s="56">
        <f>SUMIFS(tblActuals35415192327[Team 2 GD],tblActuals35415192327[Team 2],$CU5,tblActuals35415192327[Team 1],EF$3)+SUMIFS(tblActuals35415192327[Team 1 GD],tblActuals35415192327[Team 1],$CU5,tblActuals35415192327[Team 2],EF$3)</f>
        <v>0</v>
      </c>
      <c r="EG5" s="56">
        <f>SUMIFS(tblActuals35415192327[Team 2 GD],tblActuals35415192327[Team 2],$CU5,tblActuals35415192327[Team 1],EG$3)+SUMIFS(tblActuals35415192327[Team 1 GD],tblActuals35415192327[Team 1],$CU5,tblActuals35415192327[Team 2],EG$3)</f>
        <v>0</v>
      </c>
      <c r="EH5" s="56">
        <f>SUMIFS(tblActuals35415192327[Team 2 GD],tblActuals35415192327[Team 2],$CU5,tblActuals35415192327[Team 1],EH$3)+SUMIFS(tblActuals35415192327[Team 1 GD],tblActuals35415192327[Team 1],$CU5,tblActuals35415192327[Team 2],EH$3)</f>
        <v>0</v>
      </c>
      <c r="EI5" s="56">
        <f>SUMIFS(tblActuals35415192327[Team 2 GD],tblActuals35415192327[Team 2],$CU5,tblActuals35415192327[Team 1],EI$3)+SUMIFS(tblActuals35415192327[Team 1 GD],tblActuals35415192327[Team 1],$CU5,tblActuals35415192327[Team 2],EI$3)</f>
        <v>0</v>
      </c>
      <c r="EJ5" s="56">
        <f>SUMIFS(tblActuals35415192327[Team 2 GD],tblActuals35415192327[Team 2],$CU5,tblActuals35415192327[Team 1],EJ$3)+SUMIFS(tblActuals35415192327[Team 1 GD],tblActuals35415192327[Team 1],$CU5,tblActuals35415192327[Team 2],EJ$3)</f>
        <v>0</v>
      </c>
      <c r="EK5" s="56">
        <f>SUMIFS(tblActuals35415192327[Team 2 GD],tblActuals35415192327[Team 2],$CU5,tblActuals35415192327[Team 1],EK$3)+SUMIFS(tblActuals35415192327[Team 1 GD],tblActuals35415192327[Team 1],$CU5,tblActuals35415192327[Team 2],EK$3)</f>
        <v>0</v>
      </c>
      <c r="EL5" s="56">
        <f>SUMIFS(tblActuals35415192327[Team 2 GD],tblActuals35415192327[Team 2],$CU5,tblActuals35415192327[Team 1],EL$3)+SUMIFS(tblActuals35415192327[Team 1 GD],tblActuals35415192327[Team 1],$CU5,tblActuals35415192327[Team 2],EL$3)</f>
        <v>0</v>
      </c>
      <c r="EM5" s="56">
        <f>SUMIFS(tblActuals35415192327[Team 2 GD],tblActuals35415192327[Team 2],$CU5,tblActuals35415192327[Team 1],EM$3)+SUMIFS(tblActuals35415192327[Team 1 GD],tblActuals35415192327[Team 1],$CU5,tblActuals35415192327[Team 2],EM$3)</f>
        <v>0</v>
      </c>
      <c r="EN5" s="56">
        <f>SUMIFS(tblActuals35415192327[Team 2 GD],tblActuals35415192327[Team 2],$CU5,tblActuals35415192327[Team 1],EN$3)+SUMIFS(tblActuals35415192327[Team 1 GD],tblActuals35415192327[Team 1],$CU5,tblActuals35415192327[Team 2],EN$3)</f>
        <v>0</v>
      </c>
      <c r="EO5" s="56">
        <f>SUMIFS(tblActuals35415192327[Team 2 GD],tblActuals35415192327[Team 2],$CU5,tblActuals35415192327[Team 1],EO$3)+SUMIFS(tblActuals35415192327[Team 1 GD],tblActuals35415192327[Team 1],$CU5,tblActuals35415192327[Team 2],EO$3)</f>
        <v>0</v>
      </c>
      <c r="EP5" s="56">
        <f>SUMIFS(tblActuals35415192327[Team 2 GD],tblActuals35415192327[Team 2],$CU5,tblActuals35415192327[Team 1],EP$3)+SUMIFS(tblActuals35415192327[Team 1 GD],tblActuals35415192327[Team 1],$CU5,tblActuals35415192327[Team 2],EP$3)</f>
        <v>0</v>
      </c>
      <c r="EQ5" s="56">
        <f>SUMIFS(tblActuals35415192327[Team 2 GD],tblActuals35415192327[Team 2],$CU5,tblActuals35415192327[Team 1],EQ$3)+SUMIFS(tblActuals35415192327[Team 1 GD],tblActuals35415192327[Team 1],$CU5,tblActuals35415192327[Team 2],EQ$3)</f>
        <v>0</v>
      </c>
      <c r="ER5" s="56">
        <f>SUMIFS(tblActuals35415192327[Team 2 GD],tblActuals35415192327[Team 2],$CU5,tblActuals35415192327[Team 1],ER$3)+SUMIFS(tblActuals35415192327[Team 1 GD],tblActuals35415192327[Team 1],$CU5,tblActuals35415192327[Team 2],ER$3)</f>
        <v>0</v>
      </c>
      <c r="ES5" s="56">
        <f>SUMIFS(tblActuals35415192327[Team 2 GD],tblActuals35415192327[Team 2],$CU5,tblActuals35415192327[Team 1],ES$3)+SUMIFS(tblActuals35415192327[Team 1 GD],tblActuals35415192327[Team 1],$CU5,tblActuals35415192327[Team 2],ES$3)</f>
        <v>0</v>
      </c>
      <c r="ET5" s="56">
        <f>SUMIFS(tblActuals35415192327[Team 2 GD],tblActuals35415192327[Team 2],$CU5,tblActuals35415192327[Team 1],ET$3)+SUMIFS(tblActuals35415192327[Team 1 GD],tblActuals35415192327[Team 1],$CU5,tblActuals35415192327[Team 2],ET$3)</f>
        <v>0</v>
      </c>
      <c r="EU5" s="56">
        <f>SUMIFS(tblActuals35415192327[Team 2 GD],tblActuals35415192327[Team 2],$CU5,tblActuals35415192327[Team 1],EU$3)+SUMIFS(tblActuals35415192327[Team 1 GD],tblActuals35415192327[Team 1],$CU5,tblActuals35415192327[Team 2],EU$3)</f>
        <v>0</v>
      </c>
      <c r="EV5" s="56">
        <f>SUMIFS(tblActuals35415192327[Team 2 GD],tblActuals35415192327[Team 2],$CU5,tblActuals35415192327[Team 1],EV$3)+SUMIFS(tblActuals35415192327[Team 1 GD],tblActuals35415192327[Team 1],$CU5,tblActuals35415192327[Team 2],EV$3)</f>
        <v>0</v>
      </c>
      <c r="EW5" s="56">
        <f>SUMIFS(tblActuals35415192327[Team 2 GD],tblActuals35415192327[Team 2],$CU5,tblActuals35415192327[Team 1],EW$3)+SUMIFS(tblActuals35415192327[Team 1 GD],tblActuals35415192327[Team 1],$CU5,tblActuals35415192327[Team 2],EW$3)</f>
        <v>0</v>
      </c>
      <c r="EX5" s="56">
        <f>SUMIFS(tblActuals35415192327[Team 2 GD],tblActuals35415192327[Team 2],$CU5,tblActuals35415192327[Team 1],EX$3)+SUMIFS(tblActuals35415192327[Team 1 GD],tblActuals35415192327[Team 1],$CU5,tblActuals35415192327[Team 2],EX$3)</f>
        <v>0</v>
      </c>
      <c r="EY5" s="56">
        <f>SUMIFS(tblActuals35415192327[Team 2 GD],tblActuals35415192327[Team 2],$CU5,tblActuals35415192327[Team 1],EY$3)+SUMIFS(tblActuals35415192327[Team 1 GD],tblActuals35415192327[Team 1],$CU5,tblActuals35415192327[Team 2],EY$3)</f>
        <v>0</v>
      </c>
      <c r="EZ5" s="56">
        <f>SUMIFS(tblActuals35415192327[Team 2 GD],tblActuals35415192327[Team 2],$CU5,tblActuals35415192327[Team 1],EZ$3)+SUMIFS(tblActuals35415192327[Team 1 GD],tblActuals35415192327[Team 1],$CU5,tblActuals35415192327[Team 2],EZ$3)</f>
        <v>0</v>
      </c>
      <c r="FA5" s="56">
        <f>SUMIFS(tblActuals35415192327[Team 2 GD],tblActuals35415192327[Team 2],$CU5,tblActuals35415192327[Team 1],FA$3)+SUMIFS(tblActuals35415192327[Team 1 GD],tblActuals35415192327[Team 1],$CU5,tblActuals35415192327[Team 2],FA$3)</f>
        <v>0</v>
      </c>
      <c r="FB5" s="57"/>
      <c r="FC5" s="57"/>
      <c r="FD5" s="57"/>
      <c r="FE5" s="57"/>
      <c r="FF5" s="57"/>
      <c r="FG5" s="57"/>
      <c r="FH5" s="57"/>
      <c r="FI5" s="57"/>
      <c r="FJ5" s="4"/>
      <c r="FK5" s="4" t="s">
        <v>124</v>
      </c>
      <c r="FL5" s="56">
        <f>SUMIFS(tblActuals35415192327[Team 2 Goals],tblActuals35415192327[Team 2],$CU5,tblActuals35415192327[Team 1],FL$3)+SUMIFS(tblActuals35415192327[Team 1 Goals],tblActuals35415192327[Team 1],$CU5,tblActuals35415192327[Team 2],FL$3)</f>
        <v>0</v>
      </c>
      <c r="FM5" s="56">
        <f>SUMIFS(tblActuals35415192327[Team 2 Goals],tblActuals35415192327[Team 2],$CU5,tblActuals35415192327[Team 1],FM$3)+SUMIFS(tblActuals35415192327[Team 1 Goals],tblActuals35415192327[Team 1],$CU5,tblActuals35415192327[Team 2],FM$3)</f>
        <v>0</v>
      </c>
      <c r="FN5" s="56">
        <f>SUMIFS(tblActuals35415192327[Team 2 Goals],tblActuals35415192327[Team 2],$CU5,tblActuals35415192327[Team 1],FN$3)+SUMIFS(tblActuals35415192327[Team 1 Goals],tblActuals35415192327[Team 1],$CU5,tblActuals35415192327[Team 2],FN$3)</f>
        <v>0</v>
      </c>
      <c r="FO5" s="56">
        <f>SUMIFS(tblActuals35415192327[Team 2 Goals],tblActuals35415192327[Team 2],$CU5,tblActuals35415192327[Team 1],FO$3)+SUMIFS(tblActuals35415192327[Team 1 Goals],tblActuals35415192327[Team 1],$CU5,tblActuals35415192327[Team 2],FO$3)</f>
        <v>0</v>
      </c>
      <c r="FP5" s="56">
        <f>SUMIFS(tblActuals35415192327[Team 2 Goals],tblActuals35415192327[Team 2],$CU5,tblActuals35415192327[Team 1],FP$3)+SUMIFS(tblActuals35415192327[Team 1 Goals],tblActuals35415192327[Team 1],$CU5,tblActuals35415192327[Team 2],FP$3)</f>
        <v>0</v>
      </c>
      <c r="FQ5" s="56">
        <f>SUMIFS(tblActuals35415192327[Team 2 Goals],tblActuals35415192327[Team 2],$CU5,tblActuals35415192327[Team 1],FQ$3)+SUMIFS(tblActuals35415192327[Team 1 Goals],tblActuals35415192327[Team 1],$CU5,tblActuals35415192327[Team 2],FQ$3)</f>
        <v>0</v>
      </c>
      <c r="FR5" s="56">
        <f>SUMIFS(tblActuals35415192327[Team 2 Goals],tblActuals35415192327[Team 2],$CU5,tblActuals35415192327[Team 1],FR$3)+SUMIFS(tblActuals35415192327[Team 1 Goals],tblActuals35415192327[Team 1],$CU5,tblActuals35415192327[Team 2],FR$3)</f>
        <v>0</v>
      </c>
      <c r="FS5" s="56">
        <f>SUMIFS(tblActuals35415192327[Team 2 Goals],tblActuals35415192327[Team 2],$CU5,tblActuals35415192327[Team 1],FS$3)+SUMIFS(tblActuals35415192327[Team 1 Goals],tblActuals35415192327[Team 1],$CU5,tblActuals35415192327[Team 2],FS$3)</f>
        <v>0</v>
      </c>
      <c r="FT5" s="56">
        <f>SUMIFS(tblActuals35415192327[Team 2 Goals],tblActuals35415192327[Team 2],$CU5,tblActuals35415192327[Team 1],FT$3)+SUMIFS(tblActuals35415192327[Team 1 Goals],tblActuals35415192327[Team 1],$CU5,tblActuals35415192327[Team 2],FT$3)</f>
        <v>0</v>
      </c>
      <c r="FU5" s="56">
        <f>SUMIFS(tblActuals35415192327[Team 2 Goals],tblActuals35415192327[Team 2],$CU5,tblActuals35415192327[Team 1],FU$3)+SUMIFS(tblActuals35415192327[Team 1 Goals],tblActuals35415192327[Team 1],$CU5,tblActuals35415192327[Team 2],FU$3)</f>
        <v>0</v>
      </c>
      <c r="FV5" s="56">
        <f>SUMIFS(tblActuals35415192327[Team 2 Goals],tblActuals35415192327[Team 2],$CU5,tblActuals35415192327[Team 1],FV$3)+SUMIFS(tblActuals35415192327[Team 1 Goals],tblActuals35415192327[Team 1],$CU5,tblActuals35415192327[Team 2],FV$3)</f>
        <v>0</v>
      </c>
      <c r="FW5" s="56">
        <f>SUMIFS(tblActuals35415192327[Team 2 Goals],tblActuals35415192327[Team 2],$CU5,tblActuals35415192327[Team 1],FW$3)+SUMIFS(tblActuals35415192327[Team 1 Goals],tblActuals35415192327[Team 1],$CU5,tblActuals35415192327[Team 2],FW$3)</f>
        <v>0</v>
      </c>
      <c r="FX5" s="56">
        <f>SUMIFS(tblActuals35415192327[Team 2 Goals],tblActuals35415192327[Team 2],$CU5,tblActuals35415192327[Team 1],FX$3)+SUMIFS(tblActuals35415192327[Team 1 Goals],tblActuals35415192327[Team 1],$CU5,tblActuals35415192327[Team 2],FX$3)</f>
        <v>0</v>
      </c>
      <c r="FY5" s="56">
        <f>SUMIFS(tblActuals35415192327[Team 2 Goals],tblActuals35415192327[Team 2],$CU5,tblActuals35415192327[Team 1],FY$3)+SUMIFS(tblActuals35415192327[Team 1 Goals],tblActuals35415192327[Team 1],$CU5,tblActuals35415192327[Team 2],FY$3)</f>
        <v>0</v>
      </c>
      <c r="FZ5" s="56">
        <f>SUMIFS(tblActuals35415192327[Team 2 Goals],tblActuals35415192327[Team 2],$CU5,tblActuals35415192327[Team 1],FZ$3)+SUMIFS(tblActuals35415192327[Team 1 Goals],tblActuals35415192327[Team 1],$CU5,tblActuals35415192327[Team 2],FZ$3)</f>
        <v>0</v>
      </c>
      <c r="GA5" s="56">
        <f>SUMIFS(tblActuals35415192327[Team 2 Goals],tblActuals35415192327[Team 2],$CU5,tblActuals35415192327[Team 1],GA$3)+SUMIFS(tblActuals35415192327[Team 1 Goals],tblActuals35415192327[Team 1],$CU5,tblActuals35415192327[Team 2],GA$3)</f>
        <v>0</v>
      </c>
      <c r="GB5" s="56">
        <f>SUMIFS(tblActuals35415192327[Team 2 Goals],tblActuals35415192327[Team 2],$CU5,tblActuals35415192327[Team 1],GB$3)+SUMIFS(tblActuals35415192327[Team 1 Goals],tblActuals35415192327[Team 1],$CU5,tblActuals35415192327[Team 2],GB$3)</f>
        <v>0</v>
      </c>
      <c r="GC5" s="56">
        <f>SUMIFS(tblActuals35415192327[Team 2 Goals],tblActuals35415192327[Team 2],$CU5,tblActuals35415192327[Team 1],GC$3)+SUMIFS(tblActuals35415192327[Team 1 Goals],tblActuals35415192327[Team 1],$CU5,tblActuals35415192327[Team 2],GC$3)</f>
        <v>0</v>
      </c>
      <c r="GD5" s="56">
        <f>SUMIFS(tblActuals35415192327[Team 2 Goals],tblActuals35415192327[Team 2],$CU5,tblActuals35415192327[Team 1],GD$3)+SUMIFS(tblActuals35415192327[Team 1 Goals],tblActuals35415192327[Team 1],$CU5,tblActuals35415192327[Team 2],GD$3)</f>
        <v>0</v>
      </c>
      <c r="GE5" s="56">
        <f>SUMIFS(tblActuals35415192327[Team 2 Goals],tblActuals35415192327[Team 2],$CU5,tblActuals35415192327[Team 1],GE$3)+SUMIFS(tblActuals35415192327[Team 1 Goals],tblActuals35415192327[Team 1],$CU5,tblActuals35415192327[Team 2],GE$3)</f>
        <v>0</v>
      </c>
      <c r="GF5" s="56">
        <f>SUMIFS(tblActuals35415192327[Team 2 Goals],tblActuals35415192327[Team 2],$CU5,tblActuals35415192327[Team 1],GF$3)+SUMIFS(tblActuals35415192327[Team 1 Goals],tblActuals35415192327[Team 1],$CU5,tblActuals35415192327[Team 2],GF$3)</f>
        <v>0</v>
      </c>
      <c r="GG5" s="56">
        <f>SUMIFS(tblActuals35415192327[Team 2 Goals],tblActuals35415192327[Team 2],$CU5,tblActuals35415192327[Team 1],GG$3)+SUMIFS(tblActuals35415192327[Team 1 Goals],tblActuals35415192327[Team 1],$CU5,tblActuals35415192327[Team 2],GG$3)</f>
        <v>0</v>
      </c>
      <c r="GH5" s="56">
        <f>SUMIFS(tblActuals35415192327[Team 2 Goals],tblActuals35415192327[Team 2],$CU5,tblActuals35415192327[Team 1],GH$3)+SUMIFS(tblActuals35415192327[Team 1 Goals],tblActuals35415192327[Team 1],$CU5,tblActuals35415192327[Team 2],GH$3)</f>
        <v>0</v>
      </c>
      <c r="GI5" s="56">
        <f>SUMIFS(tblActuals35415192327[Team 2 Goals],tblActuals35415192327[Team 2],$CU5,tblActuals35415192327[Team 1],GI$3)+SUMIFS(tblActuals35415192327[Team 1 Goals],tblActuals35415192327[Team 1],$CU5,tblActuals35415192327[Team 2],GI$3)</f>
        <v>0</v>
      </c>
      <c r="GJ5" s="57"/>
      <c r="GK5" s="57"/>
      <c r="GL5" s="37"/>
      <c r="GM5" s="37"/>
      <c r="GN5" s="37"/>
      <c r="GO5" s="37"/>
      <c r="GP5" s="37"/>
      <c r="GQ5" s="37"/>
      <c r="GR5" s="75"/>
      <c r="GS5" s="156"/>
      <c r="GT5" s="156"/>
      <c r="GU5" s="75"/>
      <c r="GV5" s="22"/>
      <c r="GW5" s="75"/>
      <c r="GX5" s="75"/>
      <c r="GY5" s="75"/>
      <c r="GZ5" s="75"/>
      <c r="HB5" s="4" t="str">
        <f>_xlfn.CONCAT(HC5:HH5)</f>
        <v>ABCD</v>
      </c>
      <c r="HC5" s="44" t="s">
        <v>1</v>
      </c>
      <c r="HD5" s="44" t="s">
        <v>5</v>
      </c>
      <c r="HE5" s="44" t="s">
        <v>6</v>
      </c>
      <c r="HF5" s="44" t="s">
        <v>7</v>
      </c>
      <c r="HG5" s="45"/>
      <c r="HH5" s="45"/>
      <c r="HI5" s="178"/>
      <c r="HJ5" s="45" t="s">
        <v>149</v>
      </c>
      <c r="HK5" s="45" t="s">
        <v>150</v>
      </c>
      <c r="HL5" s="45" t="s">
        <v>151</v>
      </c>
      <c r="HM5" s="45" t="s">
        <v>152</v>
      </c>
    </row>
    <row r="6" spans="1:221" s="11" customFormat="1" ht="30" customHeight="1" x14ac:dyDescent="0.2">
      <c r="A6" s="29">
        <v>-4</v>
      </c>
      <c r="B6" s="122">
        <v>3</v>
      </c>
      <c r="C6" s="122" t="s">
        <v>5</v>
      </c>
      <c r="D6" s="123">
        <v>45458</v>
      </c>
      <c r="E6" s="122" t="s">
        <v>80</v>
      </c>
      <c r="F6" s="124">
        <v>0.75</v>
      </c>
      <c r="G6" s="125">
        <f t="shared" si="11"/>
        <v>45458.5</v>
      </c>
      <c r="H6" s="122" t="s">
        <v>91</v>
      </c>
      <c r="I6" s="126"/>
      <c r="J6" s="118"/>
      <c r="K6" s="118"/>
      <c r="L6" s="174">
        <f>IF(I6="",0,IFERROR(IF(SCORING.RULES!$C$8="No",1,((VLOOKUP($B6,ACTUALS!$B$4:$L$100,7,FALSE)=$H6)+(VLOOKUP($B6,ACTUALS!$B$4:$L$100,7,FALSE)=S6)))*(M6+N6+O6+P6+Q6),0))+$R6</f>
        <v>0</v>
      </c>
      <c r="M6" s="168">
        <f>IFERROR(IF($B6="","",IF(U6=INDEX(ACTUALS!$AA$4:$AA$100,MATCH($B6,ACTUALS!$B$4:$B$100,0),1),CorrectScore,0)),0)</f>
        <v>0</v>
      </c>
      <c r="N6" s="157" t="str">
        <f>IFERROR(IF(I6="","",IF(INDEX(ACTUALS!$AB$4:$AB$100,MATCH($B6,ACTUALS!$B$4:$B$100,0),1)=(AB6+AC6+AH6+AI6),CorrectNumberofGoals,0)),0)</f>
        <v/>
      </c>
      <c r="O6" s="157"/>
      <c r="P6" s="157">
        <f>IFERROR(IF(B6="","",IF(INDEX(ACTUALS!$L$4:$L$100,MATCH($B6,ACTUALS!$B$4:$B$100,0),1)=W6,CorrectResult,0)),0)</f>
        <v>3</v>
      </c>
      <c r="Q6" s="157"/>
      <c r="R6" s="157"/>
      <c r="S6" s="157" t="str">
        <f t="shared" si="0"/>
        <v/>
      </c>
      <c r="T6" s="157"/>
      <c r="U6" s="157" t="str">
        <f t="shared" si="1"/>
        <v/>
      </c>
      <c r="V6" s="157" t="str">
        <f t="shared" si="2"/>
        <v/>
      </c>
      <c r="W6" s="119" t="str">
        <f>IF(tblActuals35415192327[[#This Row],[SCORE]]="","",IF(AB6=AC6,"Draw",IF(AB6&gt;AC6,X6,Y6)))</f>
        <v/>
      </c>
      <c r="X6" s="120" t="str">
        <f>IF(tblActuals35415192327[[#This Row],[TEAMS]]="","",LEFT(H6,FIND(" -",H6,1)-1))</f>
        <v>Spain</v>
      </c>
      <c r="Y6" s="120" t="str">
        <f>IF(tblActuals35415192327[[#This Row],[TEAMS]]="","",MID(H6,FIND("-",H6,1)+2,LEN(H6)-FIND("-",H6,1)+2))</f>
        <v>Croatia</v>
      </c>
      <c r="Z6" s="120" t="str">
        <f>IF(tblActuals35415192327[[#This Row],[Team 1 Goals]]&gt;tblActuals35415192327[[#This Row],[Team 2 Goals]],tblActuals35415192327[[#This Row],[Team 1]],IF(tblActuals35415192327[[#This Row],[Team 2 Goals]]&gt;tblActuals35415192327[[#This Row],[Team 1 Goals]],tblActuals35415192327[[#This Row],[Team 2]],""))</f>
        <v/>
      </c>
      <c r="AA6" s="120" t="str">
        <f>IF(tblActuals35415192327[[#This Row],[Winner]]=tblActuals35415192327[[#This Row],[Team 1]],tblActuals35415192327[[#This Row],[Team 2]],IF(tblActuals35415192327[[#This Row],[Winner]]=tblActuals35415192327[[#This Row],[Team 2]],tblActuals35415192327[[#This Row],[Team 1]],""))</f>
        <v/>
      </c>
      <c r="AB6" s="120" t="str">
        <f>IF(tblActuals35415192327[[#This Row],[SCORE]]="","",LEFT(I6,FIND(":",I6,1)-1)*1)</f>
        <v/>
      </c>
      <c r="AC6" s="120" t="str">
        <f>IF(tblActuals35415192327[[#This Row],[SCORE]]="","",MID(I6,FIND(":",I6,1)+1,LEN(I6)-FIND(":",I6,1)+1)*1)</f>
        <v/>
      </c>
      <c r="AD6" s="120" t="str">
        <f>IF(OR(tblActuals35415192327[[#This Row],[Team 1 Goals]]="",tblActuals35415192327[[#This Row],[Team 2 Goals]]=""),"",tblActuals35415192327[[#This Row],[Team 1 Goals]]-tblActuals35415192327[[#This Row],[Team 2 Goals]])</f>
        <v/>
      </c>
      <c r="AE6" s="120" t="str">
        <f>IF(OR(tblActuals35415192327[[#This Row],[Team 1 Goals]]="",tblActuals35415192327[[#This Row],[Team 2 Goals]]=""),"",tblActuals35415192327[[#This Row],[Team 2 Goals]]-tblActuals35415192327[[#This Row],[Team 1 Goals]])</f>
        <v/>
      </c>
      <c r="AF6" s="120" t="str">
        <f>IF(tblActuals35415192327[[#This Row],[SCORE]]="","",IF(tblActuals35415192327[[#This Row],[WINNER / RESULT]]="Draw",1,IF(tblActuals35415192327[[#This Row],[WINNER / RESULT]]=tblActuals35415192327[[#This Row],[Team 1]],3,0)))</f>
        <v/>
      </c>
      <c r="AG6" s="120" t="str">
        <f>IF(tblActuals35415192327[[#This Row],[SCORE]]="","",IF(tblActuals35415192327[[#This Row],[WINNER / RESULT]]="Draw",1,IF(tblActuals35415192327[[#This Row],[WINNER / RESULT]]=tblActuals35415192327[[#This Row],[Team 2]],3,0)))</f>
        <v/>
      </c>
      <c r="AH6" s="121"/>
      <c r="AI6" s="121"/>
      <c r="AJ6" s="121"/>
      <c r="AK6" s="121"/>
      <c r="AL6" s="120" t="e">
        <f>tblActuals35415192327[[#This Row],[Team 1 Goals]]+tblActuals35415192327[[#This Row],[Team 1 ET Goals]]&amp;":"&amp;tblActuals35415192327[[#This Row],[Team 2 Goals]]+tblActuals35415192327[[#This Row],[Team 2 ET Goals]]</f>
        <v>#VALUE!</v>
      </c>
      <c r="AM6" s="120" t="e">
        <f>+tblActuals35415192327[[#This Row],[Team 1 Goals]]+tblActuals35415192327[[#This Row],[Team 2 Goals]]</f>
        <v>#VALUE!</v>
      </c>
      <c r="AN6" s="161">
        <f t="shared" si="3"/>
        <v>45458</v>
      </c>
      <c r="AP6" s="38" t="s">
        <v>79</v>
      </c>
      <c r="AT6" s="77" t="s">
        <v>1</v>
      </c>
      <c r="AU6" s="136">
        <v>1</v>
      </c>
      <c r="AV6" s="137" t="str">
        <f ca="1">IFERROR(INDEX(BD:BD,MATCH("1"&amp;AT6,BN:BN,0),1),"")</f>
        <v>Germany</v>
      </c>
      <c r="AW6" s="137" t="str">
        <f ca="1">IF(AV6="","",VLOOKUP(AV6,BD:BI,2,FALSE)&amp;"-"&amp;VLOOKUP(AV6,BD:BI,3,FALSE)&amp;"-"&amp;VLOOKUP(AV6,BD:BI,4,FALSE))</f>
        <v>0-0-0</v>
      </c>
      <c r="AX6" s="137">
        <f ca="1">IF(AV6="","",VLOOKUP(AV6,BD:BK,8,FALSE))</f>
        <v>0</v>
      </c>
      <c r="AY6" s="138">
        <f ca="1">IF(AV6="","",VLOOKUP(AV6,BD:BN,5,FALSE))</f>
        <v>0</v>
      </c>
      <c r="AZ6" s="75"/>
      <c r="BA6" s="42"/>
      <c r="BB6" s="4"/>
      <c r="BC6" s="4" t="s">
        <v>1</v>
      </c>
      <c r="BD6" s="4" t="s">
        <v>124</v>
      </c>
      <c r="BE6" s="4">
        <f>COUNTIF(tblActuals35415192327[Winner],BD6)</f>
        <v>0</v>
      </c>
      <c r="BF6" s="4">
        <f>COUNTIFS(tblActuals35415192327[Team 2],BD6,tblActuals35415192327[WINNER / RESULT],"Draw")+COUNTIFS(tblActuals35415192327[Team 1],BD6,tblActuals35415192327[WINNER / RESULT],"Draw")</f>
        <v>0</v>
      </c>
      <c r="BG6" s="4">
        <f>COUNTIF(tblActuals35415192327[Loser],BD6)</f>
        <v>0</v>
      </c>
      <c r="BH6" s="4">
        <f>BF6+(3*BE6)</f>
        <v>0</v>
      </c>
      <c r="BI6" s="4">
        <f>SUMIFS(tblActuals35415192327[Team 1 Goals],tblActuals35415192327[Team 1],BD6)+SUMIFS(tblActuals35415192327[Team 2 Goals],tblActuals35415192327[Team 2],BD6)</f>
        <v>0</v>
      </c>
      <c r="BJ6" s="4">
        <f>SUMIFS(tblActuals35415192327[Team 2 Goals],tblActuals35415192327[Team 1],BD6)+SUMIFS(tblActuals35415192327[Team 1 Goals],tblActuals35415192327[Team 2],BD6)</f>
        <v>0</v>
      </c>
      <c r="BK6" s="4">
        <f>BI6-BJ6</f>
        <v>0</v>
      </c>
      <c r="BL6" s="4">
        <f ca="1">RANK(BY6,$BY$4:$BY$7,1)</f>
        <v>3</v>
      </c>
      <c r="BM6" s="4" t="str">
        <f t="shared" si="4"/>
        <v/>
      </c>
      <c r="BN6" s="4" t="str">
        <f ca="1">IF(BM6="",BL6&amp;BC6,BM6&amp;BC6)</f>
        <v>3A</v>
      </c>
      <c r="BO6" s="4">
        <f>RANK(BH6,$BH$4:$BH$7,0)</f>
        <v>1</v>
      </c>
      <c r="BP6" s="4" cm="1">
        <f t="array" aca="1" ref="BP6" ca="1">SUMPRODUCT((OFFSET($CV$3:$EA$3,MATCH($BD6,$CU$4:$CU$35,0),0))*((IF($BO4=$BO6,$CV$3:$EA$3=$BD4,0))+(IF($BO7=$BO6,$CV$3:$EA$3=$BD7,0))+(IF($BO5=$BO6,$CV$3:$EA$3=$BD5,0))))</f>
        <v>0</v>
      </c>
      <c r="BQ6" s="4" cm="1">
        <f t="array" aca="1" ref="BQ6" ca="1">SUMPRODUCT((OFFSET($ED$3:$FI$3,MATCH($BD6,$EC$4:$EC$35,0),0))*((IF($BO4=$BO6,$ED$3:$FI$3=$BD4,0))+(IF($BO7=$BO6,$ED$3:$FI$3=$BD7,0))+(IF($BO5=$BO6,$ED$3:$FI$3=$BD5,0))))</f>
        <v>0</v>
      </c>
      <c r="BR6" s="4" cm="1">
        <f t="array" aca="1" ref="BR6" ca="1">SUMPRODUCT((OFFSET($FL$3:$GQ$3,MATCH($BD6,$FK$4:$FK$35,0),0))*((IF($BO4=$BO6,$FL$3:$GQ$3=$BD4,0))+(IF($BO7=$BO6,$FL$3:$GQ$3=$BD7,0))+(IF($BO5=$BO6,$FL$3:$GQ$3=$BD5,0))))</f>
        <v>0</v>
      </c>
      <c r="BS6" s="4" cm="1">
        <f t="array" aca="1" ref="BS6" ca="1">SUMPRODUCT((OFFSET($CV$3:$EA$3,MATCH($BD6,$CU$4:$CU$35,0),0))*((IF($BO4&lt;&gt;$BO6,$CV$3:$EA$3=$BD4,0))+(IF($BO7&lt;&gt;$BO6,$CV$3:$EA$3=$BD7,0))+(IF($BO5&lt;&gt;$BO6,$CV$3:$EA$3=$BD5,0))))</f>
        <v>0</v>
      </c>
      <c r="BT6" s="4" cm="1">
        <f t="array" aca="1" ref="BT6" ca="1">SUMPRODUCT((OFFSET($ED$3:$FI$3,MATCH($BD6,$EC$4:$EC$35,0),0))*((IF($BO4&lt;&gt;$BO6,$ED$3:$FI$3=$BD4,0))+(IF($BO7&lt;&gt;$BO6,$ED$3:$FI$3=$BD7,0))+(IF($BO5&lt;&gt;$BO6,$ED$3:$FI$3=$BD5,0))))</f>
        <v>0</v>
      </c>
      <c r="BU6" s="4" cm="1">
        <f t="array" aca="1" ref="BU6" ca="1">SUMPRODUCT((OFFSET($FL$3:$GQ$3,MATCH($BD6,$FK$4:$FK$35,0),0))*((IF($BO4&lt;&gt;$BO6,$FL$3:$GQ$3=$BD4,0))+(IF($BO7&lt;&gt;$BO6,$FL$3:$GQ$3=$BD7,0))+(IF($BO5&lt;&gt;$BO6,$FL$3:$GQ$3=$BD5,0))))</f>
        <v>0</v>
      </c>
      <c r="BV6" s="4">
        <f>BK6</f>
        <v>0</v>
      </c>
      <c r="BW6" s="4">
        <f>BI6</f>
        <v>0</v>
      </c>
      <c r="BX6" s="4">
        <f ca="1">(BP6/10)+(BQ6/100)+(BR6/1000)+(BT6/10000)+(BU6/100000)+(BV6/1000000)+(BW6/10000000)+(ROW(BS5)/100000000)</f>
        <v>4.9999999999999998E-8</v>
      </c>
      <c r="BY6" s="4">
        <f ca="1">+BO6-BX6</f>
        <v>0.99999994999999997</v>
      </c>
      <c r="BZ6" s="4"/>
      <c r="CA6" s="4" t="s">
        <v>6</v>
      </c>
      <c r="CB6" s="4" t="str">
        <f ca="1">AV20</f>
        <v>Serbia</v>
      </c>
      <c r="CC6" s="4">
        <f t="shared" ca="1" si="5"/>
        <v>0</v>
      </c>
      <c r="CD6" s="4">
        <f t="shared" ca="1" si="6"/>
        <v>0</v>
      </c>
      <c r="CE6" s="4">
        <f t="shared" ca="1" si="7"/>
        <v>0</v>
      </c>
      <c r="CF6" s="4">
        <f t="shared" ca="1" si="8"/>
        <v>0</v>
      </c>
      <c r="CG6" s="4">
        <f t="shared" ca="1" si="9"/>
        <v>5.9999999999999997E-7</v>
      </c>
      <c r="CH6" s="4">
        <f t="shared" ca="1" si="10"/>
        <v>4</v>
      </c>
      <c r="CI6" s="4"/>
      <c r="CJ6" s="4"/>
      <c r="CK6" s="4"/>
      <c r="CL6" s="4"/>
      <c r="CM6" s="4"/>
      <c r="CN6" s="4"/>
      <c r="CO6" s="4"/>
      <c r="CP6" s="4"/>
      <c r="CQ6" s="4"/>
      <c r="CR6" s="4"/>
      <c r="CU6" s="4" t="s">
        <v>125</v>
      </c>
      <c r="CV6" s="56">
        <f>SUMIFS(tblActuals35415192327[Team 2 Points],tblActuals35415192327[Team 2],$CU6,tblActuals35415192327[Team 1],CV$3)+SUMIFS(tblActuals35415192327[Team 1 Points],tblActuals35415192327[Team 1],$CU6,tblActuals35415192327[Team 2],CV$3)</f>
        <v>0</v>
      </c>
      <c r="CW6" s="56">
        <f>SUMIFS(tblActuals35415192327[Team 2 Points],tblActuals35415192327[Team 2],$CU6,tblActuals35415192327[Team 1],CW$3)+SUMIFS(tblActuals35415192327[Team 1 Points],tblActuals35415192327[Team 1],$CU6,tblActuals35415192327[Team 2],CW$3)</f>
        <v>0</v>
      </c>
      <c r="CX6" s="56">
        <f>SUMIFS(tblActuals35415192327[Team 2 Points],tblActuals35415192327[Team 2],$CU6,tblActuals35415192327[Team 1],CX$3)+SUMIFS(tblActuals35415192327[Team 1 Points],tblActuals35415192327[Team 1],$CU6,tblActuals35415192327[Team 2],CX$3)</f>
        <v>0</v>
      </c>
      <c r="CY6" s="56">
        <f>SUMIFS(tblActuals35415192327[Team 2 Points],tblActuals35415192327[Team 2],$CU6,tblActuals35415192327[Team 1],CY$3)+SUMIFS(tblActuals35415192327[Team 1 Points],tblActuals35415192327[Team 1],$CU6,tblActuals35415192327[Team 2],CY$3)</f>
        <v>0</v>
      </c>
      <c r="CZ6" s="56">
        <f>SUMIFS(tblActuals35415192327[Team 2 Points],tblActuals35415192327[Team 2],$CU6,tblActuals35415192327[Team 1],CZ$3)+SUMIFS(tblActuals35415192327[Team 1 Points],tblActuals35415192327[Team 1],$CU6,tblActuals35415192327[Team 2],CZ$3)</f>
        <v>0</v>
      </c>
      <c r="DA6" s="56">
        <f>SUMIFS(tblActuals35415192327[Team 2 Points],tblActuals35415192327[Team 2],$CU6,tblActuals35415192327[Team 1],DA$3)+SUMIFS(tblActuals35415192327[Team 1 Points],tblActuals35415192327[Team 1],$CU6,tblActuals35415192327[Team 2],DA$3)</f>
        <v>0</v>
      </c>
      <c r="DB6" s="56">
        <f>SUMIFS(tblActuals35415192327[Team 2 Points],tblActuals35415192327[Team 2],$CU6,tblActuals35415192327[Team 1],DB$3)+SUMIFS(tblActuals35415192327[Team 1 Points],tblActuals35415192327[Team 1],$CU6,tblActuals35415192327[Team 2],DB$3)</f>
        <v>0</v>
      </c>
      <c r="DC6" s="56">
        <f>SUMIFS(tblActuals35415192327[Team 2 Points],tblActuals35415192327[Team 2],$CU6,tblActuals35415192327[Team 1],DC$3)+SUMIFS(tblActuals35415192327[Team 1 Points],tblActuals35415192327[Team 1],$CU6,tblActuals35415192327[Team 2],DC$3)</f>
        <v>0</v>
      </c>
      <c r="DD6" s="56">
        <f>SUMIFS(tblActuals35415192327[Team 2 Points],tblActuals35415192327[Team 2],$CU6,tblActuals35415192327[Team 1],DD$3)+SUMIFS(tblActuals35415192327[Team 1 Points],tblActuals35415192327[Team 1],$CU6,tblActuals35415192327[Team 2],DD$3)</f>
        <v>0</v>
      </c>
      <c r="DE6" s="56">
        <f>SUMIFS(tblActuals35415192327[Team 2 Points],tblActuals35415192327[Team 2],$CU6,tblActuals35415192327[Team 1],DE$3)+SUMIFS(tblActuals35415192327[Team 1 Points],tblActuals35415192327[Team 1],$CU6,tblActuals35415192327[Team 2],DE$3)</f>
        <v>0</v>
      </c>
      <c r="DF6" s="56">
        <f>SUMIFS(tblActuals35415192327[Team 2 Points],tblActuals35415192327[Team 2],$CU6,tblActuals35415192327[Team 1],DF$3)+SUMIFS(tblActuals35415192327[Team 1 Points],tblActuals35415192327[Team 1],$CU6,tblActuals35415192327[Team 2],DF$3)</f>
        <v>0</v>
      </c>
      <c r="DG6" s="56">
        <f>SUMIFS(tblActuals35415192327[Team 2 Points],tblActuals35415192327[Team 2],$CU6,tblActuals35415192327[Team 1],DG$3)+SUMIFS(tblActuals35415192327[Team 1 Points],tblActuals35415192327[Team 1],$CU6,tblActuals35415192327[Team 2],DG$3)</f>
        <v>0</v>
      </c>
      <c r="DH6" s="56">
        <f>SUMIFS(tblActuals35415192327[Team 2 Points],tblActuals35415192327[Team 2],$CU6,tblActuals35415192327[Team 1],DH$3)+SUMIFS(tblActuals35415192327[Team 1 Points],tblActuals35415192327[Team 1],$CU6,tblActuals35415192327[Team 2],DH$3)</f>
        <v>0</v>
      </c>
      <c r="DI6" s="56">
        <f>SUMIFS(tblActuals35415192327[Team 2 Points],tblActuals35415192327[Team 2],$CU6,tblActuals35415192327[Team 1],DI$3)+SUMIFS(tblActuals35415192327[Team 1 Points],tblActuals35415192327[Team 1],$CU6,tblActuals35415192327[Team 2],DI$3)</f>
        <v>0</v>
      </c>
      <c r="DJ6" s="56">
        <f>SUMIFS(tblActuals35415192327[Team 2 Points],tblActuals35415192327[Team 2],$CU6,tblActuals35415192327[Team 1],DJ$3)+SUMIFS(tblActuals35415192327[Team 1 Points],tblActuals35415192327[Team 1],$CU6,tblActuals35415192327[Team 2],DJ$3)</f>
        <v>0</v>
      </c>
      <c r="DK6" s="56">
        <f>SUMIFS(tblActuals35415192327[Team 2 Points],tblActuals35415192327[Team 2],$CU6,tblActuals35415192327[Team 1],DK$3)+SUMIFS(tblActuals35415192327[Team 1 Points],tblActuals35415192327[Team 1],$CU6,tblActuals35415192327[Team 2],DK$3)</f>
        <v>0</v>
      </c>
      <c r="DL6" s="56">
        <f>SUMIFS(tblActuals35415192327[Team 2 Points],tblActuals35415192327[Team 2],$CU6,tblActuals35415192327[Team 1],DL$3)+SUMIFS(tblActuals35415192327[Team 1 Points],tblActuals35415192327[Team 1],$CU6,tblActuals35415192327[Team 2],DL$3)</f>
        <v>0</v>
      </c>
      <c r="DM6" s="56">
        <f>SUMIFS(tblActuals35415192327[Team 2 Points],tblActuals35415192327[Team 2],$CU6,tblActuals35415192327[Team 1],DM$3)+SUMIFS(tblActuals35415192327[Team 1 Points],tblActuals35415192327[Team 1],$CU6,tblActuals35415192327[Team 2],DM$3)</f>
        <v>0</v>
      </c>
      <c r="DN6" s="56">
        <f>SUMIFS(tblActuals35415192327[Team 2 Points],tblActuals35415192327[Team 2],$CU6,tblActuals35415192327[Team 1],DN$3)+SUMIFS(tblActuals35415192327[Team 1 Points],tblActuals35415192327[Team 1],$CU6,tblActuals35415192327[Team 2],DN$3)</f>
        <v>0</v>
      </c>
      <c r="DO6" s="56">
        <f>SUMIFS(tblActuals35415192327[Team 2 Points],tblActuals35415192327[Team 2],$CU6,tblActuals35415192327[Team 1],DO$3)+SUMIFS(tblActuals35415192327[Team 1 Points],tblActuals35415192327[Team 1],$CU6,tblActuals35415192327[Team 2],DO$3)</f>
        <v>0</v>
      </c>
      <c r="DP6" s="56">
        <f>SUMIFS(tblActuals35415192327[Team 2 Points],tblActuals35415192327[Team 2],$CU6,tblActuals35415192327[Team 1],DP$3)+SUMIFS(tblActuals35415192327[Team 1 Points],tblActuals35415192327[Team 1],$CU6,tblActuals35415192327[Team 2],DP$3)</f>
        <v>0</v>
      </c>
      <c r="DQ6" s="56">
        <f>SUMIFS(tblActuals35415192327[Team 2 Points],tblActuals35415192327[Team 2],$CU6,tblActuals35415192327[Team 1],DQ$3)+SUMIFS(tblActuals35415192327[Team 1 Points],tblActuals35415192327[Team 1],$CU6,tblActuals35415192327[Team 2],DQ$3)</f>
        <v>0</v>
      </c>
      <c r="DR6" s="56">
        <f>SUMIFS(tblActuals35415192327[Team 2 Points],tblActuals35415192327[Team 2],$CU6,tblActuals35415192327[Team 1],DR$3)+SUMIFS(tblActuals35415192327[Team 1 Points],tblActuals35415192327[Team 1],$CU6,tblActuals35415192327[Team 2],DR$3)</f>
        <v>0</v>
      </c>
      <c r="DS6" s="56">
        <f>SUMIFS(tblActuals35415192327[Team 2 Points],tblActuals35415192327[Team 2],$CU6,tblActuals35415192327[Team 1],DS$3)+SUMIFS(tblActuals35415192327[Team 1 Points],tblActuals35415192327[Team 1],$CU6,tblActuals35415192327[Team 2],DS$3)</f>
        <v>0</v>
      </c>
      <c r="DT6" s="57"/>
      <c r="DU6" s="57"/>
      <c r="DV6" s="57"/>
      <c r="DW6" s="57"/>
      <c r="DX6" s="57"/>
      <c r="DY6" s="57"/>
      <c r="DZ6" s="57"/>
      <c r="EA6" s="57"/>
      <c r="EB6" s="4"/>
      <c r="EC6" s="4" t="s">
        <v>125</v>
      </c>
      <c r="ED6" s="56">
        <f>SUMIFS(tblActuals35415192327[Team 2 GD],tblActuals35415192327[Team 2],$CU6,tblActuals35415192327[Team 1],ED$3)+SUMIFS(tblActuals35415192327[Team 1 GD],tblActuals35415192327[Team 1],$CU6,tblActuals35415192327[Team 2],ED$3)</f>
        <v>0</v>
      </c>
      <c r="EE6" s="56">
        <f>SUMIFS(tblActuals35415192327[Team 2 GD],tblActuals35415192327[Team 2],$CU6,tblActuals35415192327[Team 1],EE$3)+SUMIFS(tblActuals35415192327[Team 1 GD],tblActuals35415192327[Team 1],$CU6,tblActuals35415192327[Team 2],EE$3)</f>
        <v>0</v>
      </c>
      <c r="EF6" s="56">
        <f>SUMIFS(tblActuals35415192327[Team 2 GD],tblActuals35415192327[Team 2],$CU6,tblActuals35415192327[Team 1],EF$3)+SUMIFS(tblActuals35415192327[Team 1 GD],tblActuals35415192327[Team 1],$CU6,tblActuals35415192327[Team 2],EF$3)</f>
        <v>0</v>
      </c>
      <c r="EG6" s="56">
        <f>SUMIFS(tblActuals35415192327[Team 2 GD],tblActuals35415192327[Team 2],$CU6,tblActuals35415192327[Team 1],EG$3)+SUMIFS(tblActuals35415192327[Team 1 GD],tblActuals35415192327[Team 1],$CU6,tblActuals35415192327[Team 2],EG$3)</f>
        <v>0</v>
      </c>
      <c r="EH6" s="56">
        <f>SUMIFS(tblActuals35415192327[Team 2 GD],tblActuals35415192327[Team 2],$CU6,tblActuals35415192327[Team 1],EH$3)+SUMIFS(tblActuals35415192327[Team 1 GD],tblActuals35415192327[Team 1],$CU6,tblActuals35415192327[Team 2],EH$3)</f>
        <v>0</v>
      </c>
      <c r="EI6" s="56">
        <f>SUMIFS(tblActuals35415192327[Team 2 GD],tblActuals35415192327[Team 2],$CU6,tblActuals35415192327[Team 1],EI$3)+SUMIFS(tblActuals35415192327[Team 1 GD],tblActuals35415192327[Team 1],$CU6,tblActuals35415192327[Team 2],EI$3)</f>
        <v>0</v>
      </c>
      <c r="EJ6" s="56">
        <f>SUMIFS(tblActuals35415192327[Team 2 GD],tblActuals35415192327[Team 2],$CU6,tblActuals35415192327[Team 1],EJ$3)+SUMIFS(tblActuals35415192327[Team 1 GD],tblActuals35415192327[Team 1],$CU6,tblActuals35415192327[Team 2],EJ$3)</f>
        <v>0</v>
      </c>
      <c r="EK6" s="56">
        <f>SUMIFS(tblActuals35415192327[Team 2 GD],tblActuals35415192327[Team 2],$CU6,tblActuals35415192327[Team 1],EK$3)+SUMIFS(tblActuals35415192327[Team 1 GD],tblActuals35415192327[Team 1],$CU6,tblActuals35415192327[Team 2],EK$3)</f>
        <v>0</v>
      </c>
      <c r="EL6" s="56">
        <f>SUMIFS(tblActuals35415192327[Team 2 GD],tblActuals35415192327[Team 2],$CU6,tblActuals35415192327[Team 1],EL$3)+SUMIFS(tblActuals35415192327[Team 1 GD],tblActuals35415192327[Team 1],$CU6,tblActuals35415192327[Team 2],EL$3)</f>
        <v>0</v>
      </c>
      <c r="EM6" s="56">
        <f>SUMIFS(tblActuals35415192327[Team 2 GD],tblActuals35415192327[Team 2],$CU6,tblActuals35415192327[Team 1],EM$3)+SUMIFS(tblActuals35415192327[Team 1 GD],tblActuals35415192327[Team 1],$CU6,tblActuals35415192327[Team 2],EM$3)</f>
        <v>0</v>
      </c>
      <c r="EN6" s="56">
        <f>SUMIFS(tblActuals35415192327[Team 2 GD],tblActuals35415192327[Team 2],$CU6,tblActuals35415192327[Team 1],EN$3)+SUMIFS(tblActuals35415192327[Team 1 GD],tblActuals35415192327[Team 1],$CU6,tblActuals35415192327[Team 2],EN$3)</f>
        <v>0</v>
      </c>
      <c r="EO6" s="56">
        <f>SUMIFS(tblActuals35415192327[Team 2 GD],tblActuals35415192327[Team 2],$CU6,tblActuals35415192327[Team 1],EO$3)+SUMIFS(tblActuals35415192327[Team 1 GD],tblActuals35415192327[Team 1],$CU6,tblActuals35415192327[Team 2],EO$3)</f>
        <v>0</v>
      </c>
      <c r="EP6" s="56">
        <f>SUMIFS(tblActuals35415192327[Team 2 GD],tblActuals35415192327[Team 2],$CU6,tblActuals35415192327[Team 1],EP$3)+SUMIFS(tblActuals35415192327[Team 1 GD],tblActuals35415192327[Team 1],$CU6,tblActuals35415192327[Team 2],EP$3)</f>
        <v>0</v>
      </c>
      <c r="EQ6" s="56">
        <f>SUMIFS(tblActuals35415192327[Team 2 GD],tblActuals35415192327[Team 2],$CU6,tblActuals35415192327[Team 1],EQ$3)+SUMIFS(tblActuals35415192327[Team 1 GD],tblActuals35415192327[Team 1],$CU6,tblActuals35415192327[Team 2],EQ$3)</f>
        <v>0</v>
      </c>
      <c r="ER6" s="56">
        <f>SUMIFS(tblActuals35415192327[Team 2 GD],tblActuals35415192327[Team 2],$CU6,tblActuals35415192327[Team 1],ER$3)+SUMIFS(tblActuals35415192327[Team 1 GD],tblActuals35415192327[Team 1],$CU6,tblActuals35415192327[Team 2],ER$3)</f>
        <v>0</v>
      </c>
      <c r="ES6" s="56">
        <f>SUMIFS(tblActuals35415192327[Team 2 GD],tblActuals35415192327[Team 2],$CU6,tblActuals35415192327[Team 1],ES$3)+SUMIFS(tblActuals35415192327[Team 1 GD],tblActuals35415192327[Team 1],$CU6,tblActuals35415192327[Team 2],ES$3)</f>
        <v>0</v>
      </c>
      <c r="ET6" s="56">
        <f>SUMIFS(tblActuals35415192327[Team 2 GD],tblActuals35415192327[Team 2],$CU6,tblActuals35415192327[Team 1],ET$3)+SUMIFS(tblActuals35415192327[Team 1 GD],tblActuals35415192327[Team 1],$CU6,tblActuals35415192327[Team 2],ET$3)</f>
        <v>0</v>
      </c>
      <c r="EU6" s="56">
        <f>SUMIFS(tblActuals35415192327[Team 2 GD],tblActuals35415192327[Team 2],$CU6,tblActuals35415192327[Team 1],EU$3)+SUMIFS(tblActuals35415192327[Team 1 GD],tblActuals35415192327[Team 1],$CU6,tblActuals35415192327[Team 2],EU$3)</f>
        <v>0</v>
      </c>
      <c r="EV6" s="56">
        <f>SUMIFS(tblActuals35415192327[Team 2 GD],tblActuals35415192327[Team 2],$CU6,tblActuals35415192327[Team 1],EV$3)+SUMIFS(tblActuals35415192327[Team 1 GD],tblActuals35415192327[Team 1],$CU6,tblActuals35415192327[Team 2],EV$3)</f>
        <v>0</v>
      </c>
      <c r="EW6" s="56">
        <f>SUMIFS(tblActuals35415192327[Team 2 GD],tblActuals35415192327[Team 2],$CU6,tblActuals35415192327[Team 1],EW$3)+SUMIFS(tblActuals35415192327[Team 1 GD],tblActuals35415192327[Team 1],$CU6,tblActuals35415192327[Team 2],EW$3)</f>
        <v>0</v>
      </c>
      <c r="EX6" s="56">
        <f>SUMIFS(tblActuals35415192327[Team 2 GD],tblActuals35415192327[Team 2],$CU6,tblActuals35415192327[Team 1],EX$3)+SUMIFS(tblActuals35415192327[Team 1 GD],tblActuals35415192327[Team 1],$CU6,tblActuals35415192327[Team 2],EX$3)</f>
        <v>0</v>
      </c>
      <c r="EY6" s="56">
        <f>SUMIFS(tblActuals35415192327[Team 2 GD],tblActuals35415192327[Team 2],$CU6,tblActuals35415192327[Team 1],EY$3)+SUMIFS(tblActuals35415192327[Team 1 GD],tblActuals35415192327[Team 1],$CU6,tblActuals35415192327[Team 2],EY$3)</f>
        <v>0</v>
      </c>
      <c r="EZ6" s="56">
        <f>SUMIFS(tblActuals35415192327[Team 2 GD],tblActuals35415192327[Team 2],$CU6,tblActuals35415192327[Team 1],EZ$3)+SUMIFS(tblActuals35415192327[Team 1 GD],tblActuals35415192327[Team 1],$CU6,tblActuals35415192327[Team 2],EZ$3)</f>
        <v>0</v>
      </c>
      <c r="FA6" s="56">
        <f>SUMIFS(tblActuals35415192327[Team 2 GD],tblActuals35415192327[Team 2],$CU6,tblActuals35415192327[Team 1],FA$3)+SUMIFS(tblActuals35415192327[Team 1 GD],tblActuals35415192327[Team 1],$CU6,tblActuals35415192327[Team 2],FA$3)</f>
        <v>0</v>
      </c>
      <c r="FB6" s="57"/>
      <c r="FC6" s="57"/>
      <c r="FD6" s="57"/>
      <c r="FE6" s="57"/>
      <c r="FF6" s="57"/>
      <c r="FG6" s="57"/>
      <c r="FH6" s="57"/>
      <c r="FI6" s="57"/>
      <c r="FJ6" s="4"/>
      <c r="FK6" s="4" t="s">
        <v>125</v>
      </c>
      <c r="FL6" s="56">
        <f>SUMIFS(tblActuals35415192327[Team 2 Goals],tblActuals35415192327[Team 2],$CU6,tblActuals35415192327[Team 1],FL$3)+SUMIFS(tblActuals35415192327[Team 1 Goals],tblActuals35415192327[Team 1],$CU6,tblActuals35415192327[Team 2],FL$3)</f>
        <v>0</v>
      </c>
      <c r="FM6" s="56">
        <f>SUMIFS(tblActuals35415192327[Team 2 Goals],tblActuals35415192327[Team 2],$CU6,tblActuals35415192327[Team 1],FM$3)+SUMIFS(tblActuals35415192327[Team 1 Goals],tblActuals35415192327[Team 1],$CU6,tblActuals35415192327[Team 2],FM$3)</f>
        <v>0</v>
      </c>
      <c r="FN6" s="56">
        <f>SUMIFS(tblActuals35415192327[Team 2 Goals],tblActuals35415192327[Team 2],$CU6,tblActuals35415192327[Team 1],FN$3)+SUMIFS(tblActuals35415192327[Team 1 Goals],tblActuals35415192327[Team 1],$CU6,tblActuals35415192327[Team 2],FN$3)</f>
        <v>0</v>
      </c>
      <c r="FO6" s="56">
        <f>SUMIFS(tblActuals35415192327[Team 2 Goals],tblActuals35415192327[Team 2],$CU6,tblActuals35415192327[Team 1],FO$3)+SUMIFS(tblActuals35415192327[Team 1 Goals],tblActuals35415192327[Team 1],$CU6,tblActuals35415192327[Team 2],FO$3)</f>
        <v>0</v>
      </c>
      <c r="FP6" s="56">
        <f>SUMIFS(tblActuals35415192327[Team 2 Goals],tblActuals35415192327[Team 2],$CU6,tblActuals35415192327[Team 1],FP$3)+SUMIFS(tblActuals35415192327[Team 1 Goals],tblActuals35415192327[Team 1],$CU6,tblActuals35415192327[Team 2],FP$3)</f>
        <v>0</v>
      </c>
      <c r="FQ6" s="56">
        <f>SUMIFS(tblActuals35415192327[Team 2 Goals],tblActuals35415192327[Team 2],$CU6,tblActuals35415192327[Team 1],FQ$3)+SUMIFS(tblActuals35415192327[Team 1 Goals],tblActuals35415192327[Team 1],$CU6,tblActuals35415192327[Team 2],FQ$3)</f>
        <v>0</v>
      </c>
      <c r="FR6" s="56">
        <f>SUMIFS(tblActuals35415192327[Team 2 Goals],tblActuals35415192327[Team 2],$CU6,tblActuals35415192327[Team 1],FR$3)+SUMIFS(tblActuals35415192327[Team 1 Goals],tblActuals35415192327[Team 1],$CU6,tblActuals35415192327[Team 2],FR$3)</f>
        <v>0</v>
      </c>
      <c r="FS6" s="56">
        <f>SUMIFS(tblActuals35415192327[Team 2 Goals],tblActuals35415192327[Team 2],$CU6,tblActuals35415192327[Team 1],FS$3)+SUMIFS(tblActuals35415192327[Team 1 Goals],tblActuals35415192327[Team 1],$CU6,tblActuals35415192327[Team 2],FS$3)</f>
        <v>0</v>
      </c>
      <c r="FT6" s="56">
        <f>SUMIFS(tblActuals35415192327[Team 2 Goals],tblActuals35415192327[Team 2],$CU6,tblActuals35415192327[Team 1],FT$3)+SUMIFS(tblActuals35415192327[Team 1 Goals],tblActuals35415192327[Team 1],$CU6,tblActuals35415192327[Team 2],FT$3)</f>
        <v>0</v>
      </c>
      <c r="FU6" s="56">
        <f>SUMIFS(tblActuals35415192327[Team 2 Goals],tblActuals35415192327[Team 2],$CU6,tblActuals35415192327[Team 1],FU$3)+SUMIFS(tblActuals35415192327[Team 1 Goals],tblActuals35415192327[Team 1],$CU6,tblActuals35415192327[Team 2],FU$3)</f>
        <v>0</v>
      </c>
      <c r="FV6" s="56">
        <f>SUMIFS(tblActuals35415192327[Team 2 Goals],tblActuals35415192327[Team 2],$CU6,tblActuals35415192327[Team 1],FV$3)+SUMIFS(tblActuals35415192327[Team 1 Goals],tblActuals35415192327[Team 1],$CU6,tblActuals35415192327[Team 2],FV$3)</f>
        <v>0</v>
      </c>
      <c r="FW6" s="56">
        <f>SUMIFS(tblActuals35415192327[Team 2 Goals],tblActuals35415192327[Team 2],$CU6,tblActuals35415192327[Team 1],FW$3)+SUMIFS(tblActuals35415192327[Team 1 Goals],tblActuals35415192327[Team 1],$CU6,tblActuals35415192327[Team 2],FW$3)</f>
        <v>0</v>
      </c>
      <c r="FX6" s="56">
        <f>SUMIFS(tblActuals35415192327[Team 2 Goals],tblActuals35415192327[Team 2],$CU6,tblActuals35415192327[Team 1],FX$3)+SUMIFS(tblActuals35415192327[Team 1 Goals],tblActuals35415192327[Team 1],$CU6,tblActuals35415192327[Team 2],FX$3)</f>
        <v>0</v>
      </c>
      <c r="FY6" s="56">
        <f>SUMIFS(tblActuals35415192327[Team 2 Goals],tblActuals35415192327[Team 2],$CU6,tblActuals35415192327[Team 1],FY$3)+SUMIFS(tblActuals35415192327[Team 1 Goals],tblActuals35415192327[Team 1],$CU6,tblActuals35415192327[Team 2],FY$3)</f>
        <v>0</v>
      </c>
      <c r="FZ6" s="56">
        <f>SUMIFS(tblActuals35415192327[Team 2 Goals],tblActuals35415192327[Team 2],$CU6,tblActuals35415192327[Team 1],FZ$3)+SUMIFS(tblActuals35415192327[Team 1 Goals],tblActuals35415192327[Team 1],$CU6,tblActuals35415192327[Team 2],FZ$3)</f>
        <v>0</v>
      </c>
      <c r="GA6" s="56">
        <f>SUMIFS(tblActuals35415192327[Team 2 Goals],tblActuals35415192327[Team 2],$CU6,tblActuals35415192327[Team 1],GA$3)+SUMIFS(tblActuals35415192327[Team 1 Goals],tblActuals35415192327[Team 1],$CU6,tblActuals35415192327[Team 2],GA$3)</f>
        <v>0</v>
      </c>
      <c r="GB6" s="56">
        <f>SUMIFS(tblActuals35415192327[Team 2 Goals],tblActuals35415192327[Team 2],$CU6,tblActuals35415192327[Team 1],GB$3)+SUMIFS(tblActuals35415192327[Team 1 Goals],tblActuals35415192327[Team 1],$CU6,tblActuals35415192327[Team 2],GB$3)</f>
        <v>0</v>
      </c>
      <c r="GC6" s="56">
        <f>SUMIFS(tblActuals35415192327[Team 2 Goals],tblActuals35415192327[Team 2],$CU6,tblActuals35415192327[Team 1],GC$3)+SUMIFS(tblActuals35415192327[Team 1 Goals],tblActuals35415192327[Team 1],$CU6,tblActuals35415192327[Team 2],GC$3)</f>
        <v>0</v>
      </c>
      <c r="GD6" s="56">
        <f>SUMIFS(tblActuals35415192327[Team 2 Goals],tblActuals35415192327[Team 2],$CU6,tblActuals35415192327[Team 1],GD$3)+SUMIFS(tblActuals35415192327[Team 1 Goals],tblActuals35415192327[Team 1],$CU6,tblActuals35415192327[Team 2],GD$3)</f>
        <v>0</v>
      </c>
      <c r="GE6" s="56">
        <f>SUMIFS(tblActuals35415192327[Team 2 Goals],tblActuals35415192327[Team 2],$CU6,tblActuals35415192327[Team 1],GE$3)+SUMIFS(tblActuals35415192327[Team 1 Goals],tblActuals35415192327[Team 1],$CU6,tblActuals35415192327[Team 2],GE$3)</f>
        <v>0</v>
      </c>
      <c r="GF6" s="56">
        <f>SUMIFS(tblActuals35415192327[Team 2 Goals],tblActuals35415192327[Team 2],$CU6,tblActuals35415192327[Team 1],GF$3)+SUMIFS(tblActuals35415192327[Team 1 Goals],tblActuals35415192327[Team 1],$CU6,tblActuals35415192327[Team 2],GF$3)</f>
        <v>0</v>
      </c>
      <c r="GG6" s="56">
        <f>SUMIFS(tblActuals35415192327[Team 2 Goals],tblActuals35415192327[Team 2],$CU6,tblActuals35415192327[Team 1],GG$3)+SUMIFS(tblActuals35415192327[Team 1 Goals],tblActuals35415192327[Team 1],$CU6,tblActuals35415192327[Team 2],GG$3)</f>
        <v>0</v>
      </c>
      <c r="GH6" s="56">
        <f>SUMIFS(tblActuals35415192327[Team 2 Goals],tblActuals35415192327[Team 2],$CU6,tblActuals35415192327[Team 1],GH$3)+SUMIFS(tblActuals35415192327[Team 1 Goals],tblActuals35415192327[Team 1],$CU6,tblActuals35415192327[Team 2],GH$3)</f>
        <v>0</v>
      </c>
      <c r="GI6" s="56">
        <f>SUMIFS(tblActuals35415192327[Team 2 Goals],tblActuals35415192327[Team 2],$CU6,tblActuals35415192327[Team 1],GI$3)+SUMIFS(tblActuals35415192327[Team 1 Goals],tblActuals35415192327[Team 1],$CU6,tblActuals35415192327[Team 2],GI$3)</f>
        <v>0</v>
      </c>
      <c r="GJ6" s="57"/>
      <c r="GK6" s="57"/>
      <c r="GL6" s="37"/>
      <c r="GM6" s="37"/>
      <c r="GN6" s="37"/>
      <c r="GO6" s="37"/>
      <c r="GP6" s="37"/>
      <c r="GQ6" s="37"/>
      <c r="GR6" s="75"/>
      <c r="GS6" s="156"/>
      <c r="GT6" s="156"/>
      <c r="GU6" s="75"/>
      <c r="GV6" s="22"/>
      <c r="GW6" s="75"/>
      <c r="GX6" s="75"/>
      <c r="GY6" s="75"/>
      <c r="GZ6" s="75"/>
      <c r="HB6" s="4" t="str">
        <f t="shared" ref="HB6:HB19" si="12">_xlfn.CONCAT(HC6:HH6)</f>
        <v>ABCE</v>
      </c>
      <c r="HC6" s="44" t="s">
        <v>1</v>
      </c>
      <c r="HD6" s="44" t="s">
        <v>5</v>
      </c>
      <c r="HE6" s="44" t="s">
        <v>6</v>
      </c>
      <c r="HF6" s="45"/>
      <c r="HG6" s="44" t="s">
        <v>12</v>
      </c>
      <c r="HH6" s="45"/>
      <c r="HI6" s="178"/>
      <c r="HJ6" s="45" t="s">
        <v>149</v>
      </c>
      <c r="HK6" s="45" t="s">
        <v>153</v>
      </c>
      <c r="HL6" s="45" t="s">
        <v>151</v>
      </c>
      <c r="HM6" s="45" t="s">
        <v>152</v>
      </c>
    </row>
    <row r="7" spans="1:221" s="11" customFormat="1" ht="30" customHeight="1" x14ac:dyDescent="0.3">
      <c r="A7" s="6">
        <f>A6-2</f>
        <v>-6</v>
      </c>
      <c r="B7" s="122">
        <v>4</v>
      </c>
      <c r="C7" s="122" t="s">
        <v>5</v>
      </c>
      <c r="D7" s="123">
        <v>45458</v>
      </c>
      <c r="E7" s="122" t="s">
        <v>81</v>
      </c>
      <c r="F7" s="124">
        <v>0.875</v>
      </c>
      <c r="G7" s="125">
        <f t="shared" si="11"/>
        <v>45458.625</v>
      </c>
      <c r="H7" s="122" t="s">
        <v>92</v>
      </c>
      <c r="I7" s="126"/>
      <c r="J7" s="118"/>
      <c r="K7" s="118"/>
      <c r="L7" s="174">
        <f>IF(I7="",0,IFERROR(IF(SCORING.RULES!$C$8="No",1,((VLOOKUP($B7,ACTUALS!$B$4:$L$100,7,FALSE)=$H7)+(VLOOKUP($B7,ACTUALS!$B$4:$L$100,7,FALSE)=S7)))*(M7+N7+O7+P7+Q7),0))+$R7</f>
        <v>0</v>
      </c>
      <c r="M7" s="168">
        <f>IFERROR(IF($B7="","",IF(U7=INDEX(ACTUALS!$AA$4:$AA$100,MATCH($B7,ACTUALS!$B$4:$B$100,0),1),CorrectScore,0)),0)</f>
        <v>0</v>
      </c>
      <c r="N7" s="157" t="str">
        <f>IFERROR(IF(I7="","",IF(INDEX(ACTUALS!$AB$4:$AB$100,MATCH($B7,ACTUALS!$B$4:$B$100,0),1)=(AB7+AC7+AH7+AI7),CorrectNumberofGoals,0)),0)</f>
        <v/>
      </c>
      <c r="O7" s="157"/>
      <c r="P7" s="157">
        <f>IFERROR(IF(B7="","",IF(INDEX(ACTUALS!$L$4:$L$100,MATCH($B7,ACTUALS!$B$4:$B$100,0),1)=W7,CorrectResult,0)),0)</f>
        <v>3</v>
      </c>
      <c r="Q7" s="157"/>
      <c r="R7" s="157"/>
      <c r="S7" s="157" t="str">
        <f t="shared" si="0"/>
        <v/>
      </c>
      <c r="T7" s="157"/>
      <c r="U7" s="157" t="str">
        <f t="shared" si="1"/>
        <v/>
      </c>
      <c r="V7" s="157" t="str">
        <f t="shared" si="2"/>
        <v/>
      </c>
      <c r="W7" s="119" t="str">
        <f>IF(tblActuals35415192327[[#This Row],[SCORE]]="","",IF(AB7=AC7,"Draw",IF(AB7&gt;AC7,X7,Y7)))</f>
        <v/>
      </c>
      <c r="X7" s="120" t="str">
        <f>IF(tblActuals35415192327[[#This Row],[TEAMS]]="","",LEFT(H7,FIND(" -",H7,1)-1))</f>
        <v>Italy</v>
      </c>
      <c r="Y7" s="120" t="str">
        <f>IF(tblActuals35415192327[[#This Row],[TEAMS]]="","",MID(H7,FIND("-",H7,1)+2,LEN(H7)-FIND("-",H7,1)+2))</f>
        <v>Albania</v>
      </c>
      <c r="Z7" s="120" t="str">
        <f>IF(tblActuals35415192327[[#This Row],[Team 1 Goals]]&gt;tblActuals35415192327[[#This Row],[Team 2 Goals]],tblActuals35415192327[[#This Row],[Team 1]],IF(tblActuals35415192327[[#This Row],[Team 2 Goals]]&gt;tblActuals35415192327[[#This Row],[Team 1 Goals]],tblActuals35415192327[[#This Row],[Team 2]],""))</f>
        <v/>
      </c>
      <c r="AA7" s="120" t="str">
        <f>IF(tblActuals35415192327[[#This Row],[Winner]]=tblActuals35415192327[[#This Row],[Team 1]],tblActuals35415192327[[#This Row],[Team 2]],IF(tblActuals35415192327[[#This Row],[Winner]]=tblActuals35415192327[[#This Row],[Team 2]],tblActuals35415192327[[#This Row],[Team 1]],""))</f>
        <v/>
      </c>
      <c r="AB7" s="120" t="str">
        <f>IF(tblActuals35415192327[[#This Row],[SCORE]]="","",LEFT(I7,FIND(":",I7,1)-1)*1)</f>
        <v/>
      </c>
      <c r="AC7" s="120" t="str">
        <f>IF(tblActuals35415192327[[#This Row],[SCORE]]="","",MID(I7,FIND(":",I7,1)+1,LEN(I7)-FIND(":",I7,1)+1)*1)</f>
        <v/>
      </c>
      <c r="AD7" s="120" t="str">
        <f>IF(OR(tblActuals35415192327[[#This Row],[Team 1 Goals]]="",tblActuals35415192327[[#This Row],[Team 2 Goals]]=""),"",tblActuals35415192327[[#This Row],[Team 1 Goals]]-tblActuals35415192327[[#This Row],[Team 2 Goals]])</f>
        <v/>
      </c>
      <c r="AE7" s="120" t="str">
        <f>IF(OR(tblActuals35415192327[[#This Row],[Team 1 Goals]]="",tblActuals35415192327[[#This Row],[Team 2 Goals]]=""),"",tblActuals35415192327[[#This Row],[Team 2 Goals]]-tblActuals35415192327[[#This Row],[Team 1 Goals]])</f>
        <v/>
      </c>
      <c r="AF7" s="120" t="str">
        <f>IF(tblActuals35415192327[[#This Row],[SCORE]]="","",IF(tblActuals35415192327[[#This Row],[WINNER / RESULT]]="Draw",1,IF(tblActuals35415192327[[#This Row],[WINNER / RESULT]]=tblActuals35415192327[[#This Row],[Team 1]],3,0)))</f>
        <v/>
      </c>
      <c r="AG7" s="120" t="str">
        <f>IF(tblActuals35415192327[[#This Row],[SCORE]]="","",IF(tblActuals35415192327[[#This Row],[WINNER / RESULT]]="Draw",1,IF(tblActuals35415192327[[#This Row],[WINNER / RESULT]]=tblActuals35415192327[[#This Row],[Team 2]],3,0)))</f>
        <v/>
      </c>
      <c r="AH7" s="121"/>
      <c r="AI7" s="121"/>
      <c r="AJ7" s="121"/>
      <c r="AK7" s="121"/>
      <c r="AL7" s="120" t="e">
        <f>tblActuals35415192327[[#This Row],[Team 1 Goals]]+tblActuals35415192327[[#This Row],[Team 1 ET Goals]]&amp;":"&amp;tblActuals35415192327[[#This Row],[Team 2 Goals]]+tblActuals35415192327[[#This Row],[Team 2 ET Goals]]</f>
        <v>#VALUE!</v>
      </c>
      <c r="AM7" s="120" t="e">
        <f>+tblActuals35415192327[[#This Row],[Team 1 Goals]]+tblActuals35415192327[[#This Row],[Team 2 Goals]]</f>
        <v>#VALUE!</v>
      </c>
      <c r="AN7" s="161">
        <f t="shared" si="3"/>
        <v>45458</v>
      </c>
      <c r="AP7" s="38" t="s">
        <v>81</v>
      </c>
      <c r="AT7" s="77" t="s">
        <v>1</v>
      </c>
      <c r="AU7" s="139">
        <v>2</v>
      </c>
      <c r="AV7" s="140" t="str">
        <f ca="1">IFERROR(INDEX(BD:BD,MATCH("2"&amp;AT7,BN:BN,0),1),"")</f>
        <v>Hungary</v>
      </c>
      <c r="AW7" s="140" t="str">
        <f ca="1">IF(AV7="","",VLOOKUP(AV7,BD:BI,2,FALSE)&amp;"-"&amp;VLOOKUP(AV7,BD:BI,3,FALSE)&amp;"-"&amp;VLOOKUP(AV7,BD:BI,4,FALSE))</f>
        <v>0-0-0</v>
      </c>
      <c r="AX7" s="140">
        <f ca="1">IF(AV7="","",VLOOKUP(AV7,BD:BK,8,FALSE))</f>
        <v>0</v>
      </c>
      <c r="AY7" s="141">
        <f ca="1">IF(AV7="","",VLOOKUP(AV7,BD:BN,5,FALSE))</f>
        <v>0</v>
      </c>
      <c r="AZ7" s="75"/>
      <c r="BA7" s="42"/>
      <c r="BB7" s="4"/>
      <c r="BC7" s="4" t="s">
        <v>1</v>
      </c>
      <c r="BD7" s="4" t="s">
        <v>31</v>
      </c>
      <c r="BE7" s="4">
        <f>COUNTIF(tblActuals35415192327[Winner],BD7)</f>
        <v>0</v>
      </c>
      <c r="BF7" s="4">
        <f>COUNTIFS(tblActuals35415192327[Team 2],BD7,tblActuals35415192327[WINNER / RESULT],"Draw")+COUNTIFS(tblActuals35415192327[Team 1],BD7,tblActuals35415192327[WINNER / RESULT],"Draw")</f>
        <v>0</v>
      </c>
      <c r="BG7" s="4">
        <f>COUNTIF(tblActuals35415192327[Loser],BD7)</f>
        <v>0</v>
      </c>
      <c r="BH7" s="4">
        <f>BF7+(3*BE7)</f>
        <v>0</v>
      </c>
      <c r="BI7" s="4">
        <f>SUMIFS(tblActuals35415192327[Team 1 Goals],tblActuals35415192327[Team 1],BD7)+SUMIFS(tblActuals35415192327[Team 2 Goals],tblActuals35415192327[Team 2],BD7)</f>
        <v>0</v>
      </c>
      <c r="BJ7" s="4">
        <f>SUMIFS(tblActuals35415192327[Team 2 Goals],tblActuals35415192327[Team 1],BD7)+SUMIFS(tblActuals35415192327[Team 1 Goals],tblActuals35415192327[Team 2],BD7)</f>
        <v>0</v>
      </c>
      <c r="BK7" s="4">
        <f>BI7-BJ7</f>
        <v>0</v>
      </c>
      <c r="BL7" s="4">
        <f ca="1">RANK(BY7,$BY$4:$BY$7,1)</f>
        <v>4</v>
      </c>
      <c r="BM7" s="4" t="str">
        <f t="shared" si="4"/>
        <v/>
      </c>
      <c r="BN7" s="4" t="str">
        <f ca="1">IF(BM7="",BL7&amp;BC7,BM7&amp;BC7)</f>
        <v>4A</v>
      </c>
      <c r="BO7" s="4">
        <f>RANK(BH7,$BH$4:$BH$7,0)</f>
        <v>1</v>
      </c>
      <c r="BP7" s="4" cm="1">
        <f t="array" aca="1" ref="BP7" ca="1">SUMPRODUCT((OFFSET($CV$3:$EA$3,MATCH($BD7,$CU$4:$CU$35,0),0))*((IF($BO5=$BO7,$CV$3:$EA$3=$BD5,0))+(IF($BO4=$BO7,$CV$3:$EA$3=$BD4,0))+(IF($BO6=$BO7,$CV$3:$EA$3=$BD6,0))))</f>
        <v>0</v>
      </c>
      <c r="BQ7" s="4" cm="1">
        <f t="array" aca="1" ref="BQ7" ca="1">SUMPRODUCT((OFFSET($ED$3:$FI$3,MATCH($BD7,$EC$4:$EC$35,0),0))*((IF($BO5=$BO7,$ED$3:$FI$3=$BD5,0))+(IF($BO4=$BO7,$ED$3:$FI$3=$BD4,0))+(IF($BO6=$BO7,$ED$3:$FI$3=$BD6,0))))</f>
        <v>0</v>
      </c>
      <c r="BR7" s="4" cm="1">
        <f t="array" aca="1" ref="BR7" ca="1">SUMPRODUCT((OFFSET($FL$3:$GQ$3,MATCH($BD7,$FK$4:$FK$35,0),0))*((IF($BO5=$BO7,$FL$3:$GQ$3=$BD5,0))+(IF($BO4=$BO7,$FL$3:$GQ$3=$BD4,0))+(IF($BO6=$BO7,$FL$3:$GQ$3=$BD6,0))))</f>
        <v>0</v>
      </c>
      <c r="BS7" s="4" cm="1">
        <f t="array" aca="1" ref="BS7" ca="1">SUMPRODUCT((OFFSET($CV$3:$EA$3,MATCH($BD7,$CU$4:$CU$35,0),0))*((IF($BO5&lt;&gt;$BO7,$CV$3:$EA$3=$BD5,0))+(IF($BO4&lt;&gt;$BO7,$CV$3:$EA$3=$BD4,0))+(IF($BO6&lt;&gt;$BO7,$CV$3:$EA$3=$BD6,0))))</f>
        <v>0</v>
      </c>
      <c r="BT7" s="4" cm="1">
        <f t="array" aca="1" ref="BT7" ca="1">SUMPRODUCT((OFFSET($ED$3:$FI$3,MATCH($BD7,$EC$4:$EC$35,0),0))*((IF($BO5&lt;&gt;$BO7,$ED$3:$FI$3=$BD5,0))+(IF($BO4&lt;&gt;$BO7,$ED$3:$FI$3=$BD4,0))+(IF($BO6&lt;&gt;$BO7,$ED$3:$FI$3=$BD6,0))))</f>
        <v>0</v>
      </c>
      <c r="BU7" s="4" cm="1">
        <f t="array" aca="1" ref="BU7" ca="1">SUMPRODUCT((OFFSET($FL$3:$GQ$3,MATCH($BD7,$FK$4:$FK$35,0),0))*((IF($BO5&lt;&gt;$BO7,$FL$3:$GQ$3=$BD5,0))+(IF($BO4&lt;&gt;$BO7,$FL$3:$GQ$3=$BD4,0))+(IF($BO6&lt;&gt;$BO7,$FL$3:$GQ$3=$BD6,0))))</f>
        <v>0</v>
      </c>
      <c r="BV7" s="4">
        <f>BK7</f>
        <v>0</v>
      </c>
      <c r="BW7" s="4">
        <f>BI7</f>
        <v>0</v>
      </c>
      <c r="BX7" s="4">
        <f ca="1">(BP7/10)+(BQ7/100)+(BR7/1000)+(BT7/10000)+(BU7/100000)+(BV7/1000000)+(BW7/10000000)+(ROW(BS4)/100000000)</f>
        <v>4.0000000000000001E-8</v>
      </c>
      <c r="BY7" s="4">
        <f ca="1">+BO7-BX7</f>
        <v>0.99999996000000002</v>
      </c>
      <c r="BZ7" s="4"/>
      <c r="CA7" s="4" t="s">
        <v>7</v>
      </c>
      <c r="CB7" s="4" t="str">
        <f ca="1">AV26</f>
        <v>Netherlands</v>
      </c>
      <c r="CC7" s="4">
        <f t="shared" ca="1" si="5"/>
        <v>0</v>
      </c>
      <c r="CD7" s="4">
        <f t="shared" ca="1" si="6"/>
        <v>0</v>
      </c>
      <c r="CE7" s="4">
        <f t="shared" ca="1" si="7"/>
        <v>0</v>
      </c>
      <c r="CF7" s="4">
        <f t="shared" ca="1" si="8"/>
        <v>0</v>
      </c>
      <c r="CG7" s="4">
        <f t="shared" ca="1" si="9"/>
        <v>6.9999999999999997E-7</v>
      </c>
      <c r="CH7" s="4">
        <f t="shared" ca="1" si="10"/>
        <v>3</v>
      </c>
      <c r="CI7" s="4"/>
      <c r="CJ7" s="4"/>
      <c r="CK7" s="4"/>
      <c r="CL7" s="4"/>
      <c r="CM7" s="4"/>
      <c r="CN7" s="4"/>
      <c r="CO7" s="4"/>
      <c r="CP7" s="4"/>
      <c r="CQ7" s="4"/>
      <c r="CR7" s="4"/>
      <c r="CU7" s="4" t="s">
        <v>31</v>
      </c>
      <c r="CV7" s="56">
        <f>SUMIFS(tblActuals35415192327[Team 2 Points],tblActuals35415192327[Team 2],$CU7,tblActuals35415192327[Team 1],CV$3)+SUMIFS(tblActuals35415192327[Team 1 Points],tblActuals35415192327[Team 1],$CU7,tblActuals35415192327[Team 2],CV$3)</f>
        <v>0</v>
      </c>
      <c r="CW7" s="56">
        <f>SUMIFS(tblActuals35415192327[Team 2 Points],tblActuals35415192327[Team 2],$CU7,tblActuals35415192327[Team 1],CW$3)+SUMIFS(tblActuals35415192327[Team 1 Points],tblActuals35415192327[Team 1],$CU7,tblActuals35415192327[Team 2],CW$3)</f>
        <v>0</v>
      </c>
      <c r="CX7" s="56">
        <f>SUMIFS(tblActuals35415192327[Team 2 Points],tblActuals35415192327[Team 2],$CU7,tblActuals35415192327[Team 1],CX$3)+SUMIFS(tblActuals35415192327[Team 1 Points],tblActuals35415192327[Team 1],$CU7,tblActuals35415192327[Team 2],CX$3)</f>
        <v>0</v>
      </c>
      <c r="CY7" s="56">
        <f>SUMIFS(tblActuals35415192327[Team 2 Points],tblActuals35415192327[Team 2],$CU7,tblActuals35415192327[Team 1],CY$3)+SUMIFS(tblActuals35415192327[Team 1 Points],tblActuals35415192327[Team 1],$CU7,tblActuals35415192327[Team 2],CY$3)</f>
        <v>0</v>
      </c>
      <c r="CZ7" s="56">
        <f>SUMIFS(tblActuals35415192327[Team 2 Points],tblActuals35415192327[Team 2],$CU7,tblActuals35415192327[Team 1],CZ$3)+SUMIFS(tblActuals35415192327[Team 1 Points],tblActuals35415192327[Team 1],$CU7,tblActuals35415192327[Team 2],CZ$3)</f>
        <v>0</v>
      </c>
      <c r="DA7" s="56">
        <f>SUMIFS(tblActuals35415192327[Team 2 Points],tblActuals35415192327[Team 2],$CU7,tblActuals35415192327[Team 1],DA$3)+SUMIFS(tblActuals35415192327[Team 1 Points],tblActuals35415192327[Team 1],$CU7,tblActuals35415192327[Team 2],DA$3)</f>
        <v>0</v>
      </c>
      <c r="DB7" s="56">
        <f>SUMIFS(tblActuals35415192327[Team 2 Points],tblActuals35415192327[Team 2],$CU7,tblActuals35415192327[Team 1],DB$3)+SUMIFS(tblActuals35415192327[Team 1 Points],tblActuals35415192327[Team 1],$CU7,tblActuals35415192327[Team 2],DB$3)</f>
        <v>0</v>
      </c>
      <c r="DC7" s="56">
        <f>SUMIFS(tblActuals35415192327[Team 2 Points],tblActuals35415192327[Team 2],$CU7,tblActuals35415192327[Team 1],DC$3)+SUMIFS(tblActuals35415192327[Team 1 Points],tblActuals35415192327[Team 1],$CU7,tblActuals35415192327[Team 2],DC$3)</f>
        <v>0</v>
      </c>
      <c r="DD7" s="56">
        <f>SUMIFS(tblActuals35415192327[Team 2 Points],tblActuals35415192327[Team 2],$CU7,tblActuals35415192327[Team 1],DD$3)+SUMIFS(tblActuals35415192327[Team 1 Points],tblActuals35415192327[Team 1],$CU7,tblActuals35415192327[Team 2],DD$3)</f>
        <v>0</v>
      </c>
      <c r="DE7" s="56">
        <f>SUMIFS(tblActuals35415192327[Team 2 Points],tblActuals35415192327[Team 2],$CU7,tblActuals35415192327[Team 1],DE$3)+SUMIFS(tblActuals35415192327[Team 1 Points],tblActuals35415192327[Team 1],$CU7,tblActuals35415192327[Team 2],DE$3)</f>
        <v>0</v>
      </c>
      <c r="DF7" s="56">
        <f>SUMIFS(tblActuals35415192327[Team 2 Points],tblActuals35415192327[Team 2],$CU7,tblActuals35415192327[Team 1],DF$3)+SUMIFS(tblActuals35415192327[Team 1 Points],tblActuals35415192327[Team 1],$CU7,tblActuals35415192327[Team 2],DF$3)</f>
        <v>0</v>
      </c>
      <c r="DG7" s="56">
        <f>SUMIFS(tblActuals35415192327[Team 2 Points],tblActuals35415192327[Team 2],$CU7,tblActuals35415192327[Team 1],DG$3)+SUMIFS(tblActuals35415192327[Team 1 Points],tblActuals35415192327[Team 1],$CU7,tblActuals35415192327[Team 2],DG$3)</f>
        <v>0</v>
      </c>
      <c r="DH7" s="56">
        <f>SUMIFS(tblActuals35415192327[Team 2 Points],tblActuals35415192327[Team 2],$CU7,tblActuals35415192327[Team 1],DH$3)+SUMIFS(tblActuals35415192327[Team 1 Points],tblActuals35415192327[Team 1],$CU7,tblActuals35415192327[Team 2],DH$3)</f>
        <v>0</v>
      </c>
      <c r="DI7" s="56">
        <f>SUMIFS(tblActuals35415192327[Team 2 Points],tblActuals35415192327[Team 2],$CU7,tblActuals35415192327[Team 1],DI$3)+SUMIFS(tblActuals35415192327[Team 1 Points],tblActuals35415192327[Team 1],$CU7,tblActuals35415192327[Team 2],DI$3)</f>
        <v>0</v>
      </c>
      <c r="DJ7" s="56">
        <f>SUMIFS(tblActuals35415192327[Team 2 Points],tblActuals35415192327[Team 2],$CU7,tblActuals35415192327[Team 1],DJ$3)+SUMIFS(tblActuals35415192327[Team 1 Points],tblActuals35415192327[Team 1],$CU7,tblActuals35415192327[Team 2],DJ$3)</f>
        <v>0</v>
      </c>
      <c r="DK7" s="56">
        <f>SUMIFS(tblActuals35415192327[Team 2 Points],tblActuals35415192327[Team 2],$CU7,tblActuals35415192327[Team 1],DK$3)+SUMIFS(tblActuals35415192327[Team 1 Points],tblActuals35415192327[Team 1],$CU7,tblActuals35415192327[Team 2],DK$3)</f>
        <v>0</v>
      </c>
      <c r="DL7" s="56">
        <f>SUMIFS(tblActuals35415192327[Team 2 Points],tblActuals35415192327[Team 2],$CU7,tblActuals35415192327[Team 1],DL$3)+SUMIFS(tblActuals35415192327[Team 1 Points],tblActuals35415192327[Team 1],$CU7,tblActuals35415192327[Team 2],DL$3)</f>
        <v>0</v>
      </c>
      <c r="DM7" s="56">
        <f>SUMIFS(tblActuals35415192327[Team 2 Points],tblActuals35415192327[Team 2],$CU7,tblActuals35415192327[Team 1],DM$3)+SUMIFS(tblActuals35415192327[Team 1 Points],tblActuals35415192327[Team 1],$CU7,tblActuals35415192327[Team 2],DM$3)</f>
        <v>0</v>
      </c>
      <c r="DN7" s="56">
        <f>SUMIFS(tblActuals35415192327[Team 2 Points],tblActuals35415192327[Team 2],$CU7,tblActuals35415192327[Team 1],DN$3)+SUMIFS(tblActuals35415192327[Team 1 Points],tblActuals35415192327[Team 1],$CU7,tblActuals35415192327[Team 2],DN$3)</f>
        <v>0</v>
      </c>
      <c r="DO7" s="56">
        <f>SUMIFS(tblActuals35415192327[Team 2 Points],tblActuals35415192327[Team 2],$CU7,tblActuals35415192327[Team 1],DO$3)+SUMIFS(tblActuals35415192327[Team 1 Points],tblActuals35415192327[Team 1],$CU7,tblActuals35415192327[Team 2],DO$3)</f>
        <v>0</v>
      </c>
      <c r="DP7" s="56">
        <f>SUMIFS(tblActuals35415192327[Team 2 Points],tblActuals35415192327[Team 2],$CU7,tblActuals35415192327[Team 1],DP$3)+SUMIFS(tblActuals35415192327[Team 1 Points],tblActuals35415192327[Team 1],$CU7,tblActuals35415192327[Team 2],DP$3)</f>
        <v>0</v>
      </c>
      <c r="DQ7" s="56">
        <f>SUMIFS(tblActuals35415192327[Team 2 Points],tblActuals35415192327[Team 2],$CU7,tblActuals35415192327[Team 1],DQ$3)+SUMIFS(tblActuals35415192327[Team 1 Points],tblActuals35415192327[Team 1],$CU7,tblActuals35415192327[Team 2],DQ$3)</f>
        <v>0</v>
      </c>
      <c r="DR7" s="56">
        <f>SUMIFS(tblActuals35415192327[Team 2 Points],tblActuals35415192327[Team 2],$CU7,tblActuals35415192327[Team 1],DR$3)+SUMIFS(tblActuals35415192327[Team 1 Points],tblActuals35415192327[Team 1],$CU7,tblActuals35415192327[Team 2],DR$3)</f>
        <v>0</v>
      </c>
      <c r="DS7" s="56">
        <f>SUMIFS(tblActuals35415192327[Team 2 Points],tblActuals35415192327[Team 2],$CU7,tblActuals35415192327[Team 1],DS$3)+SUMIFS(tblActuals35415192327[Team 1 Points],tblActuals35415192327[Team 1],$CU7,tblActuals35415192327[Team 2],DS$3)</f>
        <v>0</v>
      </c>
      <c r="DT7" s="57"/>
      <c r="DU7" s="57"/>
      <c r="DV7" s="57"/>
      <c r="DW7" s="57"/>
      <c r="DX7" s="57"/>
      <c r="DY7" s="57"/>
      <c r="DZ7" s="57"/>
      <c r="EA7" s="57"/>
      <c r="EB7" s="4"/>
      <c r="EC7" s="4" t="s">
        <v>31</v>
      </c>
      <c r="ED7" s="56">
        <f>SUMIFS(tblActuals35415192327[Team 2 GD],tblActuals35415192327[Team 2],$CU7,tblActuals35415192327[Team 1],ED$3)+SUMIFS(tblActuals35415192327[Team 1 GD],tblActuals35415192327[Team 1],$CU7,tblActuals35415192327[Team 2],ED$3)</f>
        <v>0</v>
      </c>
      <c r="EE7" s="56">
        <f>SUMIFS(tblActuals35415192327[Team 2 GD],tblActuals35415192327[Team 2],$CU7,tblActuals35415192327[Team 1],EE$3)+SUMIFS(tblActuals35415192327[Team 1 GD],tblActuals35415192327[Team 1],$CU7,tblActuals35415192327[Team 2],EE$3)</f>
        <v>0</v>
      </c>
      <c r="EF7" s="56">
        <f>SUMIFS(tblActuals35415192327[Team 2 GD],tblActuals35415192327[Team 2],$CU7,tblActuals35415192327[Team 1],EF$3)+SUMIFS(tblActuals35415192327[Team 1 GD],tblActuals35415192327[Team 1],$CU7,tblActuals35415192327[Team 2],EF$3)</f>
        <v>0</v>
      </c>
      <c r="EG7" s="56">
        <f>SUMIFS(tblActuals35415192327[Team 2 GD],tblActuals35415192327[Team 2],$CU7,tblActuals35415192327[Team 1],EG$3)+SUMIFS(tblActuals35415192327[Team 1 GD],tblActuals35415192327[Team 1],$CU7,tblActuals35415192327[Team 2],EG$3)</f>
        <v>0</v>
      </c>
      <c r="EH7" s="56">
        <f>SUMIFS(tblActuals35415192327[Team 2 GD],tblActuals35415192327[Team 2],$CU7,tblActuals35415192327[Team 1],EH$3)+SUMIFS(tblActuals35415192327[Team 1 GD],tblActuals35415192327[Team 1],$CU7,tblActuals35415192327[Team 2],EH$3)</f>
        <v>0</v>
      </c>
      <c r="EI7" s="56">
        <f>SUMIFS(tblActuals35415192327[Team 2 GD],tblActuals35415192327[Team 2],$CU7,tblActuals35415192327[Team 1],EI$3)+SUMIFS(tblActuals35415192327[Team 1 GD],tblActuals35415192327[Team 1],$CU7,tblActuals35415192327[Team 2],EI$3)</f>
        <v>0</v>
      </c>
      <c r="EJ7" s="56">
        <f>SUMIFS(tblActuals35415192327[Team 2 GD],tblActuals35415192327[Team 2],$CU7,tblActuals35415192327[Team 1],EJ$3)+SUMIFS(tblActuals35415192327[Team 1 GD],tblActuals35415192327[Team 1],$CU7,tblActuals35415192327[Team 2],EJ$3)</f>
        <v>0</v>
      </c>
      <c r="EK7" s="56">
        <f>SUMIFS(tblActuals35415192327[Team 2 GD],tblActuals35415192327[Team 2],$CU7,tblActuals35415192327[Team 1],EK$3)+SUMIFS(tblActuals35415192327[Team 1 GD],tblActuals35415192327[Team 1],$CU7,tblActuals35415192327[Team 2],EK$3)</f>
        <v>0</v>
      </c>
      <c r="EL7" s="56">
        <f>SUMIFS(tblActuals35415192327[Team 2 GD],tblActuals35415192327[Team 2],$CU7,tblActuals35415192327[Team 1],EL$3)+SUMIFS(tblActuals35415192327[Team 1 GD],tblActuals35415192327[Team 1],$CU7,tblActuals35415192327[Team 2],EL$3)</f>
        <v>0</v>
      </c>
      <c r="EM7" s="56">
        <f>SUMIFS(tblActuals35415192327[Team 2 GD],tblActuals35415192327[Team 2],$CU7,tblActuals35415192327[Team 1],EM$3)+SUMIFS(tblActuals35415192327[Team 1 GD],tblActuals35415192327[Team 1],$CU7,tblActuals35415192327[Team 2],EM$3)</f>
        <v>0</v>
      </c>
      <c r="EN7" s="56">
        <f>SUMIFS(tblActuals35415192327[Team 2 GD],tblActuals35415192327[Team 2],$CU7,tblActuals35415192327[Team 1],EN$3)+SUMIFS(tblActuals35415192327[Team 1 GD],tblActuals35415192327[Team 1],$CU7,tblActuals35415192327[Team 2],EN$3)</f>
        <v>0</v>
      </c>
      <c r="EO7" s="56">
        <f>SUMIFS(tblActuals35415192327[Team 2 GD],tblActuals35415192327[Team 2],$CU7,tblActuals35415192327[Team 1],EO$3)+SUMIFS(tblActuals35415192327[Team 1 GD],tblActuals35415192327[Team 1],$CU7,tblActuals35415192327[Team 2],EO$3)</f>
        <v>0</v>
      </c>
      <c r="EP7" s="56">
        <f>SUMIFS(tblActuals35415192327[Team 2 GD],tblActuals35415192327[Team 2],$CU7,tblActuals35415192327[Team 1],EP$3)+SUMIFS(tblActuals35415192327[Team 1 GD],tblActuals35415192327[Team 1],$CU7,tblActuals35415192327[Team 2],EP$3)</f>
        <v>0</v>
      </c>
      <c r="EQ7" s="56">
        <f>SUMIFS(tblActuals35415192327[Team 2 GD],tblActuals35415192327[Team 2],$CU7,tblActuals35415192327[Team 1],EQ$3)+SUMIFS(tblActuals35415192327[Team 1 GD],tblActuals35415192327[Team 1],$CU7,tblActuals35415192327[Team 2],EQ$3)</f>
        <v>0</v>
      </c>
      <c r="ER7" s="56">
        <f>SUMIFS(tblActuals35415192327[Team 2 GD],tblActuals35415192327[Team 2],$CU7,tblActuals35415192327[Team 1],ER$3)+SUMIFS(tblActuals35415192327[Team 1 GD],tblActuals35415192327[Team 1],$CU7,tblActuals35415192327[Team 2],ER$3)</f>
        <v>0</v>
      </c>
      <c r="ES7" s="56">
        <f>SUMIFS(tblActuals35415192327[Team 2 GD],tblActuals35415192327[Team 2],$CU7,tblActuals35415192327[Team 1],ES$3)+SUMIFS(tblActuals35415192327[Team 1 GD],tblActuals35415192327[Team 1],$CU7,tblActuals35415192327[Team 2],ES$3)</f>
        <v>0</v>
      </c>
      <c r="ET7" s="56">
        <f>SUMIFS(tblActuals35415192327[Team 2 GD],tblActuals35415192327[Team 2],$CU7,tblActuals35415192327[Team 1],ET$3)+SUMIFS(tblActuals35415192327[Team 1 GD],tblActuals35415192327[Team 1],$CU7,tblActuals35415192327[Team 2],ET$3)</f>
        <v>0</v>
      </c>
      <c r="EU7" s="56">
        <f>SUMIFS(tblActuals35415192327[Team 2 GD],tblActuals35415192327[Team 2],$CU7,tblActuals35415192327[Team 1],EU$3)+SUMIFS(tblActuals35415192327[Team 1 GD],tblActuals35415192327[Team 1],$CU7,tblActuals35415192327[Team 2],EU$3)</f>
        <v>0</v>
      </c>
      <c r="EV7" s="56">
        <f>SUMIFS(tblActuals35415192327[Team 2 GD],tblActuals35415192327[Team 2],$CU7,tblActuals35415192327[Team 1],EV$3)+SUMIFS(tblActuals35415192327[Team 1 GD],tblActuals35415192327[Team 1],$CU7,tblActuals35415192327[Team 2],EV$3)</f>
        <v>0</v>
      </c>
      <c r="EW7" s="56">
        <f>SUMIFS(tblActuals35415192327[Team 2 GD],tblActuals35415192327[Team 2],$CU7,tblActuals35415192327[Team 1],EW$3)+SUMIFS(tblActuals35415192327[Team 1 GD],tblActuals35415192327[Team 1],$CU7,tblActuals35415192327[Team 2],EW$3)</f>
        <v>0</v>
      </c>
      <c r="EX7" s="56">
        <f>SUMIFS(tblActuals35415192327[Team 2 GD],tblActuals35415192327[Team 2],$CU7,tblActuals35415192327[Team 1],EX$3)+SUMIFS(tblActuals35415192327[Team 1 GD],tblActuals35415192327[Team 1],$CU7,tblActuals35415192327[Team 2],EX$3)</f>
        <v>0</v>
      </c>
      <c r="EY7" s="56">
        <f>SUMIFS(tblActuals35415192327[Team 2 GD],tblActuals35415192327[Team 2],$CU7,tblActuals35415192327[Team 1],EY$3)+SUMIFS(tblActuals35415192327[Team 1 GD],tblActuals35415192327[Team 1],$CU7,tblActuals35415192327[Team 2],EY$3)</f>
        <v>0</v>
      </c>
      <c r="EZ7" s="56">
        <f>SUMIFS(tblActuals35415192327[Team 2 GD],tblActuals35415192327[Team 2],$CU7,tblActuals35415192327[Team 1],EZ$3)+SUMIFS(tblActuals35415192327[Team 1 GD],tblActuals35415192327[Team 1],$CU7,tblActuals35415192327[Team 2],EZ$3)</f>
        <v>0</v>
      </c>
      <c r="FA7" s="56">
        <f>SUMIFS(tblActuals35415192327[Team 2 GD],tblActuals35415192327[Team 2],$CU7,tblActuals35415192327[Team 1],FA$3)+SUMIFS(tblActuals35415192327[Team 1 GD],tblActuals35415192327[Team 1],$CU7,tblActuals35415192327[Team 2],FA$3)</f>
        <v>0</v>
      </c>
      <c r="FB7" s="57"/>
      <c r="FC7" s="57"/>
      <c r="FD7" s="57"/>
      <c r="FE7" s="57"/>
      <c r="FF7" s="57"/>
      <c r="FG7" s="57"/>
      <c r="FH7" s="57"/>
      <c r="FI7" s="57"/>
      <c r="FJ7" s="4"/>
      <c r="FK7" s="4" t="s">
        <v>31</v>
      </c>
      <c r="FL7" s="56">
        <f>SUMIFS(tblActuals35415192327[Team 2 Goals],tblActuals35415192327[Team 2],$CU7,tblActuals35415192327[Team 1],FL$3)+SUMIFS(tblActuals35415192327[Team 1 Goals],tblActuals35415192327[Team 1],$CU7,tblActuals35415192327[Team 2],FL$3)</f>
        <v>0</v>
      </c>
      <c r="FM7" s="56">
        <f>SUMIFS(tblActuals35415192327[Team 2 Goals],tblActuals35415192327[Team 2],$CU7,tblActuals35415192327[Team 1],FM$3)+SUMIFS(tblActuals35415192327[Team 1 Goals],tblActuals35415192327[Team 1],$CU7,tblActuals35415192327[Team 2],FM$3)</f>
        <v>0</v>
      </c>
      <c r="FN7" s="56">
        <f>SUMIFS(tblActuals35415192327[Team 2 Goals],tblActuals35415192327[Team 2],$CU7,tblActuals35415192327[Team 1],FN$3)+SUMIFS(tblActuals35415192327[Team 1 Goals],tblActuals35415192327[Team 1],$CU7,tblActuals35415192327[Team 2],FN$3)</f>
        <v>0</v>
      </c>
      <c r="FO7" s="56">
        <f>SUMIFS(tblActuals35415192327[Team 2 Goals],tblActuals35415192327[Team 2],$CU7,tblActuals35415192327[Team 1],FO$3)+SUMIFS(tblActuals35415192327[Team 1 Goals],tblActuals35415192327[Team 1],$CU7,tblActuals35415192327[Team 2],FO$3)</f>
        <v>0</v>
      </c>
      <c r="FP7" s="56">
        <f>SUMIFS(tblActuals35415192327[Team 2 Goals],tblActuals35415192327[Team 2],$CU7,tblActuals35415192327[Team 1],FP$3)+SUMIFS(tblActuals35415192327[Team 1 Goals],tblActuals35415192327[Team 1],$CU7,tblActuals35415192327[Team 2],FP$3)</f>
        <v>0</v>
      </c>
      <c r="FQ7" s="56">
        <f>SUMIFS(tblActuals35415192327[Team 2 Goals],tblActuals35415192327[Team 2],$CU7,tblActuals35415192327[Team 1],FQ$3)+SUMIFS(tblActuals35415192327[Team 1 Goals],tblActuals35415192327[Team 1],$CU7,tblActuals35415192327[Team 2],FQ$3)</f>
        <v>0</v>
      </c>
      <c r="FR7" s="56">
        <f>SUMIFS(tblActuals35415192327[Team 2 Goals],tblActuals35415192327[Team 2],$CU7,tblActuals35415192327[Team 1],FR$3)+SUMIFS(tblActuals35415192327[Team 1 Goals],tblActuals35415192327[Team 1],$CU7,tblActuals35415192327[Team 2],FR$3)</f>
        <v>0</v>
      </c>
      <c r="FS7" s="56">
        <f>SUMIFS(tblActuals35415192327[Team 2 Goals],tblActuals35415192327[Team 2],$CU7,tblActuals35415192327[Team 1],FS$3)+SUMIFS(tblActuals35415192327[Team 1 Goals],tblActuals35415192327[Team 1],$CU7,tblActuals35415192327[Team 2],FS$3)</f>
        <v>0</v>
      </c>
      <c r="FT7" s="56">
        <f>SUMIFS(tblActuals35415192327[Team 2 Goals],tblActuals35415192327[Team 2],$CU7,tblActuals35415192327[Team 1],FT$3)+SUMIFS(tblActuals35415192327[Team 1 Goals],tblActuals35415192327[Team 1],$CU7,tblActuals35415192327[Team 2],FT$3)</f>
        <v>0</v>
      </c>
      <c r="FU7" s="56">
        <f>SUMIFS(tblActuals35415192327[Team 2 Goals],tblActuals35415192327[Team 2],$CU7,tblActuals35415192327[Team 1],FU$3)+SUMIFS(tblActuals35415192327[Team 1 Goals],tblActuals35415192327[Team 1],$CU7,tblActuals35415192327[Team 2],FU$3)</f>
        <v>0</v>
      </c>
      <c r="FV7" s="56">
        <f>SUMIFS(tblActuals35415192327[Team 2 Goals],tblActuals35415192327[Team 2],$CU7,tblActuals35415192327[Team 1],FV$3)+SUMIFS(tblActuals35415192327[Team 1 Goals],tblActuals35415192327[Team 1],$CU7,tblActuals35415192327[Team 2],FV$3)</f>
        <v>0</v>
      </c>
      <c r="FW7" s="56">
        <f>SUMIFS(tblActuals35415192327[Team 2 Goals],tblActuals35415192327[Team 2],$CU7,tblActuals35415192327[Team 1],FW$3)+SUMIFS(tblActuals35415192327[Team 1 Goals],tblActuals35415192327[Team 1],$CU7,tblActuals35415192327[Team 2],FW$3)</f>
        <v>0</v>
      </c>
      <c r="FX7" s="56">
        <f>SUMIFS(tblActuals35415192327[Team 2 Goals],tblActuals35415192327[Team 2],$CU7,tblActuals35415192327[Team 1],FX$3)+SUMIFS(tblActuals35415192327[Team 1 Goals],tblActuals35415192327[Team 1],$CU7,tblActuals35415192327[Team 2],FX$3)</f>
        <v>0</v>
      </c>
      <c r="FY7" s="56">
        <f>SUMIFS(tblActuals35415192327[Team 2 Goals],tblActuals35415192327[Team 2],$CU7,tblActuals35415192327[Team 1],FY$3)+SUMIFS(tblActuals35415192327[Team 1 Goals],tblActuals35415192327[Team 1],$CU7,tblActuals35415192327[Team 2],FY$3)</f>
        <v>0</v>
      </c>
      <c r="FZ7" s="56">
        <f>SUMIFS(tblActuals35415192327[Team 2 Goals],tblActuals35415192327[Team 2],$CU7,tblActuals35415192327[Team 1],FZ$3)+SUMIFS(tblActuals35415192327[Team 1 Goals],tblActuals35415192327[Team 1],$CU7,tblActuals35415192327[Team 2],FZ$3)</f>
        <v>0</v>
      </c>
      <c r="GA7" s="56">
        <f>SUMIFS(tblActuals35415192327[Team 2 Goals],tblActuals35415192327[Team 2],$CU7,tblActuals35415192327[Team 1],GA$3)+SUMIFS(tblActuals35415192327[Team 1 Goals],tblActuals35415192327[Team 1],$CU7,tblActuals35415192327[Team 2],GA$3)</f>
        <v>0</v>
      </c>
      <c r="GB7" s="56">
        <f>SUMIFS(tblActuals35415192327[Team 2 Goals],tblActuals35415192327[Team 2],$CU7,tblActuals35415192327[Team 1],GB$3)+SUMIFS(tblActuals35415192327[Team 1 Goals],tblActuals35415192327[Team 1],$CU7,tblActuals35415192327[Team 2],GB$3)</f>
        <v>0</v>
      </c>
      <c r="GC7" s="56">
        <f>SUMIFS(tblActuals35415192327[Team 2 Goals],tblActuals35415192327[Team 2],$CU7,tblActuals35415192327[Team 1],GC$3)+SUMIFS(tblActuals35415192327[Team 1 Goals],tblActuals35415192327[Team 1],$CU7,tblActuals35415192327[Team 2],GC$3)</f>
        <v>0</v>
      </c>
      <c r="GD7" s="56">
        <f>SUMIFS(tblActuals35415192327[Team 2 Goals],tblActuals35415192327[Team 2],$CU7,tblActuals35415192327[Team 1],GD$3)+SUMIFS(tblActuals35415192327[Team 1 Goals],tblActuals35415192327[Team 1],$CU7,tblActuals35415192327[Team 2],GD$3)</f>
        <v>0</v>
      </c>
      <c r="GE7" s="56">
        <f>SUMIFS(tblActuals35415192327[Team 2 Goals],tblActuals35415192327[Team 2],$CU7,tblActuals35415192327[Team 1],GE$3)+SUMIFS(tblActuals35415192327[Team 1 Goals],tblActuals35415192327[Team 1],$CU7,tblActuals35415192327[Team 2],GE$3)</f>
        <v>0</v>
      </c>
      <c r="GF7" s="56">
        <f>SUMIFS(tblActuals35415192327[Team 2 Goals],tblActuals35415192327[Team 2],$CU7,tblActuals35415192327[Team 1],GF$3)+SUMIFS(tblActuals35415192327[Team 1 Goals],tblActuals35415192327[Team 1],$CU7,tblActuals35415192327[Team 2],GF$3)</f>
        <v>0</v>
      </c>
      <c r="GG7" s="56">
        <f>SUMIFS(tblActuals35415192327[Team 2 Goals],tblActuals35415192327[Team 2],$CU7,tblActuals35415192327[Team 1],GG$3)+SUMIFS(tblActuals35415192327[Team 1 Goals],tblActuals35415192327[Team 1],$CU7,tblActuals35415192327[Team 2],GG$3)</f>
        <v>0</v>
      </c>
      <c r="GH7" s="56">
        <f>SUMIFS(tblActuals35415192327[Team 2 Goals],tblActuals35415192327[Team 2],$CU7,tblActuals35415192327[Team 1],GH$3)+SUMIFS(tblActuals35415192327[Team 1 Goals],tblActuals35415192327[Team 1],$CU7,tblActuals35415192327[Team 2],GH$3)</f>
        <v>0</v>
      </c>
      <c r="GI7" s="56">
        <f>SUMIFS(tblActuals35415192327[Team 2 Goals],tblActuals35415192327[Team 2],$CU7,tblActuals35415192327[Team 1],GI$3)+SUMIFS(tblActuals35415192327[Team 1 Goals],tblActuals35415192327[Team 1],$CU7,tblActuals35415192327[Team 2],GI$3)</f>
        <v>0</v>
      </c>
      <c r="GJ7" s="57"/>
      <c r="GK7" s="57"/>
      <c r="GL7" s="37"/>
      <c r="GM7" s="37"/>
      <c r="GN7" s="37"/>
      <c r="GO7" s="37"/>
      <c r="GP7" s="37"/>
      <c r="GQ7" s="37"/>
      <c r="GR7" s="75"/>
      <c r="GS7" s="156"/>
      <c r="GT7" s="156"/>
      <c r="GU7" s="75"/>
      <c r="GV7" s="22"/>
      <c r="GW7" s="75"/>
      <c r="GX7" s="75"/>
      <c r="GY7" s="75"/>
      <c r="GZ7" s="75"/>
      <c r="HB7" s="4" t="str">
        <f t="shared" si="12"/>
        <v>ABCF</v>
      </c>
      <c r="HC7" s="44" t="s">
        <v>1</v>
      </c>
      <c r="HD7" s="44" t="s">
        <v>5</v>
      </c>
      <c r="HE7" s="44" t="s">
        <v>6</v>
      </c>
      <c r="HF7" s="45"/>
      <c r="HG7" s="45"/>
      <c r="HH7" s="44" t="s">
        <v>45</v>
      </c>
      <c r="HI7" s="178"/>
      <c r="HJ7" s="45" t="s">
        <v>149</v>
      </c>
      <c r="HK7" s="45" t="s">
        <v>154</v>
      </c>
      <c r="HL7" s="45" t="s">
        <v>151</v>
      </c>
      <c r="HM7" s="45" t="s">
        <v>152</v>
      </c>
    </row>
    <row r="8" spans="1:221" s="11" customFormat="1" ht="30" customHeight="1" x14ac:dyDescent="0.2">
      <c r="A8" s="30" t="s">
        <v>49</v>
      </c>
      <c r="B8" s="122">
        <v>5</v>
      </c>
      <c r="C8" s="122" t="s">
        <v>6</v>
      </c>
      <c r="D8" s="123">
        <v>45459</v>
      </c>
      <c r="E8" s="122" t="s">
        <v>82</v>
      </c>
      <c r="F8" s="124">
        <v>0.875</v>
      </c>
      <c r="G8" s="125">
        <f t="shared" si="11"/>
        <v>45459.625</v>
      </c>
      <c r="H8" s="122" t="s">
        <v>93</v>
      </c>
      <c r="I8" s="126"/>
      <c r="J8" s="118"/>
      <c r="K8" s="118"/>
      <c r="L8" s="174">
        <f>IF(I8="",0,IFERROR(IF(SCORING.RULES!$C$8="No",1,((VLOOKUP($B8,ACTUALS!$B$4:$L$100,7,FALSE)=$H8)+(VLOOKUP($B8,ACTUALS!$B$4:$L$100,7,FALSE)=S8)))*(M8+N8+O8+P8+Q8),0))+$R8</f>
        <v>0</v>
      </c>
      <c r="M8" s="168">
        <f>IFERROR(IF($B8="","",IF(U8=INDEX(ACTUALS!$AA$4:$AA$100,MATCH($B8,ACTUALS!$B$4:$B$100,0),1),CorrectScore,0)),0)</f>
        <v>0</v>
      </c>
      <c r="N8" s="157" t="str">
        <f>IFERROR(IF(I8="","",IF(INDEX(ACTUALS!$AB$4:$AB$100,MATCH($B8,ACTUALS!$B$4:$B$100,0),1)=(AB8+AC8+AH8+AI8),CorrectNumberofGoals,0)),0)</f>
        <v/>
      </c>
      <c r="O8" s="157"/>
      <c r="P8" s="157">
        <f>IFERROR(IF(B8="","",IF(INDEX(ACTUALS!$L$4:$L$100,MATCH($B8,ACTUALS!$B$4:$B$100,0),1)=W8,CorrectResult,0)),0)</f>
        <v>3</v>
      </c>
      <c r="Q8" s="157"/>
      <c r="R8" s="157"/>
      <c r="S8" s="157" t="str">
        <f t="shared" si="0"/>
        <v/>
      </c>
      <c r="T8" s="157"/>
      <c r="U8" s="157" t="str">
        <f t="shared" si="1"/>
        <v/>
      </c>
      <c r="V8" s="157" t="str">
        <f t="shared" si="2"/>
        <v/>
      </c>
      <c r="W8" s="119" t="str">
        <f>IF(tblActuals35415192327[[#This Row],[SCORE]]="","",IF(AB8=AC8,"Draw",IF(AB8&gt;AC8,X8,Y8)))</f>
        <v/>
      </c>
      <c r="X8" s="120" t="str">
        <f>IF(tblActuals35415192327[[#This Row],[TEAMS]]="","",LEFT(H8,FIND(" -",H8,1)-1))</f>
        <v>Serbia</v>
      </c>
      <c r="Y8" s="120" t="str">
        <f>IF(tblActuals35415192327[[#This Row],[TEAMS]]="","",MID(H8,FIND("-",H8,1)+2,LEN(H8)-FIND("-",H8,1)+2))</f>
        <v>England</v>
      </c>
      <c r="Z8" s="120" t="str">
        <f>IF(tblActuals35415192327[[#This Row],[Team 1 Goals]]&gt;tblActuals35415192327[[#This Row],[Team 2 Goals]],tblActuals35415192327[[#This Row],[Team 1]],IF(tblActuals35415192327[[#This Row],[Team 2 Goals]]&gt;tblActuals35415192327[[#This Row],[Team 1 Goals]],tblActuals35415192327[[#This Row],[Team 2]],""))</f>
        <v/>
      </c>
      <c r="AA8" s="120" t="str">
        <f>IF(tblActuals35415192327[[#This Row],[Winner]]=tblActuals35415192327[[#This Row],[Team 1]],tblActuals35415192327[[#This Row],[Team 2]],IF(tblActuals35415192327[[#This Row],[Winner]]=tblActuals35415192327[[#This Row],[Team 2]],tblActuals35415192327[[#This Row],[Team 1]],""))</f>
        <v/>
      </c>
      <c r="AB8" s="120" t="str">
        <f>IF(tblActuals35415192327[[#This Row],[SCORE]]="","",LEFT(I8,FIND(":",I8,1)-1)*1)</f>
        <v/>
      </c>
      <c r="AC8" s="120" t="str">
        <f>IF(tblActuals35415192327[[#This Row],[SCORE]]="","",MID(I8,FIND(":",I8,1)+1,LEN(I8)-FIND(":",I8,1)+1)*1)</f>
        <v/>
      </c>
      <c r="AD8" s="120" t="str">
        <f>IF(OR(tblActuals35415192327[[#This Row],[Team 1 Goals]]="",tblActuals35415192327[[#This Row],[Team 2 Goals]]=""),"",tblActuals35415192327[[#This Row],[Team 1 Goals]]-tblActuals35415192327[[#This Row],[Team 2 Goals]])</f>
        <v/>
      </c>
      <c r="AE8" s="120" t="str">
        <f>IF(OR(tblActuals35415192327[[#This Row],[Team 1 Goals]]="",tblActuals35415192327[[#This Row],[Team 2 Goals]]=""),"",tblActuals35415192327[[#This Row],[Team 2 Goals]]-tblActuals35415192327[[#This Row],[Team 1 Goals]])</f>
        <v/>
      </c>
      <c r="AF8" s="120" t="str">
        <f>IF(tblActuals35415192327[[#This Row],[SCORE]]="","",IF(tblActuals35415192327[[#This Row],[WINNER / RESULT]]="Draw",1,IF(tblActuals35415192327[[#This Row],[WINNER / RESULT]]=tblActuals35415192327[[#This Row],[Team 1]],3,0)))</f>
        <v/>
      </c>
      <c r="AG8" s="120" t="str">
        <f>IF(tblActuals35415192327[[#This Row],[SCORE]]="","",IF(tblActuals35415192327[[#This Row],[WINNER / RESULT]]="Draw",1,IF(tblActuals35415192327[[#This Row],[WINNER / RESULT]]=tblActuals35415192327[[#This Row],[Team 2]],3,0)))</f>
        <v/>
      </c>
      <c r="AH8" s="121"/>
      <c r="AI8" s="121"/>
      <c r="AJ8" s="121"/>
      <c r="AK8" s="121"/>
      <c r="AL8" s="120" t="e">
        <f>tblActuals35415192327[[#This Row],[Team 1 Goals]]+tblActuals35415192327[[#This Row],[Team 1 ET Goals]]&amp;":"&amp;tblActuals35415192327[[#This Row],[Team 2 Goals]]+tblActuals35415192327[[#This Row],[Team 2 ET Goals]]</f>
        <v>#VALUE!</v>
      </c>
      <c r="AM8" s="120" t="e">
        <f>+tblActuals35415192327[[#This Row],[Team 1 Goals]]+tblActuals35415192327[[#This Row],[Team 2 Goals]]</f>
        <v>#VALUE!</v>
      </c>
      <c r="AN8" s="161">
        <f t="shared" si="3"/>
        <v>45459</v>
      </c>
      <c r="AP8" s="38" t="s">
        <v>85</v>
      </c>
      <c r="AT8" s="77" t="s">
        <v>1</v>
      </c>
      <c r="AU8" s="142">
        <v>3</v>
      </c>
      <c r="AV8" s="143" t="str">
        <f ca="1">IFERROR(INDEX(BD:BD,MATCH("3"&amp;AT8,BN:BN,0),1),"")</f>
        <v>Scotland</v>
      </c>
      <c r="AW8" s="143" t="str">
        <f ca="1">IF(AV8="","",VLOOKUP(AV8,BD:BI,2,FALSE)&amp;"-"&amp;VLOOKUP(AV8,BD:BI,3,FALSE)&amp;"-"&amp;VLOOKUP(AV8,BD:BI,4,FALSE))</f>
        <v>0-0-0</v>
      </c>
      <c r="AX8" s="143">
        <f ca="1">IF(AV8="","",VLOOKUP(AV8,BD:BK,8,FALSE))</f>
        <v>0</v>
      </c>
      <c r="AY8" s="144">
        <f ca="1">IF(AV8="","",VLOOKUP(AV8,BD:BN,5,FALSE))</f>
        <v>0</v>
      </c>
      <c r="AZ8" s="75" t="str">
        <f ca="1">IF(INDEX($AU$43:$AU$48,MATCH(AV8,$AV$43:$AV$48,0),1)&lt;=4,"X","")</f>
        <v/>
      </c>
      <c r="BA8" s="42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 t="str">
        <f t="shared" si="4"/>
        <v/>
      </c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 t="s">
        <v>12</v>
      </c>
      <c r="CB8" s="4" t="str">
        <f ca="1">AV32</f>
        <v>Slovakia</v>
      </c>
      <c r="CC8" s="4">
        <f t="shared" ca="1" si="5"/>
        <v>0</v>
      </c>
      <c r="CD8" s="4">
        <f t="shared" ca="1" si="6"/>
        <v>0</v>
      </c>
      <c r="CE8" s="4">
        <f t="shared" ca="1" si="7"/>
        <v>0</v>
      </c>
      <c r="CF8" s="4">
        <f t="shared" ca="1" si="8"/>
        <v>0</v>
      </c>
      <c r="CG8" s="4">
        <f t="shared" ca="1" si="9"/>
        <v>7.9999999999999996E-7</v>
      </c>
      <c r="CH8" s="4">
        <f t="shared" ca="1" si="10"/>
        <v>2</v>
      </c>
      <c r="CI8" s="4"/>
      <c r="CJ8" s="4"/>
      <c r="CK8" s="4"/>
      <c r="CL8" s="4"/>
      <c r="CM8" s="4"/>
      <c r="CN8" s="4"/>
      <c r="CO8" s="4"/>
      <c r="CP8" s="4"/>
      <c r="CQ8" s="4"/>
      <c r="CR8" s="4"/>
      <c r="CU8" s="4" t="s">
        <v>28</v>
      </c>
      <c r="CV8" s="56">
        <f>SUMIFS(tblActuals35415192327[Team 2 Points],tblActuals35415192327[Team 2],$CU8,tblActuals35415192327[Team 1],CV$3)+SUMIFS(tblActuals35415192327[Team 1 Points],tblActuals35415192327[Team 1],$CU8,tblActuals35415192327[Team 2],CV$3)</f>
        <v>0</v>
      </c>
      <c r="CW8" s="56">
        <f>SUMIFS(tblActuals35415192327[Team 2 Points],tblActuals35415192327[Team 2],$CU8,tblActuals35415192327[Team 1],CW$3)+SUMIFS(tblActuals35415192327[Team 1 Points],tblActuals35415192327[Team 1],$CU8,tblActuals35415192327[Team 2],CW$3)</f>
        <v>0</v>
      </c>
      <c r="CX8" s="56">
        <f>SUMIFS(tblActuals35415192327[Team 2 Points],tblActuals35415192327[Team 2],$CU8,tblActuals35415192327[Team 1],CX$3)+SUMIFS(tblActuals35415192327[Team 1 Points],tblActuals35415192327[Team 1],$CU8,tblActuals35415192327[Team 2],CX$3)</f>
        <v>0</v>
      </c>
      <c r="CY8" s="56">
        <f>SUMIFS(tblActuals35415192327[Team 2 Points],tblActuals35415192327[Team 2],$CU8,tblActuals35415192327[Team 1],CY$3)+SUMIFS(tblActuals35415192327[Team 1 Points],tblActuals35415192327[Team 1],$CU8,tblActuals35415192327[Team 2],CY$3)</f>
        <v>0</v>
      </c>
      <c r="CZ8" s="56">
        <f>SUMIFS(tblActuals35415192327[Team 2 Points],tblActuals35415192327[Team 2],$CU8,tblActuals35415192327[Team 1],CZ$3)+SUMIFS(tblActuals35415192327[Team 1 Points],tblActuals35415192327[Team 1],$CU8,tblActuals35415192327[Team 2],CZ$3)</f>
        <v>0</v>
      </c>
      <c r="DA8" s="56">
        <f>SUMIFS(tblActuals35415192327[Team 2 Points],tblActuals35415192327[Team 2],$CU8,tblActuals35415192327[Team 1],DA$3)+SUMIFS(tblActuals35415192327[Team 1 Points],tblActuals35415192327[Team 1],$CU8,tblActuals35415192327[Team 2],DA$3)</f>
        <v>0</v>
      </c>
      <c r="DB8" s="56">
        <f>SUMIFS(tblActuals35415192327[Team 2 Points],tblActuals35415192327[Team 2],$CU8,tblActuals35415192327[Team 1],DB$3)+SUMIFS(tblActuals35415192327[Team 1 Points],tblActuals35415192327[Team 1],$CU8,tblActuals35415192327[Team 2],DB$3)</f>
        <v>0</v>
      </c>
      <c r="DC8" s="56">
        <f>SUMIFS(tblActuals35415192327[Team 2 Points],tblActuals35415192327[Team 2],$CU8,tblActuals35415192327[Team 1],DC$3)+SUMIFS(tblActuals35415192327[Team 1 Points],tblActuals35415192327[Team 1],$CU8,tblActuals35415192327[Team 2],DC$3)</f>
        <v>0</v>
      </c>
      <c r="DD8" s="56">
        <f>SUMIFS(tblActuals35415192327[Team 2 Points],tblActuals35415192327[Team 2],$CU8,tblActuals35415192327[Team 1],DD$3)+SUMIFS(tblActuals35415192327[Team 1 Points],tblActuals35415192327[Team 1],$CU8,tblActuals35415192327[Team 2],DD$3)</f>
        <v>0</v>
      </c>
      <c r="DE8" s="56">
        <f>SUMIFS(tblActuals35415192327[Team 2 Points],tblActuals35415192327[Team 2],$CU8,tblActuals35415192327[Team 1],DE$3)+SUMIFS(tblActuals35415192327[Team 1 Points],tblActuals35415192327[Team 1],$CU8,tblActuals35415192327[Team 2],DE$3)</f>
        <v>0</v>
      </c>
      <c r="DF8" s="56">
        <f>SUMIFS(tblActuals35415192327[Team 2 Points],tblActuals35415192327[Team 2],$CU8,tblActuals35415192327[Team 1],DF$3)+SUMIFS(tblActuals35415192327[Team 1 Points],tblActuals35415192327[Team 1],$CU8,tblActuals35415192327[Team 2],DF$3)</f>
        <v>0</v>
      </c>
      <c r="DG8" s="56">
        <f>SUMIFS(tblActuals35415192327[Team 2 Points],tblActuals35415192327[Team 2],$CU8,tblActuals35415192327[Team 1],DG$3)+SUMIFS(tblActuals35415192327[Team 1 Points],tblActuals35415192327[Team 1],$CU8,tblActuals35415192327[Team 2],DG$3)</f>
        <v>0</v>
      </c>
      <c r="DH8" s="56">
        <f>SUMIFS(tblActuals35415192327[Team 2 Points],tblActuals35415192327[Team 2],$CU8,tblActuals35415192327[Team 1],DH$3)+SUMIFS(tblActuals35415192327[Team 1 Points],tblActuals35415192327[Team 1],$CU8,tblActuals35415192327[Team 2],DH$3)</f>
        <v>0</v>
      </c>
      <c r="DI8" s="56">
        <f>SUMIFS(tblActuals35415192327[Team 2 Points],tblActuals35415192327[Team 2],$CU8,tblActuals35415192327[Team 1],DI$3)+SUMIFS(tblActuals35415192327[Team 1 Points],tblActuals35415192327[Team 1],$CU8,tblActuals35415192327[Team 2],DI$3)</f>
        <v>0</v>
      </c>
      <c r="DJ8" s="56">
        <f>SUMIFS(tblActuals35415192327[Team 2 Points],tblActuals35415192327[Team 2],$CU8,tblActuals35415192327[Team 1],DJ$3)+SUMIFS(tblActuals35415192327[Team 1 Points],tblActuals35415192327[Team 1],$CU8,tblActuals35415192327[Team 2],DJ$3)</f>
        <v>0</v>
      </c>
      <c r="DK8" s="56">
        <f>SUMIFS(tblActuals35415192327[Team 2 Points],tblActuals35415192327[Team 2],$CU8,tblActuals35415192327[Team 1],DK$3)+SUMIFS(tblActuals35415192327[Team 1 Points],tblActuals35415192327[Team 1],$CU8,tblActuals35415192327[Team 2],DK$3)</f>
        <v>0</v>
      </c>
      <c r="DL8" s="56">
        <f>SUMIFS(tblActuals35415192327[Team 2 Points],tblActuals35415192327[Team 2],$CU8,tblActuals35415192327[Team 1],DL$3)+SUMIFS(tblActuals35415192327[Team 1 Points],tblActuals35415192327[Team 1],$CU8,tblActuals35415192327[Team 2],DL$3)</f>
        <v>0</v>
      </c>
      <c r="DM8" s="56">
        <f>SUMIFS(tblActuals35415192327[Team 2 Points],tblActuals35415192327[Team 2],$CU8,tblActuals35415192327[Team 1],DM$3)+SUMIFS(tblActuals35415192327[Team 1 Points],tblActuals35415192327[Team 1],$CU8,tblActuals35415192327[Team 2],DM$3)</f>
        <v>0</v>
      </c>
      <c r="DN8" s="56">
        <f>SUMIFS(tblActuals35415192327[Team 2 Points],tblActuals35415192327[Team 2],$CU8,tblActuals35415192327[Team 1],DN$3)+SUMIFS(tblActuals35415192327[Team 1 Points],tblActuals35415192327[Team 1],$CU8,tblActuals35415192327[Team 2],DN$3)</f>
        <v>0</v>
      </c>
      <c r="DO8" s="56">
        <f>SUMIFS(tblActuals35415192327[Team 2 Points],tblActuals35415192327[Team 2],$CU8,tblActuals35415192327[Team 1],DO$3)+SUMIFS(tblActuals35415192327[Team 1 Points],tblActuals35415192327[Team 1],$CU8,tblActuals35415192327[Team 2],DO$3)</f>
        <v>0</v>
      </c>
      <c r="DP8" s="56">
        <f>SUMIFS(tblActuals35415192327[Team 2 Points],tblActuals35415192327[Team 2],$CU8,tblActuals35415192327[Team 1],DP$3)+SUMIFS(tblActuals35415192327[Team 1 Points],tblActuals35415192327[Team 1],$CU8,tblActuals35415192327[Team 2],DP$3)</f>
        <v>0</v>
      </c>
      <c r="DQ8" s="56">
        <f>SUMIFS(tblActuals35415192327[Team 2 Points],tblActuals35415192327[Team 2],$CU8,tblActuals35415192327[Team 1],DQ$3)+SUMIFS(tblActuals35415192327[Team 1 Points],tblActuals35415192327[Team 1],$CU8,tblActuals35415192327[Team 2],DQ$3)</f>
        <v>0</v>
      </c>
      <c r="DR8" s="56">
        <f>SUMIFS(tblActuals35415192327[Team 2 Points],tblActuals35415192327[Team 2],$CU8,tblActuals35415192327[Team 1],DR$3)+SUMIFS(tblActuals35415192327[Team 1 Points],tblActuals35415192327[Team 1],$CU8,tblActuals35415192327[Team 2],DR$3)</f>
        <v>0</v>
      </c>
      <c r="DS8" s="56">
        <f>SUMIFS(tblActuals35415192327[Team 2 Points],tblActuals35415192327[Team 2],$CU8,tblActuals35415192327[Team 1],DS$3)+SUMIFS(tblActuals35415192327[Team 1 Points],tblActuals35415192327[Team 1],$CU8,tblActuals35415192327[Team 2],DS$3)</f>
        <v>0</v>
      </c>
      <c r="DT8" s="57"/>
      <c r="DU8" s="57"/>
      <c r="DV8" s="57"/>
      <c r="DW8" s="57"/>
      <c r="DX8" s="57"/>
      <c r="DY8" s="57"/>
      <c r="DZ8" s="57"/>
      <c r="EA8" s="57"/>
      <c r="EB8" s="4"/>
      <c r="EC8" s="4" t="s">
        <v>28</v>
      </c>
      <c r="ED8" s="56">
        <f>SUMIFS(tblActuals35415192327[Team 2 GD],tblActuals35415192327[Team 2],$CU8,tblActuals35415192327[Team 1],ED$3)+SUMIFS(tblActuals35415192327[Team 1 GD],tblActuals35415192327[Team 1],$CU8,tblActuals35415192327[Team 2],ED$3)</f>
        <v>0</v>
      </c>
      <c r="EE8" s="56">
        <f>SUMIFS(tblActuals35415192327[Team 2 GD],tblActuals35415192327[Team 2],$CU8,tblActuals35415192327[Team 1],EE$3)+SUMIFS(tblActuals35415192327[Team 1 GD],tblActuals35415192327[Team 1],$CU8,tblActuals35415192327[Team 2],EE$3)</f>
        <v>0</v>
      </c>
      <c r="EF8" s="56">
        <f>SUMIFS(tblActuals35415192327[Team 2 GD],tblActuals35415192327[Team 2],$CU8,tblActuals35415192327[Team 1],EF$3)+SUMIFS(tblActuals35415192327[Team 1 GD],tblActuals35415192327[Team 1],$CU8,tblActuals35415192327[Team 2],EF$3)</f>
        <v>0</v>
      </c>
      <c r="EG8" s="56">
        <f>SUMIFS(tblActuals35415192327[Team 2 GD],tblActuals35415192327[Team 2],$CU8,tblActuals35415192327[Team 1],EG$3)+SUMIFS(tblActuals35415192327[Team 1 GD],tblActuals35415192327[Team 1],$CU8,tblActuals35415192327[Team 2],EG$3)</f>
        <v>0</v>
      </c>
      <c r="EH8" s="56">
        <f>SUMIFS(tblActuals35415192327[Team 2 GD],tblActuals35415192327[Team 2],$CU8,tblActuals35415192327[Team 1],EH$3)+SUMIFS(tblActuals35415192327[Team 1 GD],tblActuals35415192327[Team 1],$CU8,tblActuals35415192327[Team 2],EH$3)</f>
        <v>0</v>
      </c>
      <c r="EI8" s="56">
        <f>SUMIFS(tblActuals35415192327[Team 2 GD],tblActuals35415192327[Team 2],$CU8,tblActuals35415192327[Team 1],EI$3)+SUMIFS(tblActuals35415192327[Team 1 GD],tblActuals35415192327[Team 1],$CU8,tblActuals35415192327[Team 2],EI$3)</f>
        <v>0</v>
      </c>
      <c r="EJ8" s="56">
        <f>SUMIFS(tblActuals35415192327[Team 2 GD],tblActuals35415192327[Team 2],$CU8,tblActuals35415192327[Team 1],EJ$3)+SUMIFS(tblActuals35415192327[Team 1 GD],tblActuals35415192327[Team 1],$CU8,tblActuals35415192327[Team 2],EJ$3)</f>
        <v>0</v>
      </c>
      <c r="EK8" s="56">
        <f>SUMIFS(tblActuals35415192327[Team 2 GD],tblActuals35415192327[Team 2],$CU8,tblActuals35415192327[Team 1],EK$3)+SUMIFS(tblActuals35415192327[Team 1 GD],tblActuals35415192327[Team 1],$CU8,tblActuals35415192327[Team 2],EK$3)</f>
        <v>0</v>
      </c>
      <c r="EL8" s="56">
        <f>SUMIFS(tblActuals35415192327[Team 2 GD],tblActuals35415192327[Team 2],$CU8,tblActuals35415192327[Team 1],EL$3)+SUMIFS(tblActuals35415192327[Team 1 GD],tblActuals35415192327[Team 1],$CU8,tblActuals35415192327[Team 2],EL$3)</f>
        <v>0</v>
      </c>
      <c r="EM8" s="56">
        <f>SUMIFS(tblActuals35415192327[Team 2 GD],tblActuals35415192327[Team 2],$CU8,tblActuals35415192327[Team 1],EM$3)+SUMIFS(tblActuals35415192327[Team 1 GD],tblActuals35415192327[Team 1],$CU8,tblActuals35415192327[Team 2],EM$3)</f>
        <v>0</v>
      </c>
      <c r="EN8" s="56">
        <f>SUMIFS(tblActuals35415192327[Team 2 GD],tblActuals35415192327[Team 2],$CU8,tblActuals35415192327[Team 1],EN$3)+SUMIFS(tblActuals35415192327[Team 1 GD],tblActuals35415192327[Team 1],$CU8,tblActuals35415192327[Team 2],EN$3)</f>
        <v>0</v>
      </c>
      <c r="EO8" s="56">
        <f>SUMIFS(tblActuals35415192327[Team 2 GD],tblActuals35415192327[Team 2],$CU8,tblActuals35415192327[Team 1],EO$3)+SUMIFS(tblActuals35415192327[Team 1 GD],tblActuals35415192327[Team 1],$CU8,tblActuals35415192327[Team 2],EO$3)</f>
        <v>0</v>
      </c>
      <c r="EP8" s="56">
        <f>SUMIFS(tblActuals35415192327[Team 2 GD],tblActuals35415192327[Team 2],$CU8,tblActuals35415192327[Team 1],EP$3)+SUMIFS(tblActuals35415192327[Team 1 GD],tblActuals35415192327[Team 1],$CU8,tblActuals35415192327[Team 2],EP$3)</f>
        <v>0</v>
      </c>
      <c r="EQ8" s="56">
        <f>SUMIFS(tblActuals35415192327[Team 2 GD],tblActuals35415192327[Team 2],$CU8,tblActuals35415192327[Team 1],EQ$3)+SUMIFS(tblActuals35415192327[Team 1 GD],tblActuals35415192327[Team 1],$CU8,tblActuals35415192327[Team 2],EQ$3)</f>
        <v>0</v>
      </c>
      <c r="ER8" s="56">
        <f>SUMIFS(tblActuals35415192327[Team 2 GD],tblActuals35415192327[Team 2],$CU8,tblActuals35415192327[Team 1],ER$3)+SUMIFS(tblActuals35415192327[Team 1 GD],tblActuals35415192327[Team 1],$CU8,tblActuals35415192327[Team 2],ER$3)</f>
        <v>0</v>
      </c>
      <c r="ES8" s="56">
        <f>SUMIFS(tblActuals35415192327[Team 2 GD],tblActuals35415192327[Team 2],$CU8,tblActuals35415192327[Team 1],ES$3)+SUMIFS(tblActuals35415192327[Team 1 GD],tblActuals35415192327[Team 1],$CU8,tblActuals35415192327[Team 2],ES$3)</f>
        <v>0</v>
      </c>
      <c r="ET8" s="56">
        <f>SUMIFS(tblActuals35415192327[Team 2 GD],tblActuals35415192327[Team 2],$CU8,tblActuals35415192327[Team 1],ET$3)+SUMIFS(tblActuals35415192327[Team 1 GD],tblActuals35415192327[Team 1],$CU8,tblActuals35415192327[Team 2],ET$3)</f>
        <v>0</v>
      </c>
      <c r="EU8" s="56">
        <f>SUMIFS(tblActuals35415192327[Team 2 GD],tblActuals35415192327[Team 2],$CU8,tblActuals35415192327[Team 1],EU$3)+SUMIFS(tblActuals35415192327[Team 1 GD],tblActuals35415192327[Team 1],$CU8,tblActuals35415192327[Team 2],EU$3)</f>
        <v>0</v>
      </c>
      <c r="EV8" s="56">
        <f>SUMIFS(tblActuals35415192327[Team 2 GD],tblActuals35415192327[Team 2],$CU8,tblActuals35415192327[Team 1],EV$3)+SUMIFS(tblActuals35415192327[Team 1 GD],tblActuals35415192327[Team 1],$CU8,tblActuals35415192327[Team 2],EV$3)</f>
        <v>0</v>
      </c>
      <c r="EW8" s="56">
        <f>SUMIFS(tblActuals35415192327[Team 2 GD],tblActuals35415192327[Team 2],$CU8,tblActuals35415192327[Team 1],EW$3)+SUMIFS(tblActuals35415192327[Team 1 GD],tblActuals35415192327[Team 1],$CU8,tblActuals35415192327[Team 2],EW$3)</f>
        <v>0</v>
      </c>
      <c r="EX8" s="56">
        <f>SUMIFS(tblActuals35415192327[Team 2 GD],tblActuals35415192327[Team 2],$CU8,tblActuals35415192327[Team 1],EX$3)+SUMIFS(tblActuals35415192327[Team 1 GD],tblActuals35415192327[Team 1],$CU8,tblActuals35415192327[Team 2],EX$3)</f>
        <v>0</v>
      </c>
      <c r="EY8" s="56">
        <f>SUMIFS(tblActuals35415192327[Team 2 GD],tblActuals35415192327[Team 2],$CU8,tblActuals35415192327[Team 1],EY$3)+SUMIFS(tblActuals35415192327[Team 1 GD],tblActuals35415192327[Team 1],$CU8,tblActuals35415192327[Team 2],EY$3)</f>
        <v>0</v>
      </c>
      <c r="EZ8" s="56">
        <f>SUMIFS(tblActuals35415192327[Team 2 GD],tblActuals35415192327[Team 2],$CU8,tblActuals35415192327[Team 1],EZ$3)+SUMIFS(tblActuals35415192327[Team 1 GD],tblActuals35415192327[Team 1],$CU8,tblActuals35415192327[Team 2],EZ$3)</f>
        <v>0</v>
      </c>
      <c r="FA8" s="56">
        <f>SUMIFS(tblActuals35415192327[Team 2 GD],tblActuals35415192327[Team 2],$CU8,tblActuals35415192327[Team 1],FA$3)+SUMIFS(tblActuals35415192327[Team 1 GD],tblActuals35415192327[Team 1],$CU8,tblActuals35415192327[Team 2],FA$3)</f>
        <v>0</v>
      </c>
      <c r="FB8" s="57"/>
      <c r="FC8" s="57"/>
      <c r="FD8" s="57"/>
      <c r="FE8" s="57"/>
      <c r="FF8" s="57"/>
      <c r="FG8" s="57"/>
      <c r="FH8" s="57"/>
      <c r="FI8" s="57"/>
      <c r="FJ8" s="4"/>
      <c r="FK8" s="4" t="s">
        <v>28</v>
      </c>
      <c r="FL8" s="56">
        <f>SUMIFS(tblActuals35415192327[Team 2 Goals],tblActuals35415192327[Team 2],$CU8,tblActuals35415192327[Team 1],FL$3)+SUMIFS(tblActuals35415192327[Team 1 Goals],tblActuals35415192327[Team 1],$CU8,tblActuals35415192327[Team 2],FL$3)</f>
        <v>0</v>
      </c>
      <c r="FM8" s="56">
        <f>SUMIFS(tblActuals35415192327[Team 2 Goals],tblActuals35415192327[Team 2],$CU8,tblActuals35415192327[Team 1],FM$3)+SUMIFS(tblActuals35415192327[Team 1 Goals],tblActuals35415192327[Team 1],$CU8,tblActuals35415192327[Team 2],FM$3)</f>
        <v>0</v>
      </c>
      <c r="FN8" s="56">
        <f>SUMIFS(tblActuals35415192327[Team 2 Goals],tblActuals35415192327[Team 2],$CU8,tblActuals35415192327[Team 1],FN$3)+SUMIFS(tblActuals35415192327[Team 1 Goals],tblActuals35415192327[Team 1],$CU8,tblActuals35415192327[Team 2],FN$3)</f>
        <v>0</v>
      </c>
      <c r="FO8" s="56">
        <f>SUMIFS(tblActuals35415192327[Team 2 Goals],tblActuals35415192327[Team 2],$CU8,tblActuals35415192327[Team 1],FO$3)+SUMIFS(tblActuals35415192327[Team 1 Goals],tblActuals35415192327[Team 1],$CU8,tblActuals35415192327[Team 2],FO$3)</f>
        <v>0</v>
      </c>
      <c r="FP8" s="56">
        <f>SUMIFS(tblActuals35415192327[Team 2 Goals],tblActuals35415192327[Team 2],$CU8,tblActuals35415192327[Team 1],FP$3)+SUMIFS(tblActuals35415192327[Team 1 Goals],tblActuals35415192327[Team 1],$CU8,tblActuals35415192327[Team 2],FP$3)</f>
        <v>0</v>
      </c>
      <c r="FQ8" s="56">
        <f>SUMIFS(tblActuals35415192327[Team 2 Goals],tblActuals35415192327[Team 2],$CU8,tblActuals35415192327[Team 1],FQ$3)+SUMIFS(tblActuals35415192327[Team 1 Goals],tblActuals35415192327[Team 1],$CU8,tblActuals35415192327[Team 2],FQ$3)</f>
        <v>0</v>
      </c>
      <c r="FR8" s="56">
        <f>SUMIFS(tblActuals35415192327[Team 2 Goals],tblActuals35415192327[Team 2],$CU8,tblActuals35415192327[Team 1],FR$3)+SUMIFS(tblActuals35415192327[Team 1 Goals],tblActuals35415192327[Team 1],$CU8,tblActuals35415192327[Team 2],FR$3)</f>
        <v>0</v>
      </c>
      <c r="FS8" s="56">
        <f>SUMIFS(tblActuals35415192327[Team 2 Goals],tblActuals35415192327[Team 2],$CU8,tblActuals35415192327[Team 1],FS$3)+SUMIFS(tblActuals35415192327[Team 1 Goals],tblActuals35415192327[Team 1],$CU8,tblActuals35415192327[Team 2],FS$3)</f>
        <v>0</v>
      </c>
      <c r="FT8" s="56">
        <f>SUMIFS(tblActuals35415192327[Team 2 Goals],tblActuals35415192327[Team 2],$CU8,tblActuals35415192327[Team 1],FT$3)+SUMIFS(tblActuals35415192327[Team 1 Goals],tblActuals35415192327[Team 1],$CU8,tblActuals35415192327[Team 2],FT$3)</f>
        <v>0</v>
      </c>
      <c r="FU8" s="56">
        <f>SUMIFS(tblActuals35415192327[Team 2 Goals],tblActuals35415192327[Team 2],$CU8,tblActuals35415192327[Team 1],FU$3)+SUMIFS(tblActuals35415192327[Team 1 Goals],tblActuals35415192327[Team 1],$CU8,tblActuals35415192327[Team 2],FU$3)</f>
        <v>0</v>
      </c>
      <c r="FV8" s="56">
        <f>SUMIFS(tblActuals35415192327[Team 2 Goals],tblActuals35415192327[Team 2],$CU8,tblActuals35415192327[Team 1],FV$3)+SUMIFS(tblActuals35415192327[Team 1 Goals],tblActuals35415192327[Team 1],$CU8,tblActuals35415192327[Team 2],FV$3)</f>
        <v>0</v>
      </c>
      <c r="FW8" s="56">
        <f>SUMIFS(tblActuals35415192327[Team 2 Goals],tblActuals35415192327[Team 2],$CU8,tblActuals35415192327[Team 1],FW$3)+SUMIFS(tblActuals35415192327[Team 1 Goals],tblActuals35415192327[Team 1],$CU8,tblActuals35415192327[Team 2],FW$3)</f>
        <v>0</v>
      </c>
      <c r="FX8" s="56">
        <f>SUMIFS(tblActuals35415192327[Team 2 Goals],tblActuals35415192327[Team 2],$CU8,tblActuals35415192327[Team 1],FX$3)+SUMIFS(tblActuals35415192327[Team 1 Goals],tblActuals35415192327[Team 1],$CU8,tblActuals35415192327[Team 2],FX$3)</f>
        <v>0</v>
      </c>
      <c r="FY8" s="56">
        <f>SUMIFS(tblActuals35415192327[Team 2 Goals],tblActuals35415192327[Team 2],$CU8,tblActuals35415192327[Team 1],FY$3)+SUMIFS(tblActuals35415192327[Team 1 Goals],tblActuals35415192327[Team 1],$CU8,tblActuals35415192327[Team 2],FY$3)</f>
        <v>0</v>
      </c>
      <c r="FZ8" s="56">
        <f>SUMIFS(tblActuals35415192327[Team 2 Goals],tblActuals35415192327[Team 2],$CU8,tblActuals35415192327[Team 1],FZ$3)+SUMIFS(tblActuals35415192327[Team 1 Goals],tblActuals35415192327[Team 1],$CU8,tblActuals35415192327[Team 2],FZ$3)</f>
        <v>0</v>
      </c>
      <c r="GA8" s="56">
        <f>SUMIFS(tblActuals35415192327[Team 2 Goals],tblActuals35415192327[Team 2],$CU8,tblActuals35415192327[Team 1],GA$3)+SUMIFS(tblActuals35415192327[Team 1 Goals],tblActuals35415192327[Team 1],$CU8,tblActuals35415192327[Team 2],GA$3)</f>
        <v>0</v>
      </c>
      <c r="GB8" s="56">
        <f>SUMIFS(tblActuals35415192327[Team 2 Goals],tblActuals35415192327[Team 2],$CU8,tblActuals35415192327[Team 1],GB$3)+SUMIFS(tblActuals35415192327[Team 1 Goals],tblActuals35415192327[Team 1],$CU8,tblActuals35415192327[Team 2],GB$3)</f>
        <v>0</v>
      </c>
      <c r="GC8" s="56">
        <f>SUMIFS(tblActuals35415192327[Team 2 Goals],tblActuals35415192327[Team 2],$CU8,tblActuals35415192327[Team 1],GC$3)+SUMIFS(tblActuals35415192327[Team 1 Goals],tblActuals35415192327[Team 1],$CU8,tblActuals35415192327[Team 2],GC$3)</f>
        <v>0</v>
      </c>
      <c r="GD8" s="56">
        <f>SUMIFS(tblActuals35415192327[Team 2 Goals],tblActuals35415192327[Team 2],$CU8,tblActuals35415192327[Team 1],GD$3)+SUMIFS(tblActuals35415192327[Team 1 Goals],tblActuals35415192327[Team 1],$CU8,tblActuals35415192327[Team 2],GD$3)</f>
        <v>0</v>
      </c>
      <c r="GE8" s="56">
        <f>SUMIFS(tblActuals35415192327[Team 2 Goals],tblActuals35415192327[Team 2],$CU8,tblActuals35415192327[Team 1],GE$3)+SUMIFS(tblActuals35415192327[Team 1 Goals],tblActuals35415192327[Team 1],$CU8,tblActuals35415192327[Team 2],GE$3)</f>
        <v>0</v>
      </c>
      <c r="GF8" s="56">
        <f>SUMIFS(tblActuals35415192327[Team 2 Goals],tblActuals35415192327[Team 2],$CU8,tblActuals35415192327[Team 1],GF$3)+SUMIFS(tblActuals35415192327[Team 1 Goals],tblActuals35415192327[Team 1],$CU8,tblActuals35415192327[Team 2],GF$3)</f>
        <v>0</v>
      </c>
      <c r="GG8" s="56">
        <f>SUMIFS(tblActuals35415192327[Team 2 Goals],tblActuals35415192327[Team 2],$CU8,tblActuals35415192327[Team 1],GG$3)+SUMIFS(tblActuals35415192327[Team 1 Goals],tblActuals35415192327[Team 1],$CU8,tblActuals35415192327[Team 2],GG$3)</f>
        <v>0</v>
      </c>
      <c r="GH8" s="56">
        <f>SUMIFS(tblActuals35415192327[Team 2 Goals],tblActuals35415192327[Team 2],$CU8,tblActuals35415192327[Team 1],GH$3)+SUMIFS(tblActuals35415192327[Team 1 Goals],tblActuals35415192327[Team 1],$CU8,tblActuals35415192327[Team 2],GH$3)</f>
        <v>0</v>
      </c>
      <c r="GI8" s="56">
        <f>SUMIFS(tblActuals35415192327[Team 2 Goals],tblActuals35415192327[Team 2],$CU8,tblActuals35415192327[Team 1],GI$3)+SUMIFS(tblActuals35415192327[Team 1 Goals],tblActuals35415192327[Team 1],$CU8,tblActuals35415192327[Team 2],GI$3)</f>
        <v>0</v>
      </c>
      <c r="GJ8" s="57"/>
      <c r="GK8" s="57"/>
      <c r="GL8" s="37"/>
      <c r="GM8" s="37"/>
      <c r="GN8" s="37"/>
      <c r="GO8" s="37"/>
      <c r="GP8" s="37"/>
      <c r="GQ8" s="37"/>
      <c r="GR8" s="75"/>
      <c r="GS8" s="156"/>
      <c r="GT8" s="156"/>
      <c r="GU8" s="75"/>
      <c r="GV8" s="22"/>
      <c r="GW8" s="75"/>
      <c r="GX8" s="75"/>
      <c r="GY8" s="75"/>
      <c r="GZ8" s="75"/>
      <c r="HB8" s="4" t="str">
        <f t="shared" si="12"/>
        <v>ABDE</v>
      </c>
      <c r="HC8" s="44" t="s">
        <v>1</v>
      </c>
      <c r="HD8" s="44" t="s">
        <v>5</v>
      </c>
      <c r="HE8" s="45"/>
      <c r="HF8" s="44" t="s">
        <v>7</v>
      </c>
      <c r="HG8" s="44" t="s">
        <v>12</v>
      </c>
      <c r="HH8" s="45"/>
      <c r="HI8" s="178"/>
      <c r="HJ8" s="45" t="s">
        <v>150</v>
      </c>
      <c r="HK8" s="45" t="s">
        <v>153</v>
      </c>
      <c r="HL8" s="45" t="s">
        <v>149</v>
      </c>
      <c r="HM8" s="45" t="s">
        <v>151</v>
      </c>
    </row>
    <row r="9" spans="1:221" s="11" customFormat="1" ht="30" customHeight="1" thickBot="1" x14ac:dyDescent="0.25">
      <c r="A9" s="20"/>
      <c r="B9" s="122">
        <v>6</v>
      </c>
      <c r="C9" s="122" t="s">
        <v>6</v>
      </c>
      <c r="D9" s="123">
        <v>45459</v>
      </c>
      <c r="E9" s="122" t="s">
        <v>83</v>
      </c>
      <c r="F9" s="124">
        <v>0.75</v>
      </c>
      <c r="G9" s="125">
        <f t="shared" si="11"/>
        <v>45459.5</v>
      </c>
      <c r="H9" s="122" t="s">
        <v>94</v>
      </c>
      <c r="I9" s="126"/>
      <c r="J9" s="118"/>
      <c r="K9" s="118"/>
      <c r="L9" s="174">
        <f>IF(I9="",0,IFERROR(IF(SCORING.RULES!$C$8="No",1,((VLOOKUP($B9,ACTUALS!$B$4:$L$100,7,FALSE)=$H9)+(VLOOKUP($B9,ACTUALS!$B$4:$L$100,7,FALSE)=S9)))*(M9+N9+O9+P9+Q9),0))+$R9</f>
        <v>0</v>
      </c>
      <c r="M9" s="168">
        <f>IFERROR(IF($B9="","",IF(U9=INDEX(ACTUALS!$AA$4:$AA$100,MATCH($B9,ACTUALS!$B$4:$B$100,0),1),CorrectScore,0)),0)</f>
        <v>0</v>
      </c>
      <c r="N9" s="157" t="str">
        <f>IFERROR(IF(I9="","",IF(INDEX(ACTUALS!$AB$4:$AB$100,MATCH($B9,ACTUALS!$B$4:$B$100,0),1)=(AB9+AC9+AH9+AI9),CorrectNumberofGoals,0)),0)</f>
        <v/>
      </c>
      <c r="O9" s="157"/>
      <c r="P9" s="157">
        <f>IFERROR(IF(B9="","",IF(INDEX(ACTUALS!$L$4:$L$100,MATCH($B9,ACTUALS!$B$4:$B$100,0),1)=W9,CorrectResult,0)),0)</f>
        <v>3</v>
      </c>
      <c r="Q9" s="157"/>
      <c r="R9" s="157"/>
      <c r="S9" s="157" t="str">
        <f t="shared" si="0"/>
        <v/>
      </c>
      <c r="T9" s="157"/>
      <c r="U9" s="157" t="str">
        <f t="shared" si="1"/>
        <v/>
      </c>
      <c r="V9" s="157" t="str">
        <f t="shared" si="2"/>
        <v/>
      </c>
      <c r="W9" s="119" t="str">
        <f>IF(tblActuals35415192327[[#This Row],[SCORE]]="","",IF(AB9=AC9,"Draw",IF(AB9&gt;AC9,X9,Y9)))</f>
        <v/>
      </c>
      <c r="X9" s="120" t="str">
        <f>IF(tblActuals35415192327[[#This Row],[TEAMS]]="","",LEFT(H9,FIND(" -",H9,1)-1))</f>
        <v>Slovenia</v>
      </c>
      <c r="Y9" s="120" t="str">
        <f>IF(tblActuals35415192327[[#This Row],[TEAMS]]="","",MID(H9,FIND("-",H9,1)+2,LEN(H9)-FIND("-",H9,1)+2))</f>
        <v>Denmark</v>
      </c>
      <c r="Z9" s="120" t="str">
        <f>IF(tblActuals35415192327[[#This Row],[Team 1 Goals]]&gt;tblActuals35415192327[[#This Row],[Team 2 Goals]],tblActuals35415192327[[#This Row],[Team 1]],IF(tblActuals35415192327[[#This Row],[Team 2 Goals]]&gt;tblActuals35415192327[[#This Row],[Team 1 Goals]],tblActuals35415192327[[#This Row],[Team 2]],""))</f>
        <v/>
      </c>
      <c r="AA9" s="120" t="str">
        <f>IF(tblActuals35415192327[[#This Row],[Winner]]=tblActuals35415192327[[#This Row],[Team 1]],tblActuals35415192327[[#This Row],[Team 2]],IF(tblActuals35415192327[[#This Row],[Winner]]=tblActuals35415192327[[#This Row],[Team 2]],tblActuals35415192327[[#This Row],[Team 1]],""))</f>
        <v/>
      </c>
      <c r="AB9" s="120" t="str">
        <f>IF(tblActuals35415192327[[#This Row],[SCORE]]="","",LEFT(I9,FIND(":",I9,1)-1)*1)</f>
        <v/>
      </c>
      <c r="AC9" s="120" t="str">
        <f>IF(tblActuals35415192327[[#This Row],[SCORE]]="","",MID(I9,FIND(":",I9,1)+1,LEN(I9)-FIND(":",I9,1)+1)*1)</f>
        <v/>
      </c>
      <c r="AD9" s="120" t="str">
        <f>IF(OR(tblActuals35415192327[[#This Row],[Team 1 Goals]]="",tblActuals35415192327[[#This Row],[Team 2 Goals]]=""),"",tblActuals35415192327[[#This Row],[Team 1 Goals]]-tblActuals35415192327[[#This Row],[Team 2 Goals]])</f>
        <v/>
      </c>
      <c r="AE9" s="120" t="str">
        <f>IF(OR(tblActuals35415192327[[#This Row],[Team 1 Goals]]="",tblActuals35415192327[[#This Row],[Team 2 Goals]]=""),"",tblActuals35415192327[[#This Row],[Team 2 Goals]]-tblActuals35415192327[[#This Row],[Team 1 Goals]])</f>
        <v/>
      </c>
      <c r="AF9" s="120" t="str">
        <f>IF(tblActuals35415192327[[#This Row],[SCORE]]="","",IF(tblActuals35415192327[[#This Row],[WINNER / RESULT]]="Draw",1,IF(tblActuals35415192327[[#This Row],[WINNER / RESULT]]=tblActuals35415192327[[#This Row],[Team 1]],3,0)))</f>
        <v/>
      </c>
      <c r="AG9" s="120" t="str">
        <f>IF(tblActuals35415192327[[#This Row],[SCORE]]="","",IF(tblActuals35415192327[[#This Row],[WINNER / RESULT]]="Draw",1,IF(tblActuals35415192327[[#This Row],[WINNER / RESULT]]=tblActuals35415192327[[#This Row],[Team 2]],3,0)))</f>
        <v/>
      </c>
      <c r="AH9" s="121"/>
      <c r="AI9" s="121"/>
      <c r="AJ9" s="121"/>
      <c r="AK9" s="121"/>
      <c r="AL9" s="120" t="e">
        <f>tblActuals35415192327[[#This Row],[Team 1 Goals]]+tblActuals35415192327[[#This Row],[Team 1 ET Goals]]&amp;":"&amp;tblActuals35415192327[[#This Row],[Team 2 Goals]]+tblActuals35415192327[[#This Row],[Team 2 ET Goals]]</f>
        <v>#VALUE!</v>
      </c>
      <c r="AM9" s="120" t="e">
        <f>+tblActuals35415192327[[#This Row],[Team 1 Goals]]+tblActuals35415192327[[#This Row],[Team 2 Goals]]</f>
        <v>#VALUE!</v>
      </c>
      <c r="AN9" s="161">
        <f t="shared" si="3"/>
        <v>45459</v>
      </c>
      <c r="AP9" s="38" t="s">
        <v>86</v>
      </c>
      <c r="AT9" s="77" t="s">
        <v>1</v>
      </c>
      <c r="AU9" s="145">
        <v>4</v>
      </c>
      <c r="AV9" s="146" t="str">
        <f ca="1">IFERROR(INDEX(BD:BD,MATCH("4"&amp;AT9,BN:BN,0),1),"")</f>
        <v>Switzerland</v>
      </c>
      <c r="AW9" s="146" t="str">
        <f ca="1">IF(AV9="","",VLOOKUP(AV9,BD:BI,2,FALSE)&amp;"-"&amp;VLOOKUP(AV9,BD:BI,3,FALSE)&amp;"-"&amp;VLOOKUP(AV9,BD:BI,4,FALSE))</f>
        <v>0-0-0</v>
      </c>
      <c r="AX9" s="146">
        <f ca="1">IF(AV9="","",VLOOKUP(AV9,BD:BK,8,FALSE))</f>
        <v>0</v>
      </c>
      <c r="AY9" s="147">
        <f ca="1">IF(AV9="","",VLOOKUP(AV9,BD:BN,5,FALSE))</f>
        <v>0</v>
      </c>
      <c r="AZ9" s="75"/>
      <c r="BA9" s="42"/>
      <c r="BB9" s="4"/>
      <c r="BC9" s="4" t="s">
        <v>5</v>
      </c>
      <c r="BD9" s="4" t="s">
        <v>127</v>
      </c>
      <c r="BE9" s="4">
        <f>COUNTIF(tblActuals35415192327[Winner],BD9)</f>
        <v>0</v>
      </c>
      <c r="BF9" s="4">
        <f>COUNTIFS(tblActuals35415192327[Team 2],BD9,tblActuals35415192327[WINNER / RESULT],"Draw")+COUNTIFS(tblActuals35415192327[Team 1],BD9,tblActuals35415192327[WINNER / RESULT],"Draw")</f>
        <v>0</v>
      </c>
      <c r="BG9" s="4">
        <f>COUNTIF(tblActuals35415192327[Loser],BD9)</f>
        <v>0</v>
      </c>
      <c r="BH9" s="4">
        <f>BF9+(3*BE9)</f>
        <v>0</v>
      </c>
      <c r="BI9" s="4">
        <f>SUMIFS(tblActuals35415192327[Team 1 Goals],tblActuals35415192327[Team 1],BD9)+SUMIFS(tblActuals35415192327[Team 2 Goals],tblActuals35415192327[Team 2],BD9)</f>
        <v>0</v>
      </c>
      <c r="BJ9" s="4">
        <f>SUMIFS(tblActuals35415192327[Team 2 Goals],tblActuals35415192327[Team 1],BD9)+SUMIFS(tblActuals35415192327[Team 1 Goals],tblActuals35415192327[Team 2],BD9)</f>
        <v>0</v>
      </c>
      <c r="BK9" s="4">
        <f>BI9-BJ9</f>
        <v>0</v>
      </c>
      <c r="BL9" s="4">
        <f ca="1">RANK(BY9,$BY$9:$BY$12,1)</f>
        <v>1</v>
      </c>
      <c r="BM9" s="4" t="str">
        <f t="shared" si="4"/>
        <v/>
      </c>
      <c r="BN9" s="4" t="str">
        <f ca="1">IF(BM9="",BL9&amp;BC9,BM9&amp;BC9)</f>
        <v>1B</v>
      </c>
      <c r="BO9" s="4">
        <f>RANK(BH9,$BH$9:$BH$12,0)</f>
        <v>1</v>
      </c>
      <c r="BP9" s="4" cm="1">
        <f t="array" aca="1" ref="BP9" ca="1">SUMPRODUCT((OFFSET($CV$3:$EA$3,MATCH($BD9,$CU$4:$CU$35,0),0))*((IF($BO11=$BO9,$CV$3:$EA$3=$BD11,0))+(IF($BO12=$BO9,$CV$3:$EA$3=$BD12,0))+(IF($BO10=$BO9,$CV$3:$EA$3=$BD10,0))))</f>
        <v>0</v>
      </c>
      <c r="BQ9" s="4" cm="1">
        <f t="array" aca="1" ref="BQ9" ca="1">SUMPRODUCT((OFFSET($ED$3:$FI$3,MATCH($BD9,$EC$4:$EC$35,0),0))*((IF($BO11=$BO9,$ED$3:$FI$3=$BD11,0))+(IF($BO12=$BO9,$ED$3:$FI$3=$BD12,0))+(IF($BO10=$BO9,$ED$3:$FI$3=$BD10,0))))</f>
        <v>0</v>
      </c>
      <c r="BR9" s="4" cm="1">
        <f t="array" aca="1" ref="BR9" ca="1">SUMPRODUCT((OFFSET($FL$3:$GQ$3,MATCH($BD9,$FK$4:$FK$35,0),0))*((IF($BO11=$BO9,$FL$3:$GQ$3=$BD11,0))+(IF($BO12=$BO9,$FL$3:$GQ$3=$BD12,0))+(IF($BO10=$BO9,$FL$3:$GQ$3=$BD10,0))))</f>
        <v>0</v>
      </c>
      <c r="BS9" s="4" cm="1">
        <f t="array" aca="1" ref="BS9" ca="1">SUMPRODUCT((OFFSET($CV$3:$EA$3,MATCH($BD9,$CU$4:$CU$35,0),0))*((IF($BO11&lt;&gt;$BO9,$CV$3:$EA$3=$BD11,0))+(IF($BO12&lt;&gt;$BO9,$CV$3:$EA$3=$BD12,0))+(IF($BO10&lt;&gt;$BO9,$CV$3:$EA$3=$BD10,0))))</f>
        <v>0</v>
      </c>
      <c r="BT9" s="4" cm="1">
        <f t="array" aca="1" ref="BT9" ca="1">SUMPRODUCT((OFFSET($ED$3:$FI$3,MATCH($BD9,$EC$4:$EC$35,0),0))*((IF($BO11&lt;&gt;$BO9,$ED$3:$FI$3=$BD11,0))+(IF($BO12&lt;&gt;$BO9,$ED$3:$FI$3=$BD12,0))+(IF($BO10&lt;&gt;$BO9,$ED$3:$FI$3=$BD10,0))))</f>
        <v>0</v>
      </c>
      <c r="BU9" s="4" cm="1">
        <f t="array" aca="1" ref="BU9" ca="1">SUMPRODUCT((OFFSET($FL$3:$GQ$3,MATCH($BD9,$FK$4:$FK$35,0),0))*((IF($BO11&lt;&gt;$BO9,$FL$3:$GQ$3=$BD11,0))+(IF($BO12&lt;&gt;$BO9,$FL$3:$GQ$3=$BD12,0))+(IF($BO10&lt;&gt;$BO9,$FL$3:$GQ$3=$BD10,0))))</f>
        <v>0</v>
      </c>
      <c r="BV9" s="4">
        <f>BK9</f>
        <v>0</v>
      </c>
      <c r="BW9" s="4">
        <f>BI9</f>
        <v>0</v>
      </c>
      <c r="BX9" s="4">
        <f ca="1">(BP9/10)+(BQ9/100)+(BR9/1000)+(BT9/10000)+(BU9/100000)+(BV9/1000000)+(BW9/10000000)+(ROW(BS12)/100000000)</f>
        <v>1.1999999999999999E-7</v>
      </c>
      <c r="BY9" s="4">
        <f ca="1">+BO9-BX9</f>
        <v>0.99999987999999995</v>
      </c>
      <c r="BZ9" s="4"/>
      <c r="CA9" s="4" t="s">
        <v>45</v>
      </c>
      <c r="CB9" s="4" t="str">
        <f ca="1">AV38</f>
        <v>Portugal</v>
      </c>
      <c r="CC9" s="4">
        <f t="shared" ca="1" si="5"/>
        <v>0</v>
      </c>
      <c r="CD9" s="4">
        <f t="shared" ca="1" si="6"/>
        <v>0</v>
      </c>
      <c r="CE9" s="4">
        <f t="shared" ca="1" si="7"/>
        <v>0</v>
      </c>
      <c r="CF9" s="4">
        <f t="shared" ca="1" si="8"/>
        <v>0</v>
      </c>
      <c r="CG9" s="4">
        <f t="shared" ca="1" si="9"/>
        <v>8.9999999999999996E-7</v>
      </c>
      <c r="CH9" s="4">
        <f t="shared" ca="1" si="10"/>
        <v>1</v>
      </c>
      <c r="CI9" s="4"/>
      <c r="CJ9" s="4"/>
      <c r="CK9" s="4"/>
      <c r="CL9" s="4"/>
      <c r="CM9" s="4"/>
      <c r="CN9" s="4"/>
      <c r="CO9" s="4"/>
      <c r="CP9" s="4"/>
      <c r="CQ9" s="4"/>
      <c r="CR9" s="4"/>
      <c r="CU9" s="4" t="s">
        <v>33</v>
      </c>
      <c r="CV9" s="56">
        <f>SUMIFS(tblActuals35415192327[Team 2 Points],tblActuals35415192327[Team 2],$CU9,tblActuals35415192327[Team 1],CV$3)+SUMIFS(tblActuals35415192327[Team 1 Points],tblActuals35415192327[Team 1],$CU9,tblActuals35415192327[Team 2],CV$3)</f>
        <v>0</v>
      </c>
      <c r="CW9" s="56">
        <f>SUMIFS(tblActuals35415192327[Team 2 Points],tblActuals35415192327[Team 2],$CU9,tblActuals35415192327[Team 1],CW$3)+SUMIFS(tblActuals35415192327[Team 1 Points],tblActuals35415192327[Team 1],$CU9,tblActuals35415192327[Team 2],CW$3)</f>
        <v>0</v>
      </c>
      <c r="CX9" s="56">
        <f>SUMIFS(tblActuals35415192327[Team 2 Points],tblActuals35415192327[Team 2],$CU9,tblActuals35415192327[Team 1],CX$3)+SUMIFS(tblActuals35415192327[Team 1 Points],tblActuals35415192327[Team 1],$CU9,tblActuals35415192327[Team 2],CX$3)</f>
        <v>0</v>
      </c>
      <c r="CY9" s="56">
        <f>SUMIFS(tblActuals35415192327[Team 2 Points],tblActuals35415192327[Team 2],$CU9,tblActuals35415192327[Team 1],CY$3)+SUMIFS(tblActuals35415192327[Team 1 Points],tblActuals35415192327[Team 1],$CU9,tblActuals35415192327[Team 2],CY$3)</f>
        <v>0</v>
      </c>
      <c r="CZ9" s="56">
        <f>SUMIFS(tblActuals35415192327[Team 2 Points],tblActuals35415192327[Team 2],$CU9,tblActuals35415192327[Team 1],CZ$3)+SUMIFS(tblActuals35415192327[Team 1 Points],tblActuals35415192327[Team 1],$CU9,tblActuals35415192327[Team 2],CZ$3)</f>
        <v>0</v>
      </c>
      <c r="DA9" s="56">
        <f>SUMIFS(tblActuals35415192327[Team 2 Points],tblActuals35415192327[Team 2],$CU9,tblActuals35415192327[Team 1],DA$3)+SUMIFS(tblActuals35415192327[Team 1 Points],tblActuals35415192327[Team 1],$CU9,tblActuals35415192327[Team 2],DA$3)</f>
        <v>0</v>
      </c>
      <c r="DB9" s="56">
        <f>SUMIFS(tblActuals35415192327[Team 2 Points],tblActuals35415192327[Team 2],$CU9,tblActuals35415192327[Team 1],DB$3)+SUMIFS(tblActuals35415192327[Team 1 Points],tblActuals35415192327[Team 1],$CU9,tblActuals35415192327[Team 2],DB$3)</f>
        <v>0</v>
      </c>
      <c r="DC9" s="56">
        <f>SUMIFS(tblActuals35415192327[Team 2 Points],tblActuals35415192327[Team 2],$CU9,tblActuals35415192327[Team 1],DC$3)+SUMIFS(tblActuals35415192327[Team 1 Points],tblActuals35415192327[Team 1],$CU9,tblActuals35415192327[Team 2],DC$3)</f>
        <v>0</v>
      </c>
      <c r="DD9" s="56">
        <f>SUMIFS(tblActuals35415192327[Team 2 Points],tblActuals35415192327[Team 2],$CU9,tblActuals35415192327[Team 1],DD$3)+SUMIFS(tblActuals35415192327[Team 1 Points],tblActuals35415192327[Team 1],$CU9,tblActuals35415192327[Team 2],DD$3)</f>
        <v>0</v>
      </c>
      <c r="DE9" s="56">
        <f>SUMIFS(tblActuals35415192327[Team 2 Points],tblActuals35415192327[Team 2],$CU9,tblActuals35415192327[Team 1],DE$3)+SUMIFS(tblActuals35415192327[Team 1 Points],tblActuals35415192327[Team 1],$CU9,tblActuals35415192327[Team 2],DE$3)</f>
        <v>0</v>
      </c>
      <c r="DF9" s="56">
        <f>SUMIFS(tblActuals35415192327[Team 2 Points],tblActuals35415192327[Team 2],$CU9,tblActuals35415192327[Team 1],DF$3)+SUMIFS(tblActuals35415192327[Team 1 Points],tblActuals35415192327[Team 1],$CU9,tblActuals35415192327[Team 2],DF$3)</f>
        <v>0</v>
      </c>
      <c r="DG9" s="56">
        <f>SUMIFS(tblActuals35415192327[Team 2 Points],tblActuals35415192327[Team 2],$CU9,tblActuals35415192327[Team 1],DG$3)+SUMIFS(tblActuals35415192327[Team 1 Points],tblActuals35415192327[Team 1],$CU9,tblActuals35415192327[Team 2],DG$3)</f>
        <v>0</v>
      </c>
      <c r="DH9" s="56">
        <f>SUMIFS(tblActuals35415192327[Team 2 Points],tblActuals35415192327[Team 2],$CU9,tblActuals35415192327[Team 1],DH$3)+SUMIFS(tblActuals35415192327[Team 1 Points],tblActuals35415192327[Team 1],$CU9,tblActuals35415192327[Team 2],DH$3)</f>
        <v>0</v>
      </c>
      <c r="DI9" s="56">
        <f>SUMIFS(tblActuals35415192327[Team 2 Points],tblActuals35415192327[Team 2],$CU9,tblActuals35415192327[Team 1],DI$3)+SUMIFS(tblActuals35415192327[Team 1 Points],tblActuals35415192327[Team 1],$CU9,tblActuals35415192327[Team 2],DI$3)</f>
        <v>0</v>
      </c>
      <c r="DJ9" s="56">
        <f>SUMIFS(tblActuals35415192327[Team 2 Points],tblActuals35415192327[Team 2],$CU9,tblActuals35415192327[Team 1],DJ$3)+SUMIFS(tblActuals35415192327[Team 1 Points],tblActuals35415192327[Team 1],$CU9,tblActuals35415192327[Team 2],DJ$3)</f>
        <v>0</v>
      </c>
      <c r="DK9" s="56">
        <f>SUMIFS(tblActuals35415192327[Team 2 Points],tblActuals35415192327[Team 2],$CU9,tblActuals35415192327[Team 1],DK$3)+SUMIFS(tblActuals35415192327[Team 1 Points],tblActuals35415192327[Team 1],$CU9,tblActuals35415192327[Team 2],DK$3)</f>
        <v>0</v>
      </c>
      <c r="DL9" s="56">
        <f>SUMIFS(tblActuals35415192327[Team 2 Points],tblActuals35415192327[Team 2],$CU9,tblActuals35415192327[Team 1],DL$3)+SUMIFS(tblActuals35415192327[Team 1 Points],tblActuals35415192327[Team 1],$CU9,tblActuals35415192327[Team 2],DL$3)</f>
        <v>0</v>
      </c>
      <c r="DM9" s="56">
        <f>SUMIFS(tblActuals35415192327[Team 2 Points],tblActuals35415192327[Team 2],$CU9,tblActuals35415192327[Team 1],DM$3)+SUMIFS(tblActuals35415192327[Team 1 Points],tblActuals35415192327[Team 1],$CU9,tblActuals35415192327[Team 2],DM$3)</f>
        <v>0</v>
      </c>
      <c r="DN9" s="56">
        <f>SUMIFS(tblActuals35415192327[Team 2 Points],tblActuals35415192327[Team 2],$CU9,tblActuals35415192327[Team 1],DN$3)+SUMIFS(tblActuals35415192327[Team 1 Points],tblActuals35415192327[Team 1],$CU9,tblActuals35415192327[Team 2],DN$3)</f>
        <v>0</v>
      </c>
      <c r="DO9" s="56">
        <f>SUMIFS(tblActuals35415192327[Team 2 Points],tblActuals35415192327[Team 2],$CU9,tblActuals35415192327[Team 1],DO$3)+SUMIFS(tblActuals35415192327[Team 1 Points],tblActuals35415192327[Team 1],$CU9,tblActuals35415192327[Team 2],DO$3)</f>
        <v>0</v>
      </c>
      <c r="DP9" s="56">
        <f>SUMIFS(tblActuals35415192327[Team 2 Points],tblActuals35415192327[Team 2],$CU9,tblActuals35415192327[Team 1],DP$3)+SUMIFS(tblActuals35415192327[Team 1 Points],tblActuals35415192327[Team 1],$CU9,tblActuals35415192327[Team 2],DP$3)</f>
        <v>0</v>
      </c>
      <c r="DQ9" s="56">
        <f>SUMIFS(tblActuals35415192327[Team 2 Points],tblActuals35415192327[Team 2],$CU9,tblActuals35415192327[Team 1],DQ$3)+SUMIFS(tblActuals35415192327[Team 1 Points],tblActuals35415192327[Team 1],$CU9,tblActuals35415192327[Team 2],DQ$3)</f>
        <v>0</v>
      </c>
      <c r="DR9" s="56">
        <f>SUMIFS(tblActuals35415192327[Team 2 Points],tblActuals35415192327[Team 2],$CU9,tblActuals35415192327[Team 1],DR$3)+SUMIFS(tblActuals35415192327[Team 1 Points],tblActuals35415192327[Team 1],$CU9,tblActuals35415192327[Team 2],DR$3)</f>
        <v>0</v>
      </c>
      <c r="DS9" s="56">
        <f>SUMIFS(tblActuals35415192327[Team 2 Points],tblActuals35415192327[Team 2],$CU9,tblActuals35415192327[Team 1],DS$3)+SUMIFS(tblActuals35415192327[Team 1 Points],tblActuals35415192327[Team 1],$CU9,tblActuals35415192327[Team 2],DS$3)</f>
        <v>0</v>
      </c>
      <c r="DT9" s="57"/>
      <c r="DU9" s="57"/>
      <c r="DV9" s="57"/>
      <c r="DW9" s="57"/>
      <c r="DX9" s="57"/>
      <c r="DY9" s="57"/>
      <c r="DZ9" s="57"/>
      <c r="EA9" s="57"/>
      <c r="EB9" s="4"/>
      <c r="EC9" s="4" t="s">
        <v>33</v>
      </c>
      <c r="ED9" s="56">
        <f>SUMIFS(tblActuals35415192327[Team 2 GD],tblActuals35415192327[Team 2],$CU9,tblActuals35415192327[Team 1],ED$3)+SUMIFS(tblActuals35415192327[Team 1 GD],tblActuals35415192327[Team 1],$CU9,tblActuals35415192327[Team 2],ED$3)</f>
        <v>0</v>
      </c>
      <c r="EE9" s="56">
        <f>SUMIFS(tblActuals35415192327[Team 2 GD],tblActuals35415192327[Team 2],$CU9,tblActuals35415192327[Team 1],EE$3)+SUMIFS(tblActuals35415192327[Team 1 GD],tblActuals35415192327[Team 1],$CU9,tblActuals35415192327[Team 2],EE$3)</f>
        <v>0</v>
      </c>
      <c r="EF9" s="56">
        <f>SUMIFS(tblActuals35415192327[Team 2 GD],tblActuals35415192327[Team 2],$CU9,tblActuals35415192327[Team 1],EF$3)+SUMIFS(tblActuals35415192327[Team 1 GD],tblActuals35415192327[Team 1],$CU9,tblActuals35415192327[Team 2],EF$3)</f>
        <v>0</v>
      </c>
      <c r="EG9" s="56">
        <f>SUMIFS(tblActuals35415192327[Team 2 GD],tblActuals35415192327[Team 2],$CU9,tblActuals35415192327[Team 1],EG$3)+SUMIFS(tblActuals35415192327[Team 1 GD],tblActuals35415192327[Team 1],$CU9,tblActuals35415192327[Team 2],EG$3)</f>
        <v>0</v>
      </c>
      <c r="EH9" s="56">
        <f>SUMIFS(tblActuals35415192327[Team 2 GD],tblActuals35415192327[Team 2],$CU9,tblActuals35415192327[Team 1],EH$3)+SUMIFS(tblActuals35415192327[Team 1 GD],tblActuals35415192327[Team 1],$CU9,tblActuals35415192327[Team 2],EH$3)</f>
        <v>0</v>
      </c>
      <c r="EI9" s="56">
        <f>SUMIFS(tblActuals35415192327[Team 2 GD],tblActuals35415192327[Team 2],$CU9,tblActuals35415192327[Team 1],EI$3)+SUMIFS(tblActuals35415192327[Team 1 GD],tblActuals35415192327[Team 1],$CU9,tblActuals35415192327[Team 2],EI$3)</f>
        <v>0</v>
      </c>
      <c r="EJ9" s="56">
        <f>SUMIFS(tblActuals35415192327[Team 2 GD],tblActuals35415192327[Team 2],$CU9,tblActuals35415192327[Team 1],EJ$3)+SUMIFS(tblActuals35415192327[Team 1 GD],tblActuals35415192327[Team 1],$CU9,tblActuals35415192327[Team 2],EJ$3)</f>
        <v>0</v>
      </c>
      <c r="EK9" s="56">
        <f>SUMIFS(tblActuals35415192327[Team 2 GD],tblActuals35415192327[Team 2],$CU9,tblActuals35415192327[Team 1],EK$3)+SUMIFS(tblActuals35415192327[Team 1 GD],tblActuals35415192327[Team 1],$CU9,tblActuals35415192327[Team 2],EK$3)</f>
        <v>0</v>
      </c>
      <c r="EL9" s="56">
        <f>SUMIFS(tblActuals35415192327[Team 2 GD],tblActuals35415192327[Team 2],$CU9,tblActuals35415192327[Team 1],EL$3)+SUMIFS(tblActuals35415192327[Team 1 GD],tblActuals35415192327[Team 1],$CU9,tblActuals35415192327[Team 2],EL$3)</f>
        <v>0</v>
      </c>
      <c r="EM9" s="56">
        <f>SUMIFS(tblActuals35415192327[Team 2 GD],tblActuals35415192327[Team 2],$CU9,tblActuals35415192327[Team 1],EM$3)+SUMIFS(tblActuals35415192327[Team 1 GD],tblActuals35415192327[Team 1],$CU9,tblActuals35415192327[Team 2],EM$3)</f>
        <v>0</v>
      </c>
      <c r="EN9" s="56">
        <f>SUMIFS(tblActuals35415192327[Team 2 GD],tblActuals35415192327[Team 2],$CU9,tblActuals35415192327[Team 1],EN$3)+SUMIFS(tblActuals35415192327[Team 1 GD],tblActuals35415192327[Team 1],$CU9,tblActuals35415192327[Team 2],EN$3)</f>
        <v>0</v>
      </c>
      <c r="EO9" s="56">
        <f>SUMIFS(tblActuals35415192327[Team 2 GD],tblActuals35415192327[Team 2],$CU9,tblActuals35415192327[Team 1],EO$3)+SUMIFS(tblActuals35415192327[Team 1 GD],tblActuals35415192327[Team 1],$CU9,tblActuals35415192327[Team 2],EO$3)</f>
        <v>0</v>
      </c>
      <c r="EP9" s="56">
        <f>SUMIFS(tblActuals35415192327[Team 2 GD],tblActuals35415192327[Team 2],$CU9,tblActuals35415192327[Team 1],EP$3)+SUMIFS(tblActuals35415192327[Team 1 GD],tblActuals35415192327[Team 1],$CU9,tblActuals35415192327[Team 2],EP$3)</f>
        <v>0</v>
      </c>
      <c r="EQ9" s="56">
        <f>SUMIFS(tblActuals35415192327[Team 2 GD],tblActuals35415192327[Team 2],$CU9,tblActuals35415192327[Team 1],EQ$3)+SUMIFS(tblActuals35415192327[Team 1 GD],tblActuals35415192327[Team 1],$CU9,tblActuals35415192327[Team 2],EQ$3)</f>
        <v>0</v>
      </c>
      <c r="ER9" s="56">
        <f>SUMIFS(tblActuals35415192327[Team 2 GD],tblActuals35415192327[Team 2],$CU9,tblActuals35415192327[Team 1],ER$3)+SUMIFS(tblActuals35415192327[Team 1 GD],tblActuals35415192327[Team 1],$CU9,tblActuals35415192327[Team 2],ER$3)</f>
        <v>0</v>
      </c>
      <c r="ES9" s="56">
        <f>SUMIFS(tblActuals35415192327[Team 2 GD],tblActuals35415192327[Team 2],$CU9,tblActuals35415192327[Team 1],ES$3)+SUMIFS(tblActuals35415192327[Team 1 GD],tblActuals35415192327[Team 1],$CU9,tblActuals35415192327[Team 2],ES$3)</f>
        <v>0</v>
      </c>
      <c r="ET9" s="56">
        <f>SUMIFS(tblActuals35415192327[Team 2 GD],tblActuals35415192327[Team 2],$CU9,tblActuals35415192327[Team 1],ET$3)+SUMIFS(tblActuals35415192327[Team 1 GD],tblActuals35415192327[Team 1],$CU9,tblActuals35415192327[Team 2],ET$3)</f>
        <v>0</v>
      </c>
      <c r="EU9" s="56">
        <f>SUMIFS(tblActuals35415192327[Team 2 GD],tblActuals35415192327[Team 2],$CU9,tblActuals35415192327[Team 1],EU$3)+SUMIFS(tblActuals35415192327[Team 1 GD],tblActuals35415192327[Team 1],$CU9,tblActuals35415192327[Team 2],EU$3)</f>
        <v>0</v>
      </c>
      <c r="EV9" s="56">
        <f>SUMIFS(tblActuals35415192327[Team 2 GD],tblActuals35415192327[Team 2],$CU9,tblActuals35415192327[Team 1],EV$3)+SUMIFS(tblActuals35415192327[Team 1 GD],tblActuals35415192327[Team 1],$CU9,tblActuals35415192327[Team 2],EV$3)</f>
        <v>0</v>
      </c>
      <c r="EW9" s="56">
        <f>SUMIFS(tblActuals35415192327[Team 2 GD],tblActuals35415192327[Team 2],$CU9,tblActuals35415192327[Team 1],EW$3)+SUMIFS(tblActuals35415192327[Team 1 GD],tblActuals35415192327[Team 1],$CU9,tblActuals35415192327[Team 2],EW$3)</f>
        <v>0</v>
      </c>
      <c r="EX9" s="56">
        <f>SUMIFS(tblActuals35415192327[Team 2 GD],tblActuals35415192327[Team 2],$CU9,tblActuals35415192327[Team 1],EX$3)+SUMIFS(tblActuals35415192327[Team 1 GD],tblActuals35415192327[Team 1],$CU9,tblActuals35415192327[Team 2],EX$3)</f>
        <v>0</v>
      </c>
      <c r="EY9" s="56">
        <f>SUMIFS(tblActuals35415192327[Team 2 GD],tblActuals35415192327[Team 2],$CU9,tblActuals35415192327[Team 1],EY$3)+SUMIFS(tblActuals35415192327[Team 1 GD],tblActuals35415192327[Team 1],$CU9,tblActuals35415192327[Team 2],EY$3)</f>
        <v>0</v>
      </c>
      <c r="EZ9" s="56">
        <f>SUMIFS(tblActuals35415192327[Team 2 GD],tblActuals35415192327[Team 2],$CU9,tblActuals35415192327[Team 1],EZ$3)+SUMIFS(tblActuals35415192327[Team 1 GD],tblActuals35415192327[Team 1],$CU9,tblActuals35415192327[Team 2],EZ$3)</f>
        <v>0</v>
      </c>
      <c r="FA9" s="56">
        <f>SUMIFS(tblActuals35415192327[Team 2 GD],tblActuals35415192327[Team 2],$CU9,tblActuals35415192327[Team 1],FA$3)+SUMIFS(tblActuals35415192327[Team 1 GD],tblActuals35415192327[Team 1],$CU9,tblActuals35415192327[Team 2],FA$3)</f>
        <v>0</v>
      </c>
      <c r="FB9" s="57"/>
      <c r="FC9" s="57"/>
      <c r="FD9" s="57"/>
      <c r="FE9" s="57"/>
      <c r="FF9" s="57"/>
      <c r="FG9" s="57"/>
      <c r="FH9" s="57"/>
      <c r="FI9" s="57"/>
      <c r="FJ9" s="4"/>
      <c r="FK9" s="4" t="s">
        <v>33</v>
      </c>
      <c r="FL9" s="56">
        <f>SUMIFS(tblActuals35415192327[Team 2 Goals],tblActuals35415192327[Team 2],$CU9,tblActuals35415192327[Team 1],FL$3)+SUMIFS(tblActuals35415192327[Team 1 Goals],tblActuals35415192327[Team 1],$CU9,tblActuals35415192327[Team 2],FL$3)</f>
        <v>0</v>
      </c>
      <c r="FM9" s="56">
        <f>SUMIFS(tblActuals35415192327[Team 2 Goals],tblActuals35415192327[Team 2],$CU9,tblActuals35415192327[Team 1],FM$3)+SUMIFS(tblActuals35415192327[Team 1 Goals],tblActuals35415192327[Team 1],$CU9,tblActuals35415192327[Team 2],FM$3)</f>
        <v>0</v>
      </c>
      <c r="FN9" s="56">
        <f>SUMIFS(tblActuals35415192327[Team 2 Goals],tblActuals35415192327[Team 2],$CU9,tblActuals35415192327[Team 1],FN$3)+SUMIFS(tblActuals35415192327[Team 1 Goals],tblActuals35415192327[Team 1],$CU9,tblActuals35415192327[Team 2],FN$3)</f>
        <v>0</v>
      </c>
      <c r="FO9" s="56">
        <f>SUMIFS(tblActuals35415192327[Team 2 Goals],tblActuals35415192327[Team 2],$CU9,tblActuals35415192327[Team 1],FO$3)+SUMIFS(tblActuals35415192327[Team 1 Goals],tblActuals35415192327[Team 1],$CU9,tblActuals35415192327[Team 2],FO$3)</f>
        <v>0</v>
      </c>
      <c r="FP9" s="56">
        <f>SUMIFS(tblActuals35415192327[Team 2 Goals],tblActuals35415192327[Team 2],$CU9,tblActuals35415192327[Team 1],FP$3)+SUMIFS(tblActuals35415192327[Team 1 Goals],tblActuals35415192327[Team 1],$CU9,tblActuals35415192327[Team 2],FP$3)</f>
        <v>0</v>
      </c>
      <c r="FQ9" s="56">
        <f>SUMIFS(tblActuals35415192327[Team 2 Goals],tblActuals35415192327[Team 2],$CU9,tblActuals35415192327[Team 1],FQ$3)+SUMIFS(tblActuals35415192327[Team 1 Goals],tblActuals35415192327[Team 1],$CU9,tblActuals35415192327[Team 2],FQ$3)</f>
        <v>0</v>
      </c>
      <c r="FR9" s="56">
        <f>SUMIFS(tblActuals35415192327[Team 2 Goals],tblActuals35415192327[Team 2],$CU9,tblActuals35415192327[Team 1],FR$3)+SUMIFS(tblActuals35415192327[Team 1 Goals],tblActuals35415192327[Team 1],$CU9,tblActuals35415192327[Team 2],FR$3)</f>
        <v>0</v>
      </c>
      <c r="FS9" s="56">
        <f>SUMIFS(tblActuals35415192327[Team 2 Goals],tblActuals35415192327[Team 2],$CU9,tblActuals35415192327[Team 1],FS$3)+SUMIFS(tblActuals35415192327[Team 1 Goals],tblActuals35415192327[Team 1],$CU9,tblActuals35415192327[Team 2],FS$3)</f>
        <v>0</v>
      </c>
      <c r="FT9" s="56">
        <f>SUMIFS(tblActuals35415192327[Team 2 Goals],tblActuals35415192327[Team 2],$CU9,tblActuals35415192327[Team 1],FT$3)+SUMIFS(tblActuals35415192327[Team 1 Goals],tblActuals35415192327[Team 1],$CU9,tblActuals35415192327[Team 2],FT$3)</f>
        <v>0</v>
      </c>
      <c r="FU9" s="56">
        <f>SUMIFS(tblActuals35415192327[Team 2 Goals],tblActuals35415192327[Team 2],$CU9,tblActuals35415192327[Team 1],FU$3)+SUMIFS(tblActuals35415192327[Team 1 Goals],tblActuals35415192327[Team 1],$CU9,tblActuals35415192327[Team 2],FU$3)</f>
        <v>0</v>
      </c>
      <c r="FV9" s="56">
        <f>SUMIFS(tblActuals35415192327[Team 2 Goals],tblActuals35415192327[Team 2],$CU9,tblActuals35415192327[Team 1],FV$3)+SUMIFS(tblActuals35415192327[Team 1 Goals],tblActuals35415192327[Team 1],$CU9,tblActuals35415192327[Team 2],FV$3)</f>
        <v>0</v>
      </c>
      <c r="FW9" s="56">
        <f>SUMIFS(tblActuals35415192327[Team 2 Goals],tblActuals35415192327[Team 2],$CU9,tblActuals35415192327[Team 1],FW$3)+SUMIFS(tblActuals35415192327[Team 1 Goals],tblActuals35415192327[Team 1],$CU9,tblActuals35415192327[Team 2],FW$3)</f>
        <v>0</v>
      </c>
      <c r="FX9" s="56">
        <f>SUMIFS(tblActuals35415192327[Team 2 Goals],tblActuals35415192327[Team 2],$CU9,tblActuals35415192327[Team 1],FX$3)+SUMIFS(tblActuals35415192327[Team 1 Goals],tblActuals35415192327[Team 1],$CU9,tblActuals35415192327[Team 2],FX$3)</f>
        <v>0</v>
      </c>
      <c r="FY9" s="56">
        <f>SUMIFS(tblActuals35415192327[Team 2 Goals],tblActuals35415192327[Team 2],$CU9,tblActuals35415192327[Team 1],FY$3)+SUMIFS(tblActuals35415192327[Team 1 Goals],tblActuals35415192327[Team 1],$CU9,tblActuals35415192327[Team 2],FY$3)</f>
        <v>0</v>
      </c>
      <c r="FZ9" s="56">
        <f>SUMIFS(tblActuals35415192327[Team 2 Goals],tblActuals35415192327[Team 2],$CU9,tblActuals35415192327[Team 1],FZ$3)+SUMIFS(tblActuals35415192327[Team 1 Goals],tblActuals35415192327[Team 1],$CU9,tblActuals35415192327[Team 2],FZ$3)</f>
        <v>0</v>
      </c>
      <c r="GA9" s="56">
        <f>SUMIFS(tblActuals35415192327[Team 2 Goals],tblActuals35415192327[Team 2],$CU9,tblActuals35415192327[Team 1],GA$3)+SUMIFS(tblActuals35415192327[Team 1 Goals],tblActuals35415192327[Team 1],$CU9,tblActuals35415192327[Team 2],GA$3)</f>
        <v>0</v>
      </c>
      <c r="GB9" s="56">
        <f>SUMIFS(tblActuals35415192327[Team 2 Goals],tblActuals35415192327[Team 2],$CU9,tblActuals35415192327[Team 1],GB$3)+SUMIFS(tblActuals35415192327[Team 1 Goals],tblActuals35415192327[Team 1],$CU9,tblActuals35415192327[Team 2],GB$3)</f>
        <v>0</v>
      </c>
      <c r="GC9" s="56">
        <f>SUMIFS(tblActuals35415192327[Team 2 Goals],tblActuals35415192327[Team 2],$CU9,tblActuals35415192327[Team 1],GC$3)+SUMIFS(tblActuals35415192327[Team 1 Goals],tblActuals35415192327[Team 1],$CU9,tblActuals35415192327[Team 2],GC$3)</f>
        <v>0</v>
      </c>
      <c r="GD9" s="56">
        <f>SUMIFS(tblActuals35415192327[Team 2 Goals],tblActuals35415192327[Team 2],$CU9,tblActuals35415192327[Team 1],GD$3)+SUMIFS(tblActuals35415192327[Team 1 Goals],tblActuals35415192327[Team 1],$CU9,tblActuals35415192327[Team 2],GD$3)</f>
        <v>0</v>
      </c>
      <c r="GE9" s="56">
        <f>SUMIFS(tblActuals35415192327[Team 2 Goals],tblActuals35415192327[Team 2],$CU9,tblActuals35415192327[Team 1],GE$3)+SUMIFS(tblActuals35415192327[Team 1 Goals],tblActuals35415192327[Team 1],$CU9,tblActuals35415192327[Team 2],GE$3)</f>
        <v>0</v>
      </c>
      <c r="GF9" s="56">
        <f>SUMIFS(tblActuals35415192327[Team 2 Goals],tblActuals35415192327[Team 2],$CU9,tblActuals35415192327[Team 1],GF$3)+SUMIFS(tblActuals35415192327[Team 1 Goals],tblActuals35415192327[Team 1],$CU9,tblActuals35415192327[Team 2],GF$3)</f>
        <v>0</v>
      </c>
      <c r="GG9" s="56">
        <f>SUMIFS(tblActuals35415192327[Team 2 Goals],tblActuals35415192327[Team 2],$CU9,tblActuals35415192327[Team 1],GG$3)+SUMIFS(tblActuals35415192327[Team 1 Goals],tblActuals35415192327[Team 1],$CU9,tblActuals35415192327[Team 2],GG$3)</f>
        <v>0</v>
      </c>
      <c r="GH9" s="56">
        <f>SUMIFS(tblActuals35415192327[Team 2 Goals],tblActuals35415192327[Team 2],$CU9,tblActuals35415192327[Team 1],GH$3)+SUMIFS(tblActuals35415192327[Team 1 Goals],tblActuals35415192327[Team 1],$CU9,tblActuals35415192327[Team 2],GH$3)</f>
        <v>0</v>
      </c>
      <c r="GI9" s="56">
        <f>SUMIFS(tblActuals35415192327[Team 2 Goals],tblActuals35415192327[Team 2],$CU9,tblActuals35415192327[Team 1],GI$3)+SUMIFS(tblActuals35415192327[Team 1 Goals],tblActuals35415192327[Team 1],$CU9,tblActuals35415192327[Team 2],GI$3)</f>
        <v>0</v>
      </c>
      <c r="GJ9" s="57"/>
      <c r="GK9" s="57"/>
      <c r="GL9" s="37"/>
      <c r="GM9" s="37"/>
      <c r="GN9" s="37"/>
      <c r="GO9" s="37"/>
      <c r="GP9" s="37"/>
      <c r="GQ9" s="37"/>
      <c r="GR9" s="75"/>
      <c r="GS9" s="156"/>
      <c r="GT9" s="156"/>
      <c r="GU9" s="75"/>
      <c r="GV9" s="22"/>
      <c r="GW9" s="75"/>
      <c r="GX9" s="75"/>
      <c r="GY9" s="75"/>
      <c r="GZ9" s="75"/>
      <c r="HB9" s="4" t="str">
        <f t="shared" si="12"/>
        <v>ABDF</v>
      </c>
      <c r="HC9" s="44" t="s">
        <v>1</v>
      </c>
      <c r="HD9" s="44" t="s">
        <v>5</v>
      </c>
      <c r="HE9" s="45"/>
      <c r="HF9" s="44" t="s">
        <v>7</v>
      </c>
      <c r="HG9" s="45"/>
      <c r="HH9" s="44" t="s">
        <v>45</v>
      </c>
      <c r="HI9" s="178"/>
      <c r="HJ9" s="45" t="s">
        <v>150</v>
      </c>
      <c r="HK9" s="45" t="s">
        <v>154</v>
      </c>
      <c r="HL9" s="45" t="s">
        <v>149</v>
      </c>
      <c r="HM9" s="45" t="s">
        <v>151</v>
      </c>
    </row>
    <row r="10" spans="1:221" s="11" customFormat="1" ht="30" customHeight="1" thickBot="1" x14ac:dyDescent="0.25">
      <c r="A10" s="20"/>
      <c r="B10" s="122">
        <v>7</v>
      </c>
      <c r="C10" s="122" t="s">
        <v>7</v>
      </c>
      <c r="D10" s="123">
        <v>45459</v>
      </c>
      <c r="E10" s="122" t="s">
        <v>84</v>
      </c>
      <c r="F10" s="124">
        <v>0.625</v>
      </c>
      <c r="G10" s="125">
        <f t="shared" si="11"/>
        <v>45459.375</v>
      </c>
      <c r="H10" s="122" t="s">
        <v>95</v>
      </c>
      <c r="I10" s="126"/>
      <c r="J10" s="118"/>
      <c r="K10" s="118"/>
      <c r="L10" s="174">
        <f>IF(I10="",0,IFERROR(IF(SCORING.RULES!$C$8="No",1,((VLOOKUP($B10,ACTUALS!$B$4:$L$100,7,FALSE)=$H10)+(VLOOKUP($B10,ACTUALS!$B$4:$L$100,7,FALSE)=S10)))*(M10+N10+O10+P10+Q10),0))+$R10</f>
        <v>0</v>
      </c>
      <c r="M10" s="168">
        <f>IFERROR(IF($B10="","",IF(U10=INDEX(ACTUALS!$AA$4:$AA$100,MATCH($B10,ACTUALS!$B$4:$B$100,0),1),CorrectScore,0)),0)</f>
        <v>0</v>
      </c>
      <c r="N10" s="157" t="str">
        <f>IFERROR(IF(I10="","",IF(INDEX(ACTUALS!$AB$4:$AB$100,MATCH($B10,ACTUALS!$B$4:$B$100,0),1)=(AB10+AC10+AH10+AI10),CorrectNumberofGoals,0)),0)</f>
        <v/>
      </c>
      <c r="O10" s="157"/>
      <c r="P10" s="157">
        <f>IFERROR(IF(B10="","",IF(INDEX(ACTUALS!$L$4:$L$100,MATCH($B10,ACTUALS!$B$4:$B$100,0),1)=W10,CorrectResult,0)),0)</f>
        <v>3</v>
      </c>
      <c r="Q10" s="157"/>
      <c r="R10" s="157"/>
      <c r="S10" s="157" t="str">
        <f t="shared" si="0"/>
        <v/>
      </c>
      <c r="T10" s="157"/>
      <c r="U10" s="157" t="str">
        <f t="shared" si="1"/>
        <v/>
      </c>
      <c r="V10" s="157" t="str">
        <f t="shared" si="2"/>
        <v/>
      </c>
      <c r="W10" s="119" t="str">
        <f>IF(tblActuals35415192327[[#This Row],[SCORE]]="","",IF(AB10=AC10,"Draw",IF(AB10&gt;AC10,X10,Y10)))</f>
        <v/>
      </c>
      <c r="X10" s="120" t="str">
        <f>IF(tblActuals35415192327[[#This Row],[TEAMS]]="","",LEFT(H10,FIND(" -",H10,1)-1))</f>
        <v>Poland</v>
      </c>
      <c r="Y10" s="120" t="str">
        <f>IF(tblActuals35415192327[[#This Row],[TEAMS]]="","",MID(H10,FIND("-",H10,1)+2,LEN(H10)-FIND("-",H10,1)+2))</f>
        <v>Netherlands</v>
      </c>
      <c r="Z10" s="120" t="str">
        <f>IF(tblActuals35415192327[[#This Row],[Team 1 Goals]]&gt;tblActuals35415192327[[#This Row],[Team 2 Goals]],tblActuals35415192327[[#This Row],[Team 1]],IF(tblActuals35415192327[[#This Row],[Team 2 Goals]]&gt;tblActuals35415192327[[#This Row],[Team 1 Goals]],tblActuals35415192327[[#This Row],[Team 2]],""))</f>
        <v/>
      </c>
      <c r="AA10" s="120" t="str">
        <f>IF(tblActuals35415192327[[#This Row],[Winner]]=tblActuals35415192327[[#This Row],[Team 1]],tblActuals35415192327[[#This Row],[Team 2]],IF(tblActuals35415192327[[#This Row],[Winner]]=tblActuals35415192327[[#This Row],[Team 2]],tblActuals35415192327[[#This Row],[Team 1]],""))</f>
        <v/>
      </c>
      <c r="AB10" s="120" t="str">
        <f>IF(tblActuals35415192327[[#This Row],[SCORE]]="","",LEFT(I10,FIND(":",I10,1)-1)*1)</f>
        <v/>
      </c>
      <c r="AC10" s="120" t="str">
        <f>IF(tblActuals35415192327[[#This Row],[SCORE]]="","",MID(I10,FIND(":",I10,1)+1,LEN(I10)-FIND(":",I10,1)+1)*1)</f>
        <v/>
      </c>
      <c r="AD10" s="120" t="str">
        <f>IF(OR(tblActuals35415192327[[#This Row],[Team 1 Goals]]="",tblActuals35415192327[[#This Row],[Team 2 Goals]]=""),"",tblActuals35415192327[[#This Row],[Team 1 Goals]]-tblActuals35415192327[[#This Row],[Team 2 Goals]])</f>
        <v/>
      </c>
      <c r="AE10" s="120" t="str">
        <f>IF(OR(tblActuals35415192327[[#This Row],[Team 1 Goals]]="",tblActuals35415192327[[#This Row],[Team 2 Goals]]=""),"",tblActuals35415192327[[#This Row],[Team 2 Goals]]-tblActuals35415192327[[#This Row],[Team 1 Goals]])</f>
        <v/>
      </c>
      <c r="AF10" s="120" t="str">
        <f>IF(tblActuals35415192327[[#This Row],[SCORE]]="","",IF(tblActuals35415192327[[#This Row],[WINNER / RESULT]]="Draw",1,IF(tblActuals35415192327[[#This Row],[WINNER / RESULT]]=tblActuals35415192327[[#This Row],[Team 1]],3,0)))</f>
        <v/>
      </c>
      <c r="AG10" s="120" t="str">
        <f>IF(tblActuals35415192327[[#This Row],[SCORE]]="","",IF(tblActuals35415192327[[#This Row],[WINNER / RESULT]]="Draw",1,IF(tblActuals35415192327[[#This Row],[WINNER / RESULT]]=tblActuals35415192327[[#This Row],[Team 2]],3,0)))</f>
        <v/>
      </c>
      <c r="AH10" s="121"/>
      <c r="AI10" s="121"/>
      <c r="AJ10" s="121"/>
      <c r="AK10" s="121"/>
      <c r="AL10" s="120" t="e">
        <f>tblActuals35415192327[[#This Row],[Team 1 Goals]]+tblActuals35415192327[[#This Row],[Team 1 ET Goals]]&amp;":"&amp;tblActuals35415192327[[#This Row],[Team 2 Goals]]+tblActuals35415192327[[#This Row],[Team 2 ET Goals]]</f>
        <v>#VALUE!</v>
      </c>
      <c r="AM10" s="120" t="e">
        <f>+tblActuals35415192327[[#This Row],[Team 1 Goals]]+tblActuals35415192327[[#This Row],[Team 2 Goals]]</f>
        <v>#VALUE!</v>
      </c>
      <c r="AN10" s="161">
        <f t="shared" si="3"/>
        <v>45459</v>
      </c>
      <c r="AP10" s="38" t="s">
        <v>82</v>
      </c>
      <c r="AT10" s="77"/>
      <c r="AU10" s="148"/>
      <c r="AV10" s="148"/>
      <c r="AW10" s="148"/>
      <c r="AX10" s="148"/>
      <c r="AY10" s="148"/>
      <c r="AZ10" s="75"/>
      <c r="BA10" s="42"/>
      <c r="BB10" s="4"/>
      <c r="BC10" s="4" t="s">
        <v>5</v>
      </c>
      <c r="BD10" s="4" t="s">
        <v>33</v>
      </c>
      <c r="BE10" s="4">
        <f>COUNTIF(tblActuals35415192327[Winner],BD10)</f>
        <v>0</v>
      </c>
      <c r="BF10" s="4">
        <f>COUNTIFS(tblActuals35415192327[Team 2],BD10,tblActuals35415192327[WINNER / RESULT],"Draw")+COUNTIFS(tblActuals35415192327[Team 1],BD10,tblActuals35415192327[WINNER / RESULT],"Draw")</f>
        <v>0</v>
      </c>
      <c r="BG10" s="4">
        <f>COUNTIF(tblActuals35415192327[Loser],BD10)</f>
        <v>0</v>
      </c>
      <c r="BH10" s="4">
        <f>BF10+(3*BE10)</f>
        <v>0</v>
      </c>
      <c r="BI10" s="4">
        <f>SUMIFS(tblActuals35415192327[Team 1 Goals],tblActuals35415192327[Team 1],BD10)+SUMIFS(tblActuals35415192327[Team 2 Goals],tblActuals35415192327[Team 2],BD10)</f>
        <v>0</v>
      </c>
      <c r="BJ10" s="4">
        <f>SUMIFS(tblActuals35415192327[Team 2 Goals],tblActuals35415192327[Team 1],BD10)+SUMIFS(tblActuals35415192327[Team 1 Goals],tblActuals35415192327[Team 2],BD10)</f>
        <v>0</v>
      </c>
      <c r="BK10" s="4">
        <f>BI10-BJ10</f>
        <v>0</v>
      </c>
      <c r="BL10" s="4">
        <f ca="1">RANK(BY10,$BY$9:$BY$12,1)</f>
        <v>2</v>
      </c>
      <c r="BM10" s="4" t="str">
        <f t="shared" si="4"/>
        <v/>
      </c>
      <c r="BN10" s="4" t="str">
        <f ca="1">IF(BM10="",BL10&amp;BC10,BM10&amp;BC10)</f>
        <v>2B</v>
      </c>
      <c r="BO10" s="4">
        <f>RANK(BH10,$BH$9:$BH$12,0)</f>
        <v>1</v>
      </c>
      <c r="BP10" s="4" cm="1">
        <f t="array" aca="1" ref="BP10" ca="1">SUMPRODUCT((OFFSET($CV$3:$EA$3,MATCH($BD10,$CU$4:$CU$35,0),0))*((IF($BO11=$BO10,$CV$3:$EA$3=$BD11,0))+(IF($BO12=$BO10,$CV$3:$EA$3=$BD12,0))+(IF($BO9=$BO10,$CV$3:$EA$3=$BD9,0))))</f>
        <v>0</v>
      </c>
      <c r="BQ10" s="4" cm="1">
        <f t="array" aca="1" ref="BQ10" ca="1">SUMPRODUCT((OFFSET($ED$3:$FI$3,MATCH($BD10,$EC$4:$EC$35,0),0))*((IF($BO11=$BO10,$ED$3:$FI$3=$BD11,0))+(IF($BO12=$BO10,$ED$3:$FI$3=$BD12,0))+(IF($BO9=$BO10,$ED$3:$FI$3=$BD9,0))))</f>
        <v>0</v>
      </c>
      <c r="BR10" s="4" cm="1">
        <f t="array" aca="1" ref="BR10" ca="1">SUMPRODUCT((OFFSET($FL$3:$GQ$3,MATCH($BD10,$FK$4:$FK$35,0),0))*((IF($BO11=$BO10,$FL$3:$GQ$3=$BD11,0))+(IF($BO12=$BO10,$FL$3:$GQ$3=$BD12,0))+(IF($BO9=$BO10,$FL$3:$GQ$3=$BD9,0))))</f>
        <v>0</v>
      </c>
      <c r="BS10" s="4" cm="1">
        <f t="array" aca="1" ref="BS10" ca="1">SUMPRODUCT((OFFSET($CV$3:$EA$3,MATCH($BD10,$CU$4:$CU$35,0),0))*((IF($BO11&lt;&gt;$BO10,$CV$3:$EA$3=$BD11,0))+(IF($BO12&lt;&gt;$BO10,$CV$3:$EA$3=$BD12,0))+(IF($BO9&lt;&gt;$BO10,$CV$3:$EA$3=$BD9,0))))</f>
        <v>0</v>
      </c>
      <c r="BT10" s="4" cm="1">
        <f t="array" aca="1" ref="BT10" ca="1">SUMPRODUCT((OFFSET($ED$3:$FI$3,MATCH($BD10,$EC$4:$EC$35,0),0))*((IF($BO11&lt;&gt;$BO10,$ED$3:$FI$3=$BD11,0))+(IF($BO12&lt;&gt;$BO10,$ED$3:$FI$3=$BD12,0))+(IF($BO9&lt;&gt;$BO10,$ED$3:$FI$3=$BD9,0))))</f>
        <v>0</v>
      </c>
      <c r="BU10" s="4" cm="1">
        <f t="array" aca="1" ref="BU10" ca="1">SUMPRODUCT((OFFSET($FL$3:$GQ$3,MATCH($BD10,$FK$4:$FK$35,0),0))*((IF($BO11&lt;&gt;$BO10,$FL$3:$GQ$3=$BD11,0))+(IF($BO12&lt;&gt;$BO10,$FL$3:$GQ$3=$BD12,0))+(IF($BO9&lt;&gt;$BO10,$FL$3:$GQ$3=$BD9,0))))</f>
        <v>0</v>
      </c>
      <c r="BV10" s="4">
        <f>BK10</f>
        <v>0</v>
      </c>
      <c r="BW10" s="4">
        <f>BI10</f>
        <v>0</v>
      </c>
      <c r="BX10" s="4">
        <f ca="1">(BP10/10)+(BQ10/100)+(BR10/1000)+(BT10/10000)+(BU10/100000)+(BV10/1000000)+(BW10/10000000)+(ROW(BS11)/100000000)</f>
        <v>1.1000000000000001E-7</v>
      </c>
      <c r="BY10" s="4">
        <f ca="1">+BO10-BX10</f>
        <v>0.99999989</v>
      </c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U10" s="4" t="s">
        <v>126</v>
      </c>
      <c r="CV10" s="56">
        <f>SUMIFS(tblActuals35415192327[Team 2 Points],tblActuals35415192327[Team 2],$CU10,tblActuals35415192327[Team 1],CV$3)+SUMIFS(tblActuals35415192327[Team 1 Points],tblActuals35415192327[Team 1],$CU10,tblActuals35415192327[Team 2],CV$3)</f>
        <v>0</v>
      </c>
      <c r="CW10" s="56">
        <f>SUMIFS(tblActuals35415192327[Team 2 Points],tblActuals35415192327[Team 2],$CU10,tblActuals35415192327[Team 1],CW$3)+SUMIFS(tblActuals35415192327[Team 1 Points],tblActuals35415192327[Team 1],$CU10,tblActuals35415192327[Team 2],CW$3)</f>
        <v>0</v>
      </c>
      <c r="CX10" s="56">
        <f>SUMIFS(tblActuals35415192327[Team 2 Points],tblActuals35415192327[Team 2],$CU10,tblActuals35415192327[Team 1],CX$3)+SUMIFS(tblActuals35415192327[Team 1 Points],tblActuals35415192327[Team 1],$CU10,tblActuals35415192327[Team 2],CX$3)</f>
        <v>0</v>
      </c>
      <c r="CY10" s="56">
        <f>SUMIFS(tblActuals35415192327[Team 2 Points],tblActuals35415192327[Team 2],$CU10,tblActuals35415192327[Team 1],CY$3)+SUMIFS(tblActuals35415192327[Team 1 Points],tblActuals35415192327[Team 1],$CU10,tblActuals35415192327[Team 2],CY$3)</f>
        <v>0</v>
      </c>
      <c r="CZ10" s="56">
        <f>SUMIFS(tblActuals35415192327[Team 2 Points],tblActuals35415192327[Team 2],$CU10,tblActuals35415192327[Team 1],CZ$3)+SUMIFS(tblActuals35415192327[Team 1 Points],tblActuals35415192327[Team 1],$CU10,tblActuals35415192327[Team 2],CZ$3)</f>
        <v>0</v>
      </c>
      <c r="DA10" s="56">
        <f>SUMIFS(tblActuals35415192327[Team 2 Points],tblActuals35415192327[Team 2],$CU10,tblActuals35415192327[Team 1],DA$3)+SUMIFS(tblActuals35415192327[Team 1 Points],tblActuals35415192327[Team 1],$CU10,tblActuals35415192327[Team 2],DA$3)</f>
        <v>0</v>
      </c>
      <c r="DB10" s="56">
        <f>SUMIFS(tblActuals35415192327[Team 2 Points],tblActuals35415192327[Team 2],$CU10,tblActuals35415192327[Team 1],DB$3)+SUMIFS(tblActuals35415192327[Team 1 Points],tblActuals35415192327[Team 1],$CU10,tblActuals35415192327[Team 2],DB$3)</f>
        <v>0</v>
      </c>
      <c r="DC10" s="56">
        <f>SUMIFS(tblActuals35415192327[Team 2 Points],tblActuals35415192327[Team 2],$CU10,tblActuals35415192327[Team 1],DC$3)+SUMIFS(tblActuals35415192327[Team 1 Points],tblActuals35415192327[Team 1],$CU10,tblActuals35415192327[Team 2],DC$3)</f>
        <v>0</v>
      </c>
      <c r="DD10" s="56">
        <f>SUMIFS(tblActuals35415192327[Team 2 Points],tblActuals35415192327[Team 2],$CU10,tblActuals35415192327[Team 1],DD$3)+SUMIFS(tblActuals35415192327[Team 1 Points],tblActuals35415192327[Team 1],$CU10,tblActuals35415192327[Team 2],DD$3)</f>
        <v>0</v>
      </c>
      <c r="DE10" s="56">
        <f>SUMIFS(tblActuals35415192327[Team 2 Points],tblActuals35415192327[Team 2],$CU10,tblActuals35415192327[Team 1],DE$3)+SUMIFS(tblActuals35415192327[Team 1 Points],tblActuals35415192327[Team 1],$CU10,tblActuals35415192327[Team 2],DE$3)</f>
        <v>0</v>
      </c>
      <c r="DF10" s="56">
        <f>SUMIFS(tblActuals35415192327[Team 2 Points],tblActuals35415192327[Team 2],$CU10,tblActuals35415192327[Team 1],DF$3)+SUMIFS(tblActuals35415192327[Team 1 Points],tblActuals35415192327[Team 1],$CU10,tblActuals35415192327[Team 2],DF$3)</f>
        <v>0</v>
      </c>
      <c r="DG10" s="56">
        <f>SUMIFS(tblActuals35415192327[Team 2 Points],tblActuals35415192327[Team 2],$CU10,tblActuals35415192327[Team 1],DG$3)+SUMIFS(tblActuals35415192327[Team 1 Points],tblActuals35415192327[Team 1],$CU10,tblActuals35415192327[Team 2],DG$3)</f>
        <v>0</v>
      </c>
      <c r="DH10" s="56">
        <f>SUMIFS(tblActuals35415192327[Team 2 Points],tblActuals35415192327[Team 2],$CU10,tblActuals35415192327[Team 1],DH$3)+SUMIFS(tblActuals35415192327[Team 1 Points],tblActuals35415192327[Team 1],$CU10,tblActuals35415192327[Team 2],DH$3)</f>
        <v>0</v>
      </c>
      <c r="DI10" s="56">
        <f>SUMIFS(tblActuals35415192327[Team 2 Points],tblActuals35415192327[Team 2],$CU10,tblActuals35415192327[Team 1],DI$3)+SUMIFS(tblActuals35415192327[Team 1 Points],tblActuals35415192327[Team 1],$CU10,tblActuals35415192327[Team 2],DI$3)</f>
        <v>0</v>
      </c>
      <c r="DJ10" s="56">
        <f>SUMIFS(tblActuals35415192327[Team 2 Points],tblActuals35415192327[Team 2],$CU10,tblActuals35415192327[Team 1],DJ$3)+SUMIFS(tblActuals35415192327[Team 1 Points],tblActuals35415192327[Team 1],$CU10,tblActuals35415192327[Team 2],DJ$3)</f>
        <v>0</v>
      </c>
      <c r="DK10" s="56">
        <f>SUMIFS(tblActuals35415192327[Team 2 Points],tblActuals35415192327[Team 2],$CU10,tblActuals35415192327[Team 1],DK$3)+SUMIFS(tblActuals35415192327[Team 1 Points],tblActuals35415192327[Team 1],$CU10,tblActuals35415192327[Team 2],DK$3)</f>
        <v>0</v>
      </c>
      <c r="DL10" s="56">
        <f>SUMIFS(tblActuals35415192327[Team 2 Points],tblActuals35415192327[Team 2],$CU10,tblActuals35415192327[Team 1],DL$3)+SUMIFS(tblActuals35415192327[Team 1 Points],tblActuals35415192327[Team 1],$CU10,tblActuals35415192327[Team 2],DL$3)</f>
        <v>0</v>
      </c>
      <c r="DM10" s="56">
        <f>SUMIFS(tblActuals35415192327[Team 2 Points],tblActuals35415192327[Team 2],$CU10,tblActuals35415192327[Team 1],DM$3)+SUMIFS(tblActuals35415192327[Team 1 Points],tblActuals35415192327[Team 1],$CU10,tblActuals35415192327[Team 2],DM$3)</f>
        <v>0</v>
      </c>
      <c r="DN10" s="56">
        <f>SUMIFS(tblActuals35415192327[Team 2 Points],tblActuals35415192327[Team 2],$CU10,tblActuals35415192327[Team 1],DN$3)+SUMIFS(tblActuals35415192327[Team 1 Points],tblActuals35415192327[Team 1],$CU10,tblActuals35415192327[Team 2],DN$3)</f>
        <v>0</v>
      </c>
      <c r="DO10" s="56">
        <f>SUMIFS(tblActuals35415192327[Team 2 Points],tblActuals35415192327[Team 2],$CU10,tblActuals35415192327[Team 1],DO$3)+SUMIFS(tblActuals35415192327[Team 1 Points],tblActuals35415192327[Team 1],$CU10,tblActuals35415192327[Team 2],DO$3)</f>
        <v>0</v>
      </c>
      <c r="DP10" s="56">
        <f>SUMIFS(tblActuals35415192327[Team 2 Points],tblActuals35415192327[Team 2],$CU10,tblActuals35415192327[Team 1],DP$3)+SUMIFS(tblActuals35415192327[Team 1 Points],tblActuals35415192327[Team 1],$CU10,tblActuals35415192327[Team 2],DP$3)</f>
        <v>0</v>
      </c>
      <c r="DQ10" s="56">
        <f>SUMIFS(tblActuals35415192327[Team 2 Points],tblActuals35415192327[Team 2],$CU10,tblActuals35415192327[Team 1],DQ$3)+SUMIFS(tblActuals35415192327[Team 1 Points],tblActuals35415192327[Team 1],$CU10,tblActuals35415192327[Team 2],DQ$3)</f>
        <v>0</v>
      </c>
      <c r="DR10" s="56">
        <f>SUMIFS(tblActuals35415192327[Team 2 Points],tblActuals35415192327[Team 2],$CU10,tblActuals35415192327[Team 1],DR$3)+SUMIFS(tblActuals35415192327[Team 1 Points],tblActuals35415192327[Team 1],$CU10,tblActuals35415192327[Team 2],DR$3)</f>
        <v>0</v>
      </c>
      <c r="DS10" s="56">
        <f>SUMIFS(tblActuals35415192327[Team 2 Points],tblActuals35415192327[Team 2],$CU10,tblActuals35415192327[Team 1],DS$3)+SUMIFS(tblActuals35415192327[Team 1 Points],tblActuals35415192327[Team 1],$CU10,tblActuals35415192327[Team 2],DS$3)</f>
        <v>0</v>
      </c>
      <c r="DT10" s="57"/>
      <c r="DU10" s="57"/>
      <c r="DV10" s="57"/>
      <c r="DW10" s="57"/>
      <c r="DX10" s="57"/>
      <c r="DY10" s="57"/>
      <c r="DZ10" s="57"/>
      <c r="EA10" s="57"/>
      <c r="EB10" s="4"/>
      <c r="EC10" s="4" t="s">
        <v>126</v>
      </c>
      <c r="ED10" s="56">
        <f>SUMIFS(tblActuals35415192327[Team 2 GD],tblActuals35415192327[Team 2],$CU10,tblActuals35415192327[Team 1],ED$3)+SUMIFS(tblActuals35415192327[Team 1 GD],tblActuals35415192327[Team 1],$CU10,tblActuals35415192327[Team 2],ED$3)</f>
        <v>0</v>
      </c>
      <c r="EE10" s="56">
        <f>SUMIFS(tblActuals35415192327[Team 2 GD],tblActuals35415192327[Team 2],$CU10,tblActuals35415192327[Team 1],EE$3)+SUMIFS(tblActuals35415192327[Team 1 GD],tblActuals35415192327[Team 1],$CU10,tblActuals35415192327[Team 2],EE$3)</f>
        <v>0</v>
      </c>
      <c r="EF10" s="56">
        <f>SUMIFS(tblActuals35415192327[Team 2 GD],tblActuals35415192327[Team 2],$CU10,tblActuals35415192327[Team 1],EF$3)+SUMIFS(tblActuals35415192327[Team 1 GD],tblActuals35415192327[Team 1],$CU10,tblActuals35415192327[Team 2],EF$3)</f>
        <v>0</v>
      </c>
      <c r="EG10" s="56">
        <f>SUMIFS(tblActuals35415192327[Team 2 GD],tblActuals35415192327[Team 2],$CU10,tblActuals35415192327[Team 1],EG$3)+SUMIFS(tblActuals35415192327[Team 1 GD],tblActuals35415192327[Team 1],$CU10,tblActuals35415192327[Team 2],EG$3)</f>
        <v>0</v>
      </c>
      <c r="EH10" s="56">
        <f>SUMIFS(tblActuals35415192327[Team 2 GD],tblActuals35415192327[Team 2],$CU10,tblActuals35415192327[Team 1],EH$3)+SUMIFS(tblActuals35415192327[Team 1 GD],tblActuals35415192327[Team 1],$CU10,tblActuals35415192327[Team 2],EH$3)</f>
        <v>0</v>
      </c>
      <c r="EI10" s="56">
        <f>SUMIFS(tblActuals35415192327[Team 2 GD],tblActuals35415192327[Team 2],$CU10,tblActuals35415192327[Team 1],EI$3)+SUMIFS(tblActuals35415192327[Team 1 GD],tblActuals35415192327[Team 1],$CU10,tblActuals35415192327[Team 2],EI$3)</f>
        <v>0</v>
      </c>
      <c r="EJ10" s="56">
        <f>SUMIFS(tblActuals35415192327[Team 2 GD],tblActuals35415192327[Team 2],$CU10,tblActuals35415192327[Team 1],EJ$3)+SUMIFS(tblActuals35415192327[Team 1 GD],tblActuals35415192327[Team 1],$CU10,tblActuals35415192327[Team 2],EJ$3)</f>
        <v>0</v>
      </c>
      <c r="EK10" s="56">
        <f>SUMIFS(tblActuals35415192327[Team 2 GD],tblActuals35415192327[Team 2],$CU10,tblActuals35415192327[Team 1],EK$3)+SUMIFS(tblActuals35415192327[Team 1 GD],tblActuals35415192327[Team 1],$CU10,tblActuals35415192327[Team 2],EK$3)</f>
        <v>0</v>
      </c>
      <c r="EL10" s="56">
        <f>SUMIFS(tblActuals35415192327[Team 2 GD],tblActuals35415192327[Team 2],$CU10,tblActuals35415192327[Team 1],EL$3)+SUMIFS(tblActuals35415192327[Team 1 GD],tblActuals35415192327[Team 1],$CU10,tblActuals35415192327[Team 2],EL$3)</f>
        <v>0</v>
      </c>
      <c r="EM10" s="56">
        <f>SUMIFS(tblActuals35415192327[Team 2 GD],tblActuals35415192327[Team 2],$CU10,tblActuals35415192327[Team 1],EM$3)+SUMIFS(tblActuals35415192327[Team 1 GD],tblActuals35415192327[Team 1],$CU10,tblActuals35415192327[Team 2],EM$3)</f>
        <v>0</v>
      </c>
      <c r="EN10" s="56">
        <f>SUMIFS(tblActuals35415192327[Team 2 GD],tblActuals35415192327[Team 2],$CU10,tblActuals35415192327[Team 1],EN$3)+SUMIFS(tblActuals35415192327[Team 1 GD],tblActuals35415192327[Team 1],$CU10,tblActuals35415192327[Team 2],EN$3)</f>
        <v>0</v>
      </c>
      <c r="EO10" s="56">
        <f>SUMIFS(tblActuals35415192327[Team 2 GD],tblActuals35415192327[Team 2],$CU10,tblActuals35415192327[Team 1],EO$3)+SUMIFS(tblActuals35415192327[Team 1 GD],tblActuals35415192327[Team 1],$CU10,tblActuals35415192327[Team 2],EO$3)</f>
        <v>0</v>
      </c>
      <c r="EP10" s="56">
        <f>SUMIFS(tblActuals35415192327[Team 2 GD],tblActuals35415192327[Team 2],$CU10,tblActuals35415192327[Team 1],EP$3)+SUMIFS(tblActuals35415192327[Team 1 GD],tblActuals35415192327[Team 1],$CU10,tblActuals35415192327[Team 2],EP$3)</f>
        <v>0</v>
      </c>
      <c r="EQ10" s="56">
        <f>SUMIFS(tblActuals35415192327[Team 2 GD],tblActuals35415192327[Team 2],$CU10,tblActuals35415192327[Team 1],EQ$3)+SUMIFS(tblActuals35415192327[Team 1 GD],tblActuals35415192327[Team 1],$CU10,tblActuals35415192327[Team 2],EQ$3)</f>
        <v>0</v>
      </c>
      <c r="ER10" s="56">
        <f>SUMIFS(tblActuals35415192327[Team 2 GD],tblActuals35415192327[Team 2],$CU10,tblActuals35415192327[Team 1],ER$3)+SUMIFS(tblActuals35415192327[Team 1 GD],tblActuals35415192327[Team 1],$CU10,tblActuals35415192327[Team 2],ER$3)</f>
        <v>0</v>
      </c>
      <c r="ES10" s="56">
        <f>SUMIFS(tblActuals35415192327[Team 2 GD],tblActuals35415192327[Team 2],$CU10,tblActuals35415192327[Team 1],ES$3)+SUMIFS(tblActuals35415192327[Team 1 GD],tblActuals35415192327[Team 1],$CU10,tblActuals35415192327[Team 2],ES$3)</f>
        <v>0</v>
      </c>
      <c r="ET10" s="56">
        <f>SUMIFS(tblActuals35415192327[Team 2 GD],tblActuals35415192327[Team 2],$CU10,tblActuals35415192327[Team 1],ET$3)+SUMIFS(tblActuals35415192327[Team 1 GD],tblActuals35415192327[Team 1],$CU10,tblActuals35415192327[Team 2],ET$3)</f>
        <v>0</v>
      </c>
      <c r="EU10" s="56">
        <f>SUMIFS(tblActuals35415192327[Team 2 GD],tblActuals35415192327[Team 2],$CU10,tblActuals35415192327[Team 1],EU$3)+SUMIFS(tblActuals35415192327[Team 1 GD],tblActuals35415192327[Team 1],$CU10,tblActuals35415192327[Team 2],EU$3)</f>
        <v>0</v>
      </c>
      <c r="EV10" s="56">
        <f>SUMIFS(tblActuals35415192327[Team 2 GD],tblActuals35415192327[Team 2],$CU10,tblActuals35415192327[Team 1],EV$3)+SUMIFS(tblActuals35415192327[Team 1 GD],tblActuals35415192327[Team 1],$CU10,tblActuals35415192327[Team 2],EV$3)</f>
        <v>0</v>
      </c>
      <c r="EW10" s="56">
        <f>SUMIFS(tblActuals35415192327[Team 2 GD],tblActuals35415192327[Team 2],$CU10,tblActuals35415192327[Team 1],EW$3)+SUMIFS(tblActuals35415192327[Team 1 GD],tblActuals35415192327[Team 1],$CU10,tblActuals35415192327[Team 2],EW$3)</f>
        <v>0</v>
      </c>
      <c r="EX10" s="56">
        <f>SUMIFS(tblActuals35415192327[Team 2 GD],tblActuals35415192327[Team 2],$CU10,tblActuals35415192327[Team 1],EX$3)+SUMIFS(tblActuals35415192327[Team 1 GD],tblActuals35415192327[Team 1],$CU10,tblActuals35415192327[Team 2],EX$3)</f>
        <v>0</v>
      </c>
      <c r="EY10" s="56">
        <f>SUMIFS(tblActuals35415192327[Team 2 GD],tblActuals35415192327[Team 2],$CU10,tblActuals35415192327[Team 1],EY$3)+SUMIFS(tblActuals35415192327[Team 1 GD],tblActuals35415192327[Team 1],$CU10,tblActuals35415192327[Team 2],EY$3)</f>
        <v>0</v>
      </c>
      <c r="EZ10" s="56">
        <f>SUMIFS(tblActuals35415192327[Team 2 GD],tblActuals35415192327[Team 2],$CU10,tblActuals35415192327[Team 1],EZ$3)+SUMIFS(tblActuals35415192327[Team 1 GD],tblActuals35415192327[Team 1],$CU10,tblActuals35415192327[Team 2],EZ$3)</f>
        <v>0</v>
      </c>
      <c r="FA10" s="56">
        <f>SUMIFS(tblActuals35415192327[Team 2 GD],tblActuals35415192327[Team 2],$CU10,tblActuals35415192327[Team 1],FA$3)+SUMIFS(tblActuals35415192327[Team 1 GD],tblActuals35415192327[Team 1],$CU10,tblActuals35415192327[Team 2],FA$3)</f>
        <v>0</v>
      </c>
      <c r="FB10" s="57"/>
      <c r="FC10" s="57"/>
      <c r="FD10" s="57"/>
      <c r="FE10" s="57"/>
      <c r="FF10" s="57"/>
      <c r="FG10" s="57"/>
      <c r="FH10" s="57"/>
      <c r="FI10" s="57"/>
      <c r="FJ10" s="4"/>
      <c r="FK10" s="4" t="s">
        <v>126</v>
      </c>
      <c r="FL10" s="56">
        <f>SUMIFS(tblActuals35415192327[Team 2 Goals],tblActuals35415192327[Team 2],$CU10,tblActuals35415192327[Team 1],FL$3)+SUMIFS(tblActuals35415192327[Team 1 Goals],tblActuals35415192327[Team 1],$CU10,tblActuals35415192327[Team 2],FL$3)</f>
        <v>0</v>
      </c>
      <c r="FM10" s="56">
        <f>SUMIFS(tblActuals35415192327[Team 2 Goals],tblActuals35415192327[Team 2],$CU10,tblActuals35415192327[Team 1],FM$3)+SUMIFS(tblActuals35415192327[Team 1 Goals],tblActuals35415192327[Team 1],$CU10,tblActuals35415192327[Team 2],FM$3)</f>
        <v>0</v>
      </c>
      <c r="FN10" s="56">
        <f>SUMIFS(tblActuals35415192327[Team 2 Goals],tblActuals35415192327[Team 2],$CU10,tblActuals35415192327[Team 1],FN$3)+SUMIFS(tblActuals35415192327[Team 1 Goals],tblActuals35415192327[Team 1],$CU10,tblActuals35415192327[Team 2],FN$3)</f>
        <v>0</v>
      </c>
      <c r="FO10" s="56">
        <f>SUMIFS(tblActuals35415192327[Team 2 Goals],tblActuals35415192327[Team 2],$CU10,tblActuals35415192327[Team 1],FO$3)+SUMIFS(tblActuals35415192327[Team 1 Goals],tblActuals35415192327[Team 1],$CU10,tblActuals35415192327[Team 2],FO$3)</f>
        <v>0</v>
      </c>
      <c r="FP10" s="56">
        <f>SUMIFS(tblActuals35415192327[Team 2 Goals],tblActuals35415192327[Team 2],$CU10,tblActuals35415192327[Team 1],FP$3)+SUMIFS(tblActuals35415192327[Team 1 Goals],tblActuals35415192327[Team 1],$CU10,tblActuals35415192327[Team 2],FP$3)</f>
        <v>0</v>
      </c>
      <c r="FQ10" s="56">
        <f>SUMIFS(tblActuals35415192327[Team 2 Goals],tblActuals35415192327[Team 2],$CU10,tblActuals35415192327[Team 1],FQ$3)+SUMIFS(tblActuals35415192327[Team 1 Goals],tblActuals35415192327[Team 1],$CU10,tblActuals35415192327[Team 2],FQ$3)</f>
        <v>0</v>
      </c>
      <c r="FR10" s="56">
        <f>SUMIFS(tblActuals35415192327[Team 2 Goals],tblActuals35415192327[Team 2],$CU10,tblActuals35415192327[Team 1],FR$3)+SUMIFS(tblActuals35415192327[Team 1 Goals],tblActuals35415192327[Team 1],$CU10,tblActuals35415192327[Team 2],FR$3)</f>
        <v>0</v>
      </c>
      <c r="FS10" s="56">
        <f>SUMIFS(tblActuals35415192327[Team 2 Goals],tblActuals35415192327[Team 2],$CU10,tblActuals35415192327[Team 1],FS$3)+SUMIFS(tblActuals35415192327[Team 1 Goals],tblActuals35415192327[Team 1],$CU10,tblActuals35415192327[Team 2],FS$3)</f>
        <v>0</v>
      </c>
      <c r="FT10" s="56">
        <f>SUMIFS(tblActuals35415192327[Team 2 Goals],tblActuals35415192327[Team 2],$CU10,tblActuals35415192327[Team 1],FT$3)+SUMIFS(tblActuals35415192327[Team 1 Goals],tblActuals35415192327[Team 1],$CU10,tblActuals35415192327[Team 2],FT$3)</f>
        <v>0</v>
      </c>
      <c r="FU10" s="56">
        <f>SUMIFS(tblActuals35415192327[Team 2 Goals],tblActuals35415192327[Team 2],$CU10,tblActuals35415192327[Team 1],FU$3)+SUMIFS(tblActuals35415192327[Team 1 Goals],tblActuals35415192327[Team 1],$CU10,tblActuals35415192327[Team 2],FU$3)</f>
        <v>0</v>
      </c>
      <c r="FV10" s="56">
        <f>SUMIFS(tblActuals35415192327[Team 2 Goals],tblActuals35415192327[Team 2],$CU10,tblActuals35415192327[Team 1],FV$3)+SUMIFS(tblActuals35415192327[Team 1 Goals],tblActuals35415192327[Team 1],$CU10,tblActuals35415192327[Team 2],FV$3)</f>
        <v>0</v>
      </c>
      <c r="FW10" s="56">
        <f>SUMIFS(tblActuals35415192327[Team 2 Goals],tblActuals35415192327[Team 2],$CU10,tblActuals35415192327[Team 1],FW$3)+SUMIFS(tblActuals35415192327[Team 1 Goals],tblActuals35415192327[Team 1],$CU10,tblActuals35415192327[Team 2],FW$3)</f>
        <v>0</v>
      </c>
      <c r="FX10" s="56">
        <f>SUMIFS(tblActuals35415192327[Team 2 Goals],tblActuals35415192327[Team 2],$CU10,tblActuals35415192327[Team 1],FX$3)+SUMIFS(tblActuals35415192327[Team 1 Goals],tblActuals35415192327[Team 1],$CU10,tblActuals35415192327[Team 2],FX$3)</f>
        <v>0</v>
      </c>
      <c r="FY10" s="56">
        <f>SUMIFS(tblActuals35415192327[Team 2 Goals],tblActuals35415192327[Team 2],$CU10,tblActuals35415192327[Team 1],FY$3)+SUMIFS(tblActuals35415192327[Team 1 Goals],tblActuals35415192327[Team 1],$CU10,tblActuals35415192327[Team 2],FY$3)</f>
        <v>0</v>
      </c>
      <c r="FZ10" s="56">
        <f>SUMIFS(tblActuals35415192327[Team 2 Goals],tblActuals35415192327[Team 2],$CU10,tblActuals35415192327[Team 1],FZ$3)+SUMIFS(tblActuals35415192327[Team 1 Goals],tblActuals35415192327[Team 1],$CU10,tblActuals35415192327[Team 2],FZ$3)</f>
        <v>0</v>
      </c>
      <c r="GA10" s="56">
        <f>SUMIFS(tblActuals35415192327[Team 2 Goals],tblActuals35415192327[Team 2],$CU10,tblActuals35415192327[Team 1],GA$3)+SUMIFS(tblActuals35415192327[Team 1 Goals],tblActuals35415192327[Team 1],$CU10,tblActuals35415192327[Team 2],GA$3)</f>
        <v>0</v>
      </c>
      <c r="GB10" s="56">
        <f>SUMIFS(tblActuals35415192327[Team 2 Goals],tblActuals35415192327[Team 2],$CU10,tblActuals35415192327[Team 1],GB$3)+SUMIFS(tblActuals35415192327[Team 1 Goals],tblActuals35415192327[Team 1],$CU10,tblActuals35415192327[Team 2],GB$3)</f>
        <v>0</v>
      </c>
      <c r="GC10" s="56">
        <f>SUMIFS(tblActuals35415192327[Team 2 Goals],tblActuals35415192327[Team 2],$CU10,tblActuals35415192327[Team 1],GC$3)+SUMIFS(tblActuals35415192327[Team 1 Goals],tblActuals35415192327[Team 1],$CU10,tblActuals35415192327[Team 2],GC$3)</f>
        <v>0</v>
      </c>
      <c r="GD10" s="56">
        <f>SUMIFS(tblActuals35415192327[Team 2 Goals],tblActuals35415192327[Team 2],$CU10,tblActuals35415192327[Team 1],GD$3)+SUMIFS(tblActuals35415192327[Team 1 Goals],tblActuals35415192327[Team 1],$CU10,tblActuals35415192327[Team 2],GD$3)</f>
        <v>0</v>
      </c>
      <c r="GE10" s="56">
        <f>SUMIFS(tblActuals35415192327[Team 2 Goals],tblActuals35415192327[Team 2],$CU10,tblActuals35415192327[Team 1],GE$3)+SUMIFS(tblActuals35415192327[Team 1 Goals],tblActuals35415192327[Team 1],$CU10,tblActuals35415192327[Team 2],GE$3)</f>
        <v>0</v>
      </c>
      <c r="GF10" s="56">
        <f>SUMIFS(tblActuals35415192327[Team 2 Goals],tblActuals35415192327[Team 2],$CU10,tblActuals35415192327[Team 1],GF$3)+SUMIFS(tblActuals35415192327[Team 1 Goals],tblActuals35415192327[Team 1],$CU10,tblActuals35415192327[Team 2],GF$3)</f>
        <v>0</v>
      </c>
      <c r="GG10" s="56">
        <f>SUMIFS(tblActuals35415192327[Team 2 Goals],tblActuals35415192327[Team 2],$CU10,tblActuals35415192327[Team 1],GG$3)+SUMIFS(tblActuals35415192327[Team 1 Goals],tblActuals35415192327[Team 1],$CU10,tblActuals35415192327[Team 2],GG$3)</f>
        <v>0</v>
      </c>
      <c r="GH10" s="56">
        <f>SUMIFS(tblActuals35415192327[Team 2 Goals],tblActuals35415192327[Team 2],$CU10,tblActuals35415192327[Team 1],GH$3)+SUMIFS(tblActuals35415192327[Team 1 Goals],tblActuals35415192327[Team 1],$CU10,tblActuals35415192327[Team 2],GH$3)</f>
        <v>0</v>
      </c>
      <c r="GI10" s="56">
        <f>SUMIFS(tblActuals35415192327[Team 2 Goals],tblActuals35415192327[Team 2],$CU10,tblActuals35415192327[Team 1],GI$3)+SUMIFS(tblActuals35415192327[Team 1 Goals],tblActuals35415192327[Team 1],$CU10,tblActuals35415192327[Team 2],GI$3)</f>
        <v>0</v>
      </c>
      <c r="GJ10" s="57"/>
      <c r="GK10" s="57"/>
      <c r="GL10" s="37"/>
      <c r="GM10" s="37"/>
      <c r="GN10" s="37"/>
      <c r="GO10" s="37"/>
      <c r="GP10" s="37"/>
      <c r="GQ10" s="37"/>
      <c r="GR10" s="75"/>
      <c r="GS10" s="156"/>
      <c r="GT10" s="156"/>
      <c r="GU10" s="75"/>
      <c r="GW10" s="75"/>
      <c r="GX10" s="75"/>
      <c r="GY10" s="75"/>
      <c r="GZ10" s="75"/>
      <c r="HB10" s="4" t="str">
        <f t="shared" si="12"/>
        <v>ABEF</v>
      </c>
      <c r="HC10" s="44" t="s">
        <v>1</v>
      </c>
      <c r="HD10" s="44" t="s">
        <v>5</v>
      </c>
      <c r="HE10" s="45"/>
      <c r="HF10" s="45"/>
      <c r="HG10" s="44" t="s">
        <v>12</v>
      </c>
      <c r="HH10" s="44" t="s">
        <v>45</v>
      </c>
      <c r="HI10" s="178"/>
      <c r="HJ10" s="45" t="s">
        <v>153</v>
      </c>
      <c r="HK10" s="45" t="s">
        <v>154</v>
      </c>
      <c r="HL10" s="45" t="s">
        <v>151</v>
      </c>
      <c r="HM10" s="45" t="s">
        <v>149</v>
      </c>
    </row>
    <row r="11" spans="1:221" s="11" customFormat="1" ht="30" customHeight="1" thickBot="1" x14ac:dyDescent="0.25">
      <c r="A11" s="20"/>
      <c r="B11" s="122">
        <v>8</v>
      </c>
      <c r="C11" s="122" t="s">
        <v>7</v>
      </c>
      <c r="D11" s="123">
        <v>45460</v>
      </c>
      <c r="E11" s="122" t="s">
        <v>85</v>
      </c>
      <c r="F11" s="124">
        <v>0.875</v>
      </c>
      <c r="G11" s="125">
        <f t="shared" si="11"/>
        <v>45460.625</v>
      </c>
      <c r="H11" s="122" t="s">
        <v>96</v>
      </c>
      <c r="I11" s="126"/>
      <c r="J11" s="118"/>
      <c r="K11" s="118"/>
      <c r="L11" s="174">
        <f>IF(I11="",0,IFERROR(IF(SCORING.RULES!$C$8="No",1,((VLOOKUP($B11,ACTUALS!$B$4:$L$100,7,FALSE)=$H11)+(VLOOKUP($B11,ACTUALS!$B$4:$L$100,7,FALSE)=S11)))*(M11+N11+O11+P11+Q11),0))+$R11</f>
        <v>0</v>
      </c>
      <c r="M11" s="168">
        <f>IFERROR(IF($B11="","",IF(U11=INDEX(ACTUALS!$AA$4:$AA$100,MATCH($B11,ACTUALS!$B$4:$B$100,0),1),CorrectScore,0)),0)</f>
        <v>0</v>
      </c>
      <c r="N11" s="157" t="str">
        <f>IFERROR(IF(I11="","",IF(INDEX(ACTUALS!$AB$4:$AB$100,MATCH($B11,ACTUALS!$B$4:$B$100,0),1)=(AB11+AC11+AH11+AI11),CorrectNumberofGoals,0)),0)</f>
        <v/>
      </c>
      <c r="O11" s="157"/>
      <c r="P11" s="157">
        <f>IFERROR(IF(B11="","",IF(INDEX(ACTUALS!$L$4:$L$100,MATCH($B11,ACTUALS!$B$4:$B$100,0),1)=W11,CorrectResult,0)),0)</f>
        <v>3</v>
      </c>
      <c r="Q11" s="157"/>
      <c r="R11" s="157"/>
      <c r="S11" s="157" t="str">
        <f t="shared" si="0"/>
        <v/>
      </c>
      <c r="T11" s="157"/>
      <c r="U11" s="157" t="str">
        <f t="shared" si="1"/>
        <v/>
      </c>
      <c r="V11" s="157" t="str">
        <f t="shared" si="2"/>
        <v/>
      </c>
      <c r="W11" s="119" t="str">
        <f>IF(tblActuals35415192327[[#This Row],[SCORE]]="","",IF(AB11=AC11,"Draw",IF(AB11&gt;AC11,X11,Y11)))</f>
        <v/>
      </c>
      <c r="X11" s="120" t="str">
        <f>IF(tblActuals35415192327[[#This Row],[TEAMS]]="","",LEFT(H11,FIND(" -",H11,1)-1))</f>
        <v>Austria</v>
      </c>
      <c r="Y11" s="120" t="str">
        <f>IF(tblActuals35415192327[[#This Row],[TEAMS]]="","",MID(H11,FIND("-",H11,1)+2,LEN(H11)-FIND("-",H11,1)+2))</f>
        <v>France</v>
      </c>
      <c r="Z11" s="120" t="str">
        <f>IF(tblActuals35415192327[[#This Row],[Team 1 Goals]]&gt;tblActuals35415192327[[#This Row],[Team 2 Goals]],tblActuals35415192327[[#This Row],[Team 1]],IF(tblActuals35415192327[[#This Row],[Team 2 Goals]]&gt;tblActuals35415192327[[#This Row],[Team 1 Goals]],tblActuals35415192327[[#This Row],[Team 2]],""))</f>
        <v/>
      </c>
      <c r="AA11" s="120" t="str">
        <f>IF(tblActuals35415192327[[#This Row],[Winner]]=tblActuals35415192327[[#This Row],[Team 1]],tblActuals35415192327[[#This Row],[Team 2]],IF(tblActuals35415192327[[#This Row],[Winner]]=tblActuals35415192327[[#This Row],[Team 2]],tblActuals35415192327[[#This Row],[Team 1]],""))</f>
        <v/>
      </c>
      <c r="AB11" s="120" t="str">
        <f>IF(tblActuals35415192327[[#This Row],[SCORE]]="","",LEFT(I11,FIND(":",I11,1)-1)*1)</f>
        <v/>
      </c>
      <c r="AC11" s="120" t="str">
        <f>IF(tblActuals35415192327[[#This Row],[SCORE]]="","",MID(I11,FIND(":",I11,1)+1,LEN(I11)-FIND(":",I11,1)+1)*1)</f>
        <v/>
      </c>
      <c r="AD11" s="120" t="str">
        <f>IF(OR(tblActuals35415192327[[#This Row],[Team 1 Goals]]="",tblActuals35415192327[[#This Row],[Team 2 Goals]]=""),"",tblActuals35415192327[[#This Row],[Team 1 Goals]]-tblActuals35415192327[[#This Row],[Team 2 Goals]])</f>
        <v/>
      </c>
      <c r="AE11" s="120" t="str">
        <f>IF(OR(tblActuals35415192327[[#This Row],[Team 1 Goals]]="",tblActuals35415192327[[#This Row],[Team 2 Goals]]=""),"",tblActuals35415192327[[#This Row],[Team 2 Goals]]-tblActuals35415192327[[#This Row],[Team 1 Goals]])</f>
        <v/>
      </c>
      <c r="AF11" s="120" t="str">
        <f>IF(tblActuals35415192327[[#This Row],[SCORE]]="","",IF(tblActuals35415192327[[#This Row],[WINNER / RESULT]]="Draw",1,IF(tblActuals35415192327[[#This Row],[WINNER / RESULT]]=tblActuals35415192327[[#This Row],[Team 1]],3,0)))</f>
        <v/>
      </c>
      <c r="AG11" s="120" t="str">
        <f>IF(tblActuals35415192327[[#This Row],[SCORE]]="","",IF(tblActuals35415192327[[#This Row],[WINNER / RESULT]]="Draw",1,IF(tblActuals35415192327[[#This Row],[WINNER / RESULT]]=tblActuals35415192327[[#This Row],[Team 2]],3,0)))</f>
        <v/>
      </c>
      <c r="AH11" s="121"/>
      <c r="AI11" s="121"/>
      <c r="AJ11" s="121"/>
      <c r="AK11" s="121"/>
      <c r="AL11" s="120" t="e">
        <f>tblActuals35415192327[[#This Row],[Team 1 Goals]]+tblActuals35415192327[[#This Row],[Team 1 ET Goals]]&amp;":"&amp;tblActuals35415192327[[#This Row],[Team 2 Goals]]+tblActuals35415192327[[#This Row],[Team 2 ET Goals]]</f>
        <v>#VALUE!</v>
      </c>
      <c r="AM11" s="120" t="e">
        <f>+tblActuals35415192327[[#This Row],[Team 1 Goals]]+tblActuals35415192327[[#This Row],[Team 2 Goals]]</f>
        <v>#VALUE!</v>
      </c>
      <c r="AN11" s="161">
        <f t="shared" si="3"/>
        <v>45460</v>
      </c>
      <c r="AP11" s="38" t="s">
        <v>84</v>
      </c>
      <c r="AT11" s="78"/>
      <c r="AU11" s="179" t="s">
        <v>52</v>
      </c>
      <c r="AV11" s="180"/>
      <c r="AW11" s="133" t="s">
        <v>46</v>
      </c>
      <c r="AX11" s="134" t="s">
        <v>57</v>
      </c>
      <c r="AY11" s="135" t="s">
        <v>11</v>
      </c>
      <c r="AZ11" s="75"/>
      <c r="BA11" s="42"/>
      <c r="BB11" s="4"/>
      <c r="BC11" s="4" t="s">
        <v>5</v>
      </c>
      <c r="BD11" s="4" t="s">
        <v>126</v>
      </c>
      <c r="BE11" s="4">
        <f>COUNTIF(tblActuals35415192327[Winner],BD11)</f>
        <v>0</v>
      </c>
      <c r="BF11" s="4">
        <f>COUNTIFS(tblActuals35415192327[Team 2],BD11,tblActuals35415192327[WINNER / RESULT],"Draw")+COUNTIFS(tblActuals35415192327[Team 1],BD11,tblActuals35415192327[WINNER / RESULT],"Draw")</f>
        <v>0</v>
      </c>
      <c r="BG11" s="4">
        <f>COUNTIF(tblActuals35415192327[Loser],BD11)</f>
        <v>0</v>
      </c>
      <c r="BH11" s="4">
        <f>BF11+(3*BE11)</f>
        <v>0</v>
      </c>
      <c r="BI11" s="4">
        <f>SUMIFS(tblActuals35415192327[Team 1 Goals],tblActuals35415192327[Team 1],BD11)+SUMIFS(tblActuals35415192327[Team 2 Goals],tblActuals35415192327[Team 2],BD11)</f>
        <v>0</v>
      </c>
      <c r="BJ11" s="4">
        <f>SUMIFS(tblActuals35415192327[Team 2 Goals],tblActuals35415192327[Team 1],BD11)+SUMIFS(tblActuals35415192327[Team 1 Goals],tblActuals35415192327[Team 2],BD11)</f>
        <v>0</v>
      </c>
      <c r="BK11" s="4">
        <f>BI11-BJ11</f>
        <v>0</v>
      </c>
      <c r="BL11" s="4">
        <f ca="1">RANK(BY11,$BY$9:$BY$12,1)</f>
        <v>3</v>
      </c>
      <c r="BM11" s="4" t="str">
        <f t="shared" si="4"/>
        <v/>
      </c>
      <c r="BN11" s="4" t="str">
        <f ca="1">IF(BM11="",BL11&amp;BC11,BM11&amp;BC11)</f>
        <v>3B</v>
      </c>
      <c r="BO11" s="4">
        <f>RANK(BH11,$BH$9:$BH$12,0)</f>
        <v>1</v>
      </c>
      <c r="BP11" s="4" cm="1">
        <f t="array" aca="1" ref="BP11" ca="1">SUMPRODUCT((OFFSET($CV$3:$EA$3,MATCH($BD11,$CU$4:$CU$35,0),0))*((IF($BO9=$BO11,$CV$3:$EA$3=$BD9,0))+(IF($BO12=$BO11,$CV$3:$EA$3=$BD12,0))+(IF($BO10=$BO11,$CV$3:$EA$3=$BD10,0))))</f>
        <v>0</v>
      </c>
      <c r="BQ11" s="4" cm="1">
        <f t="array" aca="1" ref="BQ11" ca="1">SUMPRODUCT((OFFSET($ED$3:$FI$3,MATCH($BD11,$EC$4:$EC$35,0),0))*((IF($BO9=$BO11,$ED$3:$FI$3=$BD9,0))+(IF($BO12=$BO11,$ED$3:$FI$3=$BD12,0))+(IF($BO10=$BO11,$ED$3:$FI$3=$BD10,0))))</f>
        <v>0</v>
      </c>
      <c r="BR11" s="4" cm="1">
        <f t="array" aca="1" ref="BR11" ca="1">SUMPRODUCT((OFFSET($FL$3:$GQ$3,MATCH($BD11,$FK$4:$FK$35,0),0))*((IF($BO9=$BO11,$FL$3:$GQ$3=$BD9,0))+(IF($BO12=$BO11,$FL$3:$GQ$3=$BD12,0))+(IF($BO10=$BO11,$FL$3:$GQ$3=$BD10,0))))</f>
        <v>0</v>
      </c>
      <c r="BS11" s="4" cm="1">
        <f t="array" aca="1" ref="BS11" ca="1">SUMPRODUCT((OFFSET($CV$3:$EA$3,MATCH($BD11,$CU$4:$CU$35,0),0))*((IF($BO9&lt;&gt;$BO11,$CV$3:$EA$3=$BD9,0))+(IF($BO12&lt;&gt;$BO11,$CV$3:$EA$3=$BD12,0))+(IF($BO10&lt;&gt;$BO11,$CV$3:$EA$3=$BD10,0))))</f>
        <v>0</v>
      </c>
      <c r="BT11" s="4" cm="1">
        <f t="array" aca="1" ref="BT11" ca="1">SUMPRODUCT((OFFSET($ED$3:$FI$3,MATCH($BD11,$EC$4:$EC$35,0),0))*((IF($BO9&lt;&gt;$BO11,$ED$3:$FI$3=$BD9,0))+(IF($BO12&lt;&gt;$BO11,$ED$3:$FI$3=$BD12,0))+(IF($BO10&lt;&gt;$BO11,$ED$3:$FI$3=$BD10,0))))</f>
        <v>0</v>
      </c>
      <c r="BU11" s="4" cm="1">
        <f t="array" aca="1" ref="BU11" ca="1">SUMPRODUCT((OFFSET($FL$3:$GQ$3,MATCH($BD11,$FK$4:$FK$35,0),0))*((IF($BO9&lt;&gt;$BO11,$FL$3:$GQ$3=$BD9,0))+(IF($BO12&lt;&gt;$BO11,$FL$3:$GQ$3=$BD12,0))+(IF($BO10&lt;&gt;$BO11,$FL$3:$GQ$3=$BD10,0))))</f>
        <v>0</v>
      </c>
      <c r="BV11" s="4">
        <f>BK11</f>
        <v>0</v>
      </c>
      <c r="BW11" s="4">
        <f>BI11</f>
        <v>0</v>
      </c>
      <c r="BX11" s="4">
        <f ca="1">(BP11/10)+(BQ11/100)+(BR11/1000)+(BT11/10000)+(BU11/100000)+(BV11/1000000)+(BW11/10000000)+(ROW(BS10)/100000000)</f>
        <v>9.9999999999999995E-8</v>
      </c>
      <c r="BY11" s="4">
        <f ca="1">+BO11-BX11</f>
        <v>0.99999990000000005</v>
      </c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U11" s="4" t="s">
        <v>127</v>
      </c>
      <c r="CV11" s="56">
        <f>SUMIFS(tblActuals35415192327[Team 2 Points],tblActuals35415192327[Team 2],$CU11,tblActuals35415192327[Team 1],CV$3)+SUMIFS(tblActuals35415192327[Team 1 Points],tblActuals35415192327[Team 1],$CU11,tblActuals35415192327[Team 2],CV$3)</f>
        <v>0</v>
      </c>
      <c r="CW11" s="56">
        <f>SUMIFS(tblActuals35415192327[Team 2 Points],tblActuals35415192327[Team 2],$CU11,tblActuals35415192327[Team 1],CW$3)+SUMIFS(tblActuals35415192327[Team 1 Points],tblActuals35415192327[Team 1],$CU11,tblActuals35415192327[Team 2],CW$3)</f>
        <v>0</v>
      </c>
      <c r="CX11" s="56">
        <f>SUMIFS(tblActuals35415192327[Team 2 Points],tblActuals35415192327[Team 2],$CU11,tblActuals35415192327[Team 1],CX$3)+SUMIFS(tblActuals35415192327[Team 1 Points],tblActuals35415192327[Team 1],$CU11,tblActuals35415192327[Team 2],CX$3)</f>
        <v>0</v>
      </c>
      <c r="CY11" s="56">
        <f>SUMIFS(tblActuals35415192327[Team 2 Points],tblActuals35415192327[Team 2],$CU11,tblActuals35415192327[Team 1],CY$3)+SUMIFS(tblActuals35415192327[Team 1 Points],tblActuals35415192327[Team 1],$CU11,tblActuals35415192327[Team 2],CY$3)</f>
        <v>0</v>
      </c>
      <c r="CZ11" s="56">
        <f>SUMIFS(tblActuals35415192327[Team 2 Points],tblActuals35415192327[Team 2],$CU11,tblActuals35415192327[Team 1],CZ$3)+SUMIFS(tblActuals35415192327[Team 1 Points],tblActuals35415192327[Team 1],$CU11,tblActuals35415192327[Team 2],CZ$3)</f>
        <v>0</v>
      </c>
      <c r="DA11" s="56">
        <f>SUMIFS(tblActuals35415192327[Team 2 Points],tblActuals35415192327[Team 2],$CU11,tblActuals35415192327[Team 1],DA$3)+SUMIFS(tblActuals35415192327[Team 1 Points],tblActuals35415192327[Team 1],$CU11,tblActuals35415192327[Team 2],DA$3)</f>
        <v>0</v>
      </c>
      <c r="DB11" s="56">
        <f>SUMIFS(tblActuals35415192327[Team 2 Points],tblActuals35415192327[Team 2],$CU11,tblActuals35415192327[Team 1],DB$3)+SUMIFS(tblActuals35415192327[Team 1 Points],tblActuals35415192327[Team 1],$CU11,tblActuals35415192327[Team 2],DB$3)</f>
        <v>0</v>
      </c>
      <c r="DC11" s="56">
        <f>SUMIFS(tblActuals35415192327[Team 2 Points],tblActuals35415192327[Team 2],$CU11,tblActuals35415192327[Team 1],DC$3)+SUMIFS(tblActuals35415192327[Team 1 Points],tblActuals35415192327[Team 1],$CU11,tblActuals35415192327[Team 2],DC$3)</f>
        <v>0</v>
      </c>
      <c r="DD11" s="56">
        <f>SUMIFS(tblActuals35415192327[Team 2 Points],tblActuals35415192327[Team 2],$CU11,tblActuals35415192327[Team 1],DD$3)+SUMIFS(tblActuals35415192327[Team 1 Points],tblActuals35415192327[Team 1],$CU11,tblActuals35415192327[Team 2],DD$3)</f>
        <v>0</v>
      </c>
      <c r="DE11" s="56">
        <f>SUMIFS(tblActuals35415192327[Team 2 Points],tblActuals35415192327[Team 2],$CU11,tblActuals35415192327[Team 1],DE$3)+SUMIFS(tblActuals35415192327[Team 1 Points],tblActuals35415192327[Team 1],$CU11,tblActuals35415192327[Team 2],DE$3)</f>
        <v>0</v>
      </c>
      <c r="DF11" s="56">
        <f>SUMIFS(tblActuals35415192327[Team 2 Points],tblActuals35415192327[Team 2],$CU11,tblActuals35415192327[Team 1],DF$3)+SUMIFS(tblActuals35415192327[Team 1 Points],tblActuals35415192327[Team 1],$CU11,tblActuals35415192327[Team 2],DF$3)</f>
        <v>0</v>
      </c>
      <c r="DG11" s="56">
        <f>SUMIFS(tblActuals35415192327[Team 2 Points],tblActuals35415192327[Team 2],$CU11,tblActuals35415192327[Team 1],DG$3)+SUMIFS(tblActuals35415192327[Team 1 Points],tblActuals35415192327[Team 1],$CU11,tblActuals35415192327[Team 2],DG$3)</f>
        <v>0</v>
      </c>
      <c r="DH11" s="56">
        <f>SUMIFS(tblActuals35415192327[Team 2 Points],tblActuals35415192327[Team 2],$CU11,tblActuals35415192327[Team 1],DH$3)+SUMIFS(tblActuals35415192327[Team 1 Points],tblActuals35415192327[Team 1],$CU11,tblActuals35415192327[Team 2],DH$3)</f>
        <v>0</v>
      </c>
      <c r="DI11" s="56">
        <f>SUMIFS(tblActuals35415192327[Team 2 Points],tblActuals35415192327[Team 2],$CU11,tblActuals35415192327[Team 1],DI$3)+SUMIFS(tblActuals35415192327[Team 1 Points],tblActuals35415192327[Team 1],$CU11,tblActuals35415192327[Team 2],DI$3)</f>
        <v>0</v>
      </c>
      <c r="DJ11" s="56">
        <f>SUMIFS(tblActuals35415192327[Team 2 Points],tblActuals35415192327[Team 2],$CU11,tblActuals35415192327[Team 1],DJ$3)+SUMIFS(tblActuals35415192327[Team 1 Points],tblActuals35415192327[Team 1],$CU11,tblActuals35415192327[Team 2],DJ$3)</f>
        <v>0</v>
      </c>
      <c r="DK11" s="56">
        <f>SUMIFS(tblActuals35415192327[Team 2 Points],tblActuals35415192327[Team 2],$CU11,tblActuals35415192327[Team 1],DK$3)+SUMIFS(tblActuals35415192327[Team 1 Points],tblActuals35415192327[Team 1],$CU11,tblActuals35415192327[Team 2],DK$3)</f>
        <v>0</v>
      </c>
      <c r="DL11" s="56">
        <f>SUMIFS(tblActuals35415192327[Team 2 Points],tblActuals35415192327[Team 2],$CU11,tblActuals35415192327[Team 1],DL$3)+SUMIFS(tblActuals35415192327[Team 1 Points],tblActuals35415192327[Team 1],$CU11,tblActuals35415192327[Team 2],DL$3)</f>
        <v>0</v>
      </c>
      <c r="DM11" s="56">
        <f>SUMIFS(tblActuals35415192327[Team 2 Points],tblActuals35415192327[Team 2],$CU11,tblActuals35415192327[Team 1],DM$3)+SUMIFS(tblActuals35415192327[Team 1 Points],tblActuals35415192327[Team 1],$CU11,tblActuals35415192327[Team 2],DM$3)</f>
        <v>0</v>
      </c>
      <c r="DN11" s="56">
        <f>SUMIFS(tblActuals35415192327[Team 2 Points],tblActuals35415192327[Team 2],$CU11,tblActuals35415192327[Team 1],DN$3)+SUMIFS(tblActuals35415192327[Team 1 Points],tblActuals35415192327[Team 1],$CU11,tblActuals35415192327[Team 2],DN$3)</f>
        <v>0</v>
      </c>
      <c r="DO11" s="56">
        <f>SUMIFS(tblActuals35415192327[Team 2 Points],tblActuals35415192327[Team 2],$CU11,tblActuals35415192327[Team 1],DO$3)+SUMIFS(tblActuals35415192327[Team 1 Points],tblActuals35415192327[Team 1],$CU11,tblActuals35415192327[Team 2],DO$3)</f>
        <v>0</v>
      </c>
      <c r="DP11" s="56">
        <f>SUMIFS(tblActuals35415192327[Team 2 Points],tblActuals35415192327[Team 2],$CU11,tblActuals35415192327[Team 1],DP$3)+SUMIFS(tblActuals35415192327[Team 1 Points],tblActuals35415192327[Team 1],$CU11,tblActuals35415192327[Team 2],DP$3)</f>
        <v>0</v>
      </c>
      <c r="DQ11" s="56">
        <f>SUMIFS(tblActuals35415192327[Team 2 Points],tblActuals35415192327[Team 2],$CU11,tblActuals35415192327[Team 1],DQ$3)+SUMIFS(tblActuals35415192327[Team 1 Points],tblActuals35415192327[Team 1],$CU11,tblActuals35415192327[Team 2],DQ$3)</f>
        <v>0</v>
      </c>
      <c r="DR11" s="56">
        <f>SUMIFS(tblActuals35415192327[Team 2 Points],tblActuals35415192327[Team 2],$CU11,tblActuals35415192327[Team 1],DR$3)+SUMIFS(tblActuals35415192327[Team 1 Points],tblActuals35415192327[Team 1],$CU11,tblActuals35415192327[Team 2],DR$3)</f>
        <v>0</v>
      </c>
      <c r="DS11" s="56">
        <f>SUMIFS(tblActuals35415192327[Team 2 Points],tblActuals35415192327[Team 2],$CU11,tblActuals35415192327[Team 1],DS$3)+SUMIFS(tblActuals35415192327[Team 1 Points],tblActuals35415192327[Team 1],$CU11,tblActuals35415192327[Team 2],DS$3)</f>
        <v>0</v>
      </c>
      <c r="DT11" s="57"/>
      <c r="DU11" s="57"/>
      <c r="DV11" s="57"/>
      <c r="DW11" s="57"/>
      <c r="DX11" s="57"/>
      <c r="DY11" s="57"/>
      <c r="DZ11" s="57"/>
      <c r="EA11" s="57"/>
      <c r="EB11" s="4"/>
      <c r="EC11" s="4" t="s">
        <v>127</v>
      </c>
      <c r="ED11" s="56">
        <f>SUMIFS(tblActuals35415192327[Team 2 GD],tblActuals35415192327[Team 2],$CU11,tblActuals35415192327[Team 1],ED$3)+SUMIFS(tblActuals35415192327[Team 1 GD],tblActuals35415192327[Team 1],$CU11,tblActuals35415192327[Team 2],ED$3)</f>
        <v>0</v>
      </c>
      <c r="EE11" s="56">
        <f>SUMIFS(tblActuals35415192327[Team 2 GD],tblActuals35415192327[Team 2],$CU11,tblActuals35415192327[Team 1],EE$3)+SUMIFS(tblActuals35415192327[Team 1 GD],tblActuals35415192327[Team 1],$CU11,tblActuals35415192327[Team 2],EE$3)</f>
        <v>0</v>
      </c>
      <c r="EF11" s="56">
        <f>SUMIFS(tblActuals35415192327[Team 2 GD],tblActuals35415192327[Team 2],$CU11,tblActuals35415192327[Team 1],EF$3)+SUMIFS(tblActuals35415192327[Team 1 GD],tblActuals35415192327[Team 1],$CU11,tblActuals35415192327[Team 2],EF$3)</f>
        <v>0</v>
      </c>
      <c r="EG11" s="56">
        <f>SUMIFS(tblActuals35415192327[Team 2 GD],tblActuals35415192327[Team 2],$CU11,tblActuals35415192327[Team 1],EG$3)+SUMIFS(tblActuals35415192327[Team 1 GD],tblActuals35415192327[Team 1],$CU11,tblActuals35415192327[Team 2],EG$3)</f>
        <v>0</v>
      </c>
      <c r="EH11" s="56">
        <f>SUMIFS(tblActuals35415192327[Team 2 GD],tblActuals35415192327[Team 2],$CU11,tblActuals35415192327[Team 1],EH$3)+SUMIFS(tblActuals35415192327[Team 1 GD],tblActuals35415192327[Team 1],$CU11,tblActuals35415192327[Team 2],EH$3)</f>
        <v>0</v>
      </c>
      <c r="EI11" s="56">
        <f>SUMIFS(tblActuals35415192327[Team 2 GD],tblActuals35415192327[Team 2],$CU11,tblActuals35415192327[Team 1],EI$3)+SUMIFS(tblActuals35415192327[Team 1 GD],tblActuals35415192327[Team 1],$CU11,tblActuals35415192327[Team 2],EI$3)</f>
        <v>0</v>
      </c>
      <c r="EJ11" s="56">
        <f>SUMIFS(tblActuals35415192327[Team 2 GD],tblActuals35415192327[Team 2],$CU11,tblActuals35415192327[Team 1],EJ$3)+SUMIFS(tblActuals35415192327[Team 1 GD],tblActuals35415192327[Team 1],$CU11,tblActuals35415192327[Team 2],EJ$3)</f>
        <v>0</v>
      </c>
      <c r="EK11" s="56">
        <f>SUMIFS(tblActuals35415192327[Team 2 GD],tblActuals35415192327[Team 2],$CU11,tblActuals35415192327[Team 1],EK$3)+SUMIFS(tblActuals35415192327[Team 1 GD],tblActuals35415192327[Team 1],$CU11,tblActuals35415192327[Team 2],EK$3)</f>
        <v>0</v>
      </c>
      <c r="EL11" s="56">
        <f>SUMIFS(tblActuals35415192327[Team 2 GD],tblActuals35415192327[Team 2],$CU11,tblActuals35415192327[Team 1],EL$3)+SUMIFS(tblActuals35415192327[Team 1 GD],tblActuals35415192327[Team 1],$CU11,tblActuals35415192327[Team 2],EL$3)</f>
        <v>0</v>
      </c>
      <c r="EM11" s="56">
        <f>SUMIFS(tblActuals35415192327[Team 2 GD],tblActuals35415192327[Team 2],$CU11,tblActuals35415192327[Team 1],EM$3)+SUMIFS(tblActuals35415192327[Team 1 GD],tblActuals35415192327[Team 1],$CU11,tblActuals35415192327[Team 2],EM$3)</f>
        <v>0</v>
      </c>
      <c r="EN11" s="56">
        <f>SUMIFS(tblActuals35415192327[Team 2 GD],tblActuals35415192327[Team 2],$CU11,tblActuals35415192327[Team 1],EN$3)+SUMIFS(tblActuals35415192327[Team 1 GD],tblActuals35415192327[Team 1],$CU11,tblActuals35415192327[Team 2],EN$3)</f>
        <v>0</v>
      </c>
      <c r="EO11" s="56">
        <f>SUMIFS(tblActuals35415192327[Team 2 GD],tblActuals35415192327[Team 2],$CU11,tblActuals35415192327[Team 1],EO$3)+SUMIFS(tblActuals35415192327[Team 1 GD],tblActuals35415192327[Team 1],$CU11,tblActuals35415192327[Team 2],EO$3)</f>
        <v>0</v>
      </c>
      <c r="EP11" s="56">
        <f>SUMIFS(tblActuals35415192327[Team 2 GD],tblActuals35415192327[Team 2],$CU11,tblActuals35415192327[Team 1],EP$3)+SUMIFS(tblActuals35415192327[Team 1 GD],tblActuals35415192327[Team 1],$CU11,tblActuals35415192327[Team 2],EP$3)</f>
        <v>0</v>
      </c>
      <c r="EQ11" s="56">
        <f>SUMIFS(tblActuals35415192327[Team 2 GD],tblActuals35415192327[Team 2],$CU11,tblActuals35415192327[Team 1],EQ$3)+SUMIFS(tblActuals35415192327[Team 1 GD],tblActuals35415192327[Team 1],$CU11,tblActuals35415192327[Team 2],EQ$3)</f>
        <v>0</v>
      </c>
      <c r="ER11" s="56">
        <f>SUMIFS(tblActuals35415192327[Team 2 GD],tblActuals35415192327[Team 2],$CU11,tblActuals35415192327[Team 1],ER$3)+SUMIFS(tblActuals35415192327[Team 1 GD],tblActuals35415192327[Team 1],$CU11,tblActuals35415192327[Team 2],ER$3)</f>
        <v>0</v>
      </c>
      <c r="ES11" s="56">
        <f>SUMIFS(tblActuals35415192327[Team 2 GD],tblActuals35415192327[Team 2],$CU11,tblActuals35415192327[Team 1],ES$3)+SUMIFS(tblActuals35415192327[Team 1 GD],tblActuals35415192327[Team 1],$CU11,tblActuals35415192327[Team 2],ES$3)</f>
        <v>0</v>
      </c>
      <c r="ET11" s="56">
        <f>SUMIFS(tblActuals35415192327[Team 2 GD],tblActuals35415192327[Team 2],$CU11,tblActuals35415192327[Team 1],ET$3)+SUMIFS(tblActuals35415192327[Team 1 GD],tblActuals35415192327[Team 1],$CU11,tblActuals35415192327[Team 2],ET$3)</f>
        <v>0</v>
      </c>
      <c r="EU11" s="56">
        <f>SUMIFS(tblActuals35415192327[Team 2 GD],tblActuals35415192327[Team 2],$CU11,tblActuals35415192327[Team 1],EU$3)+SUMIFS(tblActuals35415192327[Team 1 GD],tblActuals35415192327[Team 1],$CU11,tblActuals35415192327[Team 2],EU$3)</f>
        <v>0</v>
      </c>
      <c r="EV11" s="56">
        <f>SUMIFS(tblActuals35415192327[Team 2 GD],tblActuals35415192327[Team 2],$CU11,tblActuals35415192327[Team 1],EV$3)+SUMIFS(tblActuals35415192327[Team 1 GD],tblActuals35415192327[Team 1],$CU11,tblActuals35415192327[Team 2],EV$3)</f>
        <v>0</v>
      </c>
      <c r="EW11" s="56">
        <f>SUMIFS(tblActuals35415192327[Team 2 GD],tblActuals35415192327[Team 2],$CU11,tblActuals35415192327[Team 1],EW$3)+SUMIFS(tblActuals35415192327[Team 1 GD],tblActuals35415192327[Team 1],$CU11,tblActuals35415192327[Team 2],EW$3)</f>
        <v>0</v>
      </c>
      <c r="EX11" s="56">
        <f>SUMIFS(tblActuals35415192327[Team 2 GD],tblActuals35415192327[Team 2],$CU11,tblActuals35415192327[Team 1],EX$3)+SUMIFS(tblActuals35415192327[Team 1 GD],tblActuals35415192327[Team 1],$CU11,tblActuals35415192327[Team 2],EX$3)</f>
        <v>0</v>
      </c>
      <c r="EY11" s="56">
        <f>SUMIFS(tblActuals35415192327[Team 2 GD],tblActuals35415192327[Team 2],$CU11,tblActuals35415192327[Team 1],EY$3)+SUMIFS(tblActuals35415192327[Team 1 GD],tblActuals35415192327[Team 1],$CU11,tblActuals35415192327[Team 2],EY$3)</f>
        <v>0</v>
      </c>
      <c r="EZ11" s="56">
        <f>SUMIFS(tblActuals35415192327[Team 2 GD],tblActuals35415192327[Team 2],$CU11,tblActuals35415192327[Team 1],EZ$3)+SUMIFS(tblActuals35415192327[Team 1 GD],tblActuals35415192327[Team 1],$CU11,tblActuals35415192327[Team 2],EZ$3)</f>
        <v>0</v>
      </c>
      <c r="FA11" s="56">
        <f>SUMIFS(tblActuals35415192327[Team 2 GD],tblActuals35415192327[Team 2],$CU11,tblActuals35415192327[Team 1],FA$3)+SUMIFS(tblActuals35415192327[Team 1 GD],tblActuals35415192327[Team 1],$CU11,tblActuals35415192327[Team 2],FA$3)</f>
        <v>0</v>
      </c>
      <c r="FB11" s="57"/>
      <c r="FC11" s="57"/>
      <c r="FD11" s="57"/>
      <c r="FE11" s="57"/>
      <c r="FF11" s="57"/>
      <c r="FG11" s="57"/>
      <c r="FH11" s="57"/>
      <c r="FI11" s="57"/>
      <c r="FJ11" s="4"/>
      <c r="FK11" s="4" t="s">
        <v>127</v>
      </c>
      <c r="FL11" s="56">
        <f>SUMIFS(tblActuals35415192327[Team 2 Goals],tblActuals35415192327[Team 2],$CU11,tblActuals35415192327[Team 1],FL$3)+SUMIFS(tblActuals35415192327[Team 1 Goals],tblActuals35415192327[Team 1],$CU11,tblActuals35415192327[Team 2],FL$3)</f>
        <v>0</v>
      </c>
      <c r="FM11" s="56">
        <f>SUMIFS(tblActuals35415192327[Team 2 Goals],tblActuals35415192327[Team 2],$CU11,tblActuals35415192327[Team 1],FM$3)+SUMIFS(tblActuals35415192327[Team 1 Goals],tblActuals35415192327[Team 1],$CU11,tblActuals35415192327[Team 2],FM$3)</f>
        <v>0</v>
      </c>
      <c r="FN11" s="56">
        <f>SUMIFS(tblActuals35415192327[Team 2 Goals],tblActuals35415192327[Team 2],$CU11,tblActuals35415192327[Team 1],FN$3)+SUMIFS(tblActuals35415192327[Team 1 Goals],tblActuals35415192327[Team 1],$CU11,tblActuals35415192327[Team 2],FN$3)</f>
        <v>0</v>
      </c>
      <c r="FO11" s="56">
        <f>SUMIFS(tblActuals35415192327[Team 2 Goals],tblActuals35415192327[Team 2],$CU11,tblActuals35415192327[Team 1],FO$3)+SUMIFS(tblActuals35415192327[Team 1 Goals],tblActuals35415192327[Team 1],$CU11,tblActuals35415192327[Team 2],FO$3)</f>
        <v>0</v>
      </c>
      <c r="FP11" s="56">
        <f>SUMIFS(tblActuals35415192327[Team 2 Goals],tblActuals35415192327[Team 2],$CU11,tblActuals35415192327[Team 1],FP$3)+SUMIFS(tblActuals35415192327[Team 1 Goals],tblActuals35415192327[Team 1],$CU11,tblActuals35415192327[Team 2],FP$3)</f>
        <v>0</v>
      </c>
      <c r="FQ11" s="56">
        <f>SUMIFS(tblActuals35415192327[Team 2 Goals],tblActuals35415192327[Team 2],$CU11,tblActuals35415192327[Team 1],FQ$3)+SUMIFS(tblActuals35415192327[Team 1 Goals],tblActuals35415192327[Team 1],$CU11,tblActuals35415192327[Team 2],FQ$3)</f>
        <v>0</v>
      </c>
      <c r="FR11" s="56">
        <f>SUMIFS(tblActuals35415192327[Team 2 Goals],tblActuals35415192327[Team 2],$CU11,tblActuals35415192327[Team 1],FR$3)+SUMIFS(tblActuals35415192327[Team 1 Goals],tblActuals35415192327[Team 1],$CU11,tblActuals35415192327[Team 2],FR$3)</f>
        <v>0</v>
      </c>
      <c r="FS11" s="56">
        <f>SUMIFS(tblActuals35415192327[Team 2 Goals],tblActuals35415192327[Team 2],$CU11,tblActuals35415192327[Team 1],FS$3)+SUMIFS(tblActuals35415192327[Team 1 Goals],tblActuals35415192327[Team 1],$CU11,tblActuals35415192327[Team 2],FS$3)</f>
        <v>0</v>
      </c>
      <c r="FT11" s="56">
        <f>SUMIFS(tblActuals35415192327[Team 2 Goals],tblActuals35415192327[Team 2],$CU11,tblActuals35415192327[Team 1],FT$3)+SUMIFS(tblActuals35415192327[Team 1 Goals],tblActuals35415192327[Team 1],$CU11,tblActuals35415192327[Team 2],FT$3)</f>
        <v>0</v>
      </c>
      <c r="FU11" s="56">
        <f>SUMIFS(tblActuals35415192327[Team 2 Goals],tblActuals35415192327[Team 2],$CU11,tblActuals35415192327[Team 1],FU$3)+SUMIFS(tblActuals35415192327[Team 1 Goals],tblActuals35415192327[Team 1],$CU11,tblActuals35415192327[Team 2],FU$3)</f>
        <v>0</v>
      </c>
      <c r="FV11" s="56">
        <f>SUMIFS(tblActuals35415192327[Team 2 Goals],tblActuals35415192327[Team 2],$CU11,tblActuals35415192327[Team 1],FV$3)+SUMIFS(tblActuals35415192327[Team 1 Goals],tblActuals35415192327[Team 1],$CU11,tblActuals35415192327[Team 2],FV$3)</f>
        <v>0</v>
      </c>
      <c r="FW11" s="56">
        <f>SUMIFS(tblActuals35415192327[Team 2 Goals],tblActuals35415192327[Team 2],$CU11,tblActuals35415192327[Team 1],FW$3)+SUMIFS(tblActuals35415192327[Team 1 Goals],tblActuals35415192327[Team 1],$CU11,tblActuals35415192327[Team 2],FW$3)</f>
        <v>0</v>
      </c>
      <c r="FX11" s="56">
        <f>SUMIFS(tblActuals35415192327[Team 2 Goals],tblActuals35415192327[Team 2],$CU11,tblActuals35415192327[Team 1],FX$3)+SUMIFS(tblActuals35415192327[Team 1 Goals],tblActuals35415192327[Team 1],$CU11,tblActuals35415192327[Team 2],FX$3)</f>
        <v>0</v>
      </c>
      <c r="FY11" s="56">
        <f>SUMIFS(tblActuals35415192327[Team 2 Goals],tblActuals35415192327[Team 2],$CU11,tblActuals35415192327[Team 1],FY$3)+SUMIFS(tblActuals35415192327[Team 1 Goals],tblActuals35415192327[Team 1],$CU11,tblActuals35415192327[Team 2],FY$3)</f>
        <v>0</v>
      </c>
      <c r="FZ11" s="56">
        <f>SUMIFS(tblActuals35415192327[Team 2 Goals],tblActuals35415192327[Team 2],$CU11,tblActuals35415192327[Team 1],FZ$3)+SUMIFS(tblActuals35415192327[Team 1 Goals],tblActuals35415192327[Team 1],$CU11,tblActuals35415192327[Team 2],FZ$3)</f>
        <v>0</v>
      </c>
      <c r="GA11" s="56">
        <f>SUMIFS(tblActuals35415192327[Team 2 Goals],tblActuals35415192327[Team 2],$CU11,tblActuals35415192327[Team 1],GA$3)+SUMIFS(tblActuals35415192327[Team 1 Goals],tblActuals35415192327[Team 1],$CU11,tblActuals35415192327[Team 2],GA$3)</f>
        <v>0</v>
      </c>
      <c r="GB11" s="56">
        <f>SUMIFS(tblActuals35415192327[Team 2 Goals],tblActuals35415192327[Team 2],$CU11,tblActuals35415192327[Team 1],GB$3)+SUMIFS(tblActuals35415192327[Team 1 Goals],tblActuals35415192327[Team 1],$CU11,tblActuals35415192327[Team 2],GB$3)</f>
        <v>0</v>
      </c>
      <c r="GC11" s="56">
        <f>SUMIFS(tblActuals35415192327[Team 2 Goals],tblActuals35415192327[Team 2],$CU11,tblActuals35415192327[Team 1],GC$3)+SUMIFS(tblActuals35415192327[Team 1 Goals],tblActuals35415192327[Team 1],$CU11,tblActuals35415192327[Team 2],GC$3)</f>
        <v>0</v>
      </c>
      <c r="GD11" s="56">
        <f>SUMIFS(tblActuals35415192327[Team 2 Goals],tblActuals35415192327[Team 2],$CU11,tblActuals35415192327[Team 1],GD$3)+SUMIFS(tblActuals35415192327[Team 1 Goals],tblActuals35415192327[Team 1],$CU11,tblActuals35415192327[Team 2],GD$3)</f>
        <v>0</v>
      </c>
      <c r="GE11" s="56">
        <f>SUMIFS(tblActuals35415192327[Team 2 Goals],tblActuals35415192327[Team 2],$CU11,tblActuals35415192327[Team 1],GE$3)+SUMIFS(tblActuals35415192327[Team 1 Goals],tblActuals35415192327[Team 1],$CU11,tblActuals35415192327[Team 2],GE$3)</f>
        <v>0</v>
      </c>
      <c r="GF11" s="56">
        <f>SUMIFS(tblActuals35415192327[Team 2 Goals],tblActuals35415192327[Team 2],$CU11,tblActuals35415192327[Team 1],GF$3)+SUMIFS(tblActuals35415192327[Team 1 Goals],tblActuals35415192327[Team 1],$CU11,tblActuals35415192327[Team 2],GF$3)</f>
        <v>0</v>
      </c>
      <c r="GG11" s="56">
        <f>SUMIFS(tblActuals35415192327[Team 2 Goals],tblActuals35415192327[Team 2],$CU11,tblActuals35415192327[Team 1],GG$3)+SUMIFS(tblActuals35415192327[Team 1 Goals],tblActuals35415192327[Team 1],$CU11,tblActuals35415192327[Team 2],GG$3)</f>
        <v>0</v>
      </c>
      <c r="GH11" s="56">
        <f>SUMIFS(tblActuals35415192327[Team 2 Goals],tblActuals35415192327[Team 2],$CU11,tblActuals35415192327[Team 1],GH$3)+SUMIFS(tblActuals35415192327[Team 1 Goals],tblActuals35415192327[Team 1],$CU11,tblActuals35415192327[Team 2],GH$3)</f>
        <v>0</v>
      </c>
      <c r="GI11" s="56">
        <f>SUMIFS(tblActuals35415192327[Team 2 Goals],tblActuals35415192327[Team 2],$CU11,tblActuals35415192327[Team 1],GI$3)+SUMIFS(tblActuals35415192327[Team 1 Goals],tblActuals35415192327[Team 1],$CU11,tblActuals35415192327[Team 2],GI$3)</f>
        <v>0</v>
      </c>
      <c r="GJ11" s="57"/>
      <c r="GK11" s="57"/>
      <c r="GL11" s="37"/>
      <c r="GM11" s="37"/>
      <c r="GN11" s="37"/>
      <c r="GO11" s="37"/>
      <c r="GP11" s="37"/>
      <c r="GQ11" s="37"/>
      <c r="GR11" s="75"/>
      <c r="GS11" s="156"/>
      <c r="GT11" s="156"/>
      <c r="GU11" s="75"/>
      <c r="GV11" s="75"/>
      <c r="GW11" s="75"/>
      <c r="GX11" s="75"/>
      <c r="GY11" s="75"/>
      <c r="GZ11" s="75"/>
      <c r="HB11" s="4" t="str">
        <f t="shared" si="12"/>
        <v>ACDE</v>
      </c>
      <c r="HC11" s="44" t="s">
        <v>1</v>
      </c>
      <c r="HD11" s="45"/>
      <c r="HE11" s="44" t="s">
        <v>6</v>
      </c>
      <c r="HF11" s="44" t="s">
        <v>7</v>
      </c>
      <c r="HG11" s="44" t="s">
        <v>12</v>
      </c>
      <c r="HH11" s="45"/>
      <c r="HI11" s="178"/>
      <c r="HJ11" s="45" t="s">
        <v>153</v>
      </c>
      <c r="HK11" s="45" t="s">
        <v>150</v>
      </c>
      <c r="HL11" s="45" t="s">
        <v>152</v>
      </c>
      <c r="HM11" s="45" t="s">
        <v>149</v>
      </c>
    </row>
    <row r="12" spans="1:221" s="11" customFormat="1" ht="30" customHeight="1" x14ac:dyDescent="0.2">
      <c r="A12" s="20"/>
      <c r="B12" s="122">
        <v>9</v>
      </c>
      <c r="C12" s="122" t="s">
        <v>12</v>
      </c>
      <c r="D12" s="123">
        <v>45460</v>
      </c>
      <c r="E12" s="122" t="s">
        <v>86</v>
      </c>
      <c r="F12" s="124">
        <v>0.75</v>
      </c>
      <c r="G12" s="125">
        <f t="shared" si="11"/>
        <v>45460.5</v>
      </c>
      <c r="H12" s="122" t="s">
        <v>97</v>
      </c>
      <c r="I12" s="126"/>
      <c r="J12" s="118"/>
      <c r="K12" s="118"/>
      <c r="L12" s="174">
        <f>IF(I12="",0,IFERROR(IF(SCORING.RULES!$C$8="No",1,((VLOOKUP($B12,ACTUALS!$B$4:$L$100,7,FALSE)=$H12)+(VLOOKUP($B12,ACTUALS!$B$4:$L$100,7,FALSE)=S12)))*(M12+N12+O12+P12+Q12),0))+$R12</f>
        <v>0</v>
      </c>
      <c r="M12" s="168">
        <f>IFERROR(IF($B12="","",IF(U12=INDEX(ACTUALS!$AA$4:$AA$100,MATCH($B12,ACTUALS!$B$4:$B$100,0),1),CorrectScore,0)),0)</f>
        <v>0</v>
      </c>
      <c r="N12" s="157" t="str">
        <f>IFERROR(IF(I12="","",IF(INDEX(ACTUALS!$AB$4:$AB$100,MATCH($B12,ACTUALS!$B$4:$B$100,0),1)=(AB12+AC12+AH12+AI12),CorrectNumberofGoals,0)),0)</f>
        <v/>
      </c>
      <c r="O12" s="157"/>
      <c r="P12" s="157">
        <f>IFERROR(IF(B12="","",IF(INDEX(ACTUALS!$L$4:$L$100,MATCH($B12,ACTUALS!$B$4:$B$100,0),1)=W12,CorrectResult,0)),0)</f>
        <v>3</v>
      </c>
      <c r="Q12" s="157"/>
      <c r="R12" s="157"/>
      <c r="S12" s="157" t="str">
        <f t="shared" si="0"/>
        <v/>
      </c>
      <c r="T12" s="157"/>
      <c r="U12" s="157" t="str">
        <f t="shared" si="1"/>
        <v/>
      </c>
      <c r="V12" s="157" t="str">
        <f t="shared" si="2"/>
        <v/>
      </c>
      <c r="W12" s="119" t="str">
        <f>IF(tblActuals35415192327[[#This Row],[SCORE]]="","",IF(AB12=AC12,"Draw",IF(AB12&gt;AC12,X12,Y12)))</f>
        <v/>
      </c>
      <c r="X12" s="120" t="str">
        <f>IF(tblActuals35415192327[[#This Row],[TEAMS]]="","",LEFT(H12,FIND(" -",H12,1)-1))</f>
        <v>Belgium</v>
      </c>
      <c r="Y12" s="120" t="str">
        <f>IF(tblActuals35415192327[[#This Row],[TEAMS]]="","",MID(H12,FIND("-",H12,1)+2,LEN(H12)-FIND("-",H12,1)+2))</f>
        <v>Slovakia</v>
      </c>
      <c r="Z12" s="120" t="str">
        <f>IF(tblActuals35415192327[[#This Row],[Team 1 Goals]]&gt;tblActuals35415192327[[#This Row],[Team 2 Goals]],tblActuals35415192327[[#This Row],[Team 1]],IF(tblActuals35415192327[[#This Row],[Team 2 Goals]]&gt;tblActuals35415192327[[#This Row],[Team 1 Goals]],tblActuals35415192327[[#This Row],[Team 2]],""))</f>
        <v/>
      </c>
      <c r="AA12" s="120" t="str">
        <f>IF(tblActuals35415192327[[#This Row],[Winner]]=tblActuals35415192327[[#This Row],[Team 1]],tblActuals35415192327[[#This Row],[Team 2]],IF(tblActuals35415192327[[#This Row],[Winner]]=tblActuals35415192327[[#This Row],[Team 2]],tblActuals35415192327[[#This Row],[Team 1]],""))</f>
        <v/>
      </c>
      <c r="AB12" s="120" t="str">
        <f>IF(tblActuals35415192327[[#This Row],[SCORE]]="","",LEFT(I12,FIND(":",I12,1)-1)*1)</f>
        <v/>
      </c>
      <c r="AC12" s="120" t="str">
        <f>IF(tblActuals35415192327[[#This Row],[SCORE]]="","",MID(I12,FIND(":",I12,1)+1,LEN(I12)-FIND(":",I12,1)+1)*1)</f>
        <v/>
      </c>
      <c r="AD12" s="120" t="str">
        <f>IF(OR(tblActuals35415192327[[#This Row],[Team 1 Goals]]="",tblActuals35415192327[[#This Row],[Team 2 Goals]]=""),"",tblActuals35415192327[[#This Row],[Team 1 Goals]]-tblActuals35415192327[[#This Row],[Team 2 Goals]])</f>
        <v/>
      </c>
      <c r="AE12" s="120" t="str">
        <f>IF(OR(tblActuals35415192327[[#This Row],[Team 1 Goals]]="",tblActuals35415192327[[#This Row],[Team 2 Goals]]=""),"",tblActuals35415192327[[#This Row],[Team 2 Goals]]-tblActuals35415192327[[#This Row],[Team 1 Goals]])</f>
        <v/>
      </c>
      <c r="AF12" s="120" t="str">
        <f>IF(tblActuals35415192327[[#This Row],[SCORE]]="","",IF(tblActuals35415192327[[#This Row],[WINNER / RESULT]]="Draw",1,IF(tblActuals35415192327[[#This Row],[WINNER / RESULT]]=tblActuals35415192327[[#This Row],[Team 1]],3,0)))</f>
        <v/>
      </c>
      <c r="AG12" s="120" t="str">
        <f>IF(tblActuals35415192327[[#This Row],[SCORE]]="","",IF(tblActuals35415192327[[#This Row],[WINNER / RESULT]]="Draw",1,IF(tblActuals35415192327[[#This Row],[WINNER / RESULT]]=tblActuals35415192327[[#This Row],[Team 2]],3,0)))</f>
        <v/>
      </c>
      <c r="AH12" s="121"/>
      <c r="AI12" s="121"/>
      <c r="AJ12" s="121"/>
      <c r="AK12" s="121"/>
      <c r="AL12" s="120" t="e">
        <f>tblActuals35415192327[[#This Row],[Team 1 Goals]]+tblActuals35415192327[[#This Row],[Team 1 ET Goals]]&amp;":"&amp;tblActuals35415192327[[#This Row],[Team 2 Goals]]+tblActuals35415192327[[#This Row],[Team 2 ET Goals]]</f>
        <v>#VALUE!</v>
      </c>
      <c r="AM12" s="120" t="e">
        <f>+tblActuals35415192327[[#This Row],[Team 1 Goals]]+tblActuals35415192327[[#This Row],[Team 2 Goals]]</f>
        <v>#VALUE!</v>
      </c>
      <c r="AN12" s="161">
        <f t="shared" si="3"/>
        <v>45460</v>
      </c>
      <c r="AP12" s="38" t="s">
        <v>87</v>
      </c>
      <c r="AT12" s="77" t="s">
        <v>5</v>
      </c>
      <c r="AU12" s="136">
        <v>1</v>
      </c>
      <c r="AV12" s="137" t="str">
        <f ca="1">IFERROR(INDEX(BD:BD,MATCH("1"&amp;AT12,BN:BN,0),1),"")</f>
        <v>Albania</v>
      </c>
      <c r="AW12" s="137" t="str">
        <f ca="1">IF(AV12="","",VLOOKUP(AV12,BD:BI,2,FALSE)&amp;"-"&amp;VLOOKUP(AV12,BD:BI,3,FALSE)&amp;"-"&amp;VLOOKUP(AV12,BD:BI,4,FALSE))</f>
        <v>0-0-0</v>
      </c>
      <c r="AX12" s="137">
        <f ca="1">IF(AV12="","",VLOOKUP(AV12,BD:BK,8,FALSE))</f>
        <v>0</v>
      </c>
      <c r="AY12" s="138">
        <f ca="1">IF(AV12="","",VLOOKUP(AV12,BD:BN,5,FALSE))</f>
        <v>0</v>
      </c>
      <c r="AZ12" s="75"/>
      <c r="BA12" s="42"/>
      <c r="BB12" s="4"/>
      <c r="BC12" s="4" t="s">
        <v>5</v>
      </c>
      <c r="BD12" s="4" t="s">
        <v>28</v>
      </c>
      <c r="BE12" s="4">
        <f>COUNTIF(tblActuals35415192327[Winner],BD12)</f>
        <v>0</v>
      </c>
      <c r="BF12" s="4">
        <f>COUNTIFS(tblActuals35415192327[Team 2],BD12,tblActuals35415192327[WINNER / RESULT],"Draw")+COUNTIFS(tblActuals35415192327[Team 1],BD12,tblActuals35415192327[WINNER / RESULT],"Draw")</f>
        <v>0</v>
      </c>
      <c r="BG12" s="4">
        <f>COUNTIF(tblActuals35415192327[Loser],BD12)</f>
        <v>0</v>
      </c>
      <c r="BH12" s="4">
        <f>BF12+(3*BE12)</f>
        <v>0</v>
      </c>
      <c r="BI12" s="4">
        <f>SUMIFS(tblActuals35415192327[Team 1 Goals],tblActuals35415192327[Team 1],BD12)+SUMIFS(tblActuals35415192327[Team 2 Goals],tblActuals35415192327[Team 2],BD12)</f>
        <v>0</v>
      </c>
      <c r="BJ12" s="4">
        <f>SUMIFS(tblActuals35415192327[Team 2 Goals],tblActuals35415192327[Team 1],BD12)+SUMIFS(tblActuals35415192327[Team 1 Goals],tblActuals35415192327[Team 2],BD12)</f>
        <v>0</v>
      </c>
      <c r="BK12" s="4">
        <f>BI12-BJ12</f>
        <v>0</v>
      </c>
      <c r="BL12" s="4">
        <f ca="1">RANK(BY12,$BY$9:$BY$12,1)</f>
        <v>4</v>
      </c>
      <c r="BM12" s="4" t="str">
        <f t="shared" si="4"/>
        <v/>
      </c>
      <c r="BN12" s="4" t="str">
        <f ca="1">IF(BM12="",BL12&amp;BC12,BM12&amp;BC12)</f>
        <v>4B</v>
      </c>
      <c r="BO12" s="4">
        <f>RANK(BH12,$BH$9:$BH$12,0)</f>
        <v>1</v>
      </c>
      <c r="BP12" s="4" cm="1">
        <f t="array" aca="1" ref="BP12" ca="1">SUMPRODUCT((OFFSET($CV$3:$EA$3,MATCH($BD12,$CU$4:$CU$35,0),0))*((IF($BO10=$BO12,$CV$3:$EA$3=$BD10,0))+(IF($BO9=$BO12,$CV$3:$EA$3=$BD9,0))+(IF($BO11=$BO12,$CV$3:$EA$3=$BD11,0))))</f>
        <v>0</v>
      </c>
      <c r="BQ12" s="4" cm="1">
        <f t="array" aca="1" ref="BQ12" ca="1">SUMPRODUCT((OFFSET($ED$3:$FI$3,MATCH($BD12,$EC$4:$EC$35,0),0))*((IF($BO10=$BO12,$ED$3:$FI$3=$BD10,0))+(IF($BO9=$BO12,$ED$3:$FI$3=$BD9,0))+(IF($BO11=$BO12,$ED$3:$FI$3=$BD11,0))))</f>
        <v>0</v>
      </c>
      <c r="BR12" s="4" cm="1">
        <f t="array" aca="1" ref="BR12" ca="1">SUMPRODUCT((OFFSET($FL$3:$GQ$3,MATCH($BD12,$FK$4:$FK$35,0),0))*((IF($BO10=$BO12,$FL$3:$GQ$3=$BD10,0))+(IF($BO9=$BO12,$FL$3:$GQ$3=$BD9,0))+(IF($BO11=$BO12,$FL$3:$GQ$3=$BD11,0))))</f>
        <v>0</v>
      </c>
      <c r="BS12" s="4" cm="1">
        <f t="array" aca="1" ref="BS12" ca="1">SUMPRODUCT((OFFSET($CV$3:$EA$3,MATCH($BD12,$CU$4:$CU$35,0),0))*((IF($BO10&lt;&gt;$BO12,$CV$3:$EA$3=$BD10,0))+(IF($BO9&lt;&gt;$BO12,$CV$3:$EA$3=$BD9,0))+(IF($BO11&lt;&gt;$BO12,$CV$3:$EA$3=$BD11,0))))</f>
        <v>0</v>
      </c>
      <c r="BT12" s="4" cm="1">
        <f t="array" aca="1" ref="BT12" ca="1">SUMPRODUCT((OFFSET($ED$3:$FI$3,MATCH($BD12,$EC$4:$EC$35,0),0))*((IF($BO10&lt;&gt;$BO12,$ED$3:$FI$3=$BD10,0))+(IF($BO9&lt;&gt;$BO12,$ED$3:$FI$3=$BD9,0))+(IF($BO11&lt;&gt;$BO12,$ED$3:$FI$3=$BD11,0))))</f>
        <v>0</v>
      </c>
      <c r="BU12" s="4" cm="1">
        <f t="array" aca="1" ref="BU12" ca="1">SUMPRODUCT((OFFSET($FL$3:$GQ$3,MATCH($BD12,$FK$4:$FK$35,0),0))*((IF($BO10&lt;&gt;$BO12,$FL$3:$GQ$3=$BD10,0))+(IF($BO9&lt;&gt;$BO12,$FL$3:$GQ$3=$BD9,0))+(IF($BO11&lt;&gt;$BO12,$FL$3:$GQ$3=$BD11,0))))</f>
        <v>0</v>
      </c>
      <c r="BV12" s="4">
        <f>BK12</f>
        <v>0</v>
      </c>
      <c r="BW12" s="4">
        <f>BI12</f>
        <v>0</v>
      </c>
      <c r="BX12" s="4">
        <f ca="1">(BP12/10)+(BQ12/100)+(BR12/1000)+(BT12/10000)+(BU12/100000)+(BV12/1000000)+(BW12/10000000)+(ROW(BS9)/100000000)</f>
        <v>8.9999999999999999E-8</v>
      </c>
      <c r="BY12" s="4">
        <f ca="1">+BO12-BX12</f>
        <v>0.99999990999999999</v>
      </c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U12" s="4" t="s">
        <v>128</v>
      </c>
      <c r="CV12" s="56">
        <f>SUMIFS(tblActuals35415192327[Team 2 Points],tblActuals35415192327[Team 2],$CU12,tblActuals35415192327[Team 1],CV$3)+SUMIFS(tblActuals35415192327[Team 1 Points],tblActuals35415192327[Team 1],$CU12,tblActuals35415192327[Team 2],CV$3)</f>
        <v>0</v>
      </c>
      <c r="CW12" s="56">
        <f>SUMIFS(tblActuals35415192327[Team 2 Points],tblActuals35415192327[Team 2],$CU12,tblActuals35415192327[Team 1],CW$3)+SUMIFS(tblActuals35415192327[Team 1 Points],tblActuals35415192327[Team 1],$CU12,tblActuals35415192327[Team 2],CW$3)</f>
        <v>0</v>
      </c>
      <c r="CX12" s="56">
        <f>SUMIFS(tblActuals35415192327[Team 2 Points],tblActuals35415192327[Team 2],$CU12,tblActuals35415192327[Team 1],CX$3)+SUMIFS(tblActuals35415192327[Team 1 Points],tblActuals35415192327[Team 1],$CU12,tblActuals35415192327[Team 2],CX$3)</f>
        <v>0</v>
      </c>
      <c r="CY12" s="56">
        <f>SUMIFS(tblActuals35415192327[Team 2 Points],tblActuals35415192327[Team 2],$CU12,tblActuals35415192327[Team 1],CY$3)+SUMIFS(tblActuals35415192327[Team 1 Points],tblActuals35415192327[Team 1],$CU12,tblActuals35415192327[Team 2],CY$3)</f>
        <v>0</v>
      </c>
      <c r="CZ12" s="56">
        <f>SUMIFS(tblActuals35415192327[Team 2 Points],tblActuals35415192327[Team 2],$CU12,tblActuals35415192327[Team 1],CZ$3)+SUMIFS(tblActuals35415192327[Team 1 Points],tblActuals35415192327[Team 1],$CU12,tblActuals35415192327[Team 2],CZ$3)</f>
        <v>0</v>
      </c>
      <c r="DA12" s="56">
        <f>SUMIFS(tblActuals35415192327[Team 2 Points],tblActuals35415192327[Team 2],$CU12,tblActuals35415192327[Team 1],DA$3)+SUMIFS(tblActuals35415192327[Team 1 Points],tblActuals35415192327[Team 1],$CU12,tblActuals35415192327[Team 2],DA$3)</f>
        <v>0</v>
      </c>
      <c r="DB12" s="56">
        <f>SUMIFS(tblActuals35415192327[Team 2 Points],tblActuals35415192327[Team 2],$CU12,tblActuals35415192327[Team 1],DB$3)+SUMIFS(tblActuals35415192327[Team 1 Points],tblActuals35415192327[Team 1],$CU12,tblActuals35415192327[Team 2],DB$3)</f>
        <v>0</v>
      </c>
      <c r="DC12" s="56">
        <f>SUMIFS(tblActuals35415192327[Team 2 Points],tblActuals35415192327[Team 2],$CU12,tblActuals35415192327[Team 1],DC$3)+SUMIFS(tblActuals35415192327[Team 1 Points],tblActuals35415192327[Team 1],$CU12,tblActuals35415192327[Team 2],DC$3)</f>
        <v>0</v>
      </c>
      <c r="DD12" s="56">
        <f>SUMIFS(tblActuals35415192327[Team 2 Points],tblActuals35415192327[Team 2],$CU12,tblActuals35415192327[Team 1],DD$3)+SUMIFS(tblActuals35415192327[Team 1 Points],tblActuals35415192327[Team 1],$CU12,tblActuals35415192327[Team 2],DD$3)</f>
        <v>0</v>
      </c>
      <c r="DE12" s="56">
        <f>SUMIFS(tblActuals35415192327[Team 2 Points],tblActuals35415192327[Team 2],$CU12,tblActuals35415192327[Team 1],DE$3)+SUMIFS(tblActuals35415192327[Team 1 Points],tblActuals35415192327[Team 1],$CU12,tblActuals35415192327[Team 2],DE$3)</f>
        <v>0</v>
      </c>
      <c r="DF12" s="56">
        <f>SUMIFS(tblActuals35415192327[Team 2 Points],tblActuals35415192327[Team 2],$CU12,tblActuals35415192327[Team 1],DF$3)+SUMIFS(tblActuals35415192327[Team 1 Points],tblActuals35415192327[Team 1],$CU12,tblActuals35415192327[Team 2],DF$3)</f>
        <v>0</v>
      </c>
      <c r="DG12" s="56">
        <f>SUMIFS(tblActuals35415192327[Team 2 Points],tblActuals35415192327[Team 2],$CU12,tblActuals35415192327[Team 1],DG$3)+SUMIFS(tblActuals35415192327[Team 1 Points],tblActuals35415192327[Team 1],$CU12,tblActuals35415192327[Team 2],DG$3)</f>
        <v>0</v>
      </c>
      <c r="DH12" s="56">
        <f>SUMIFS(tblActuals35415192327[Team 2 Points],tblActuals35415192327[Team 2],$CU12,tblActuals35415192327[Team 1],DH$3)+SUMIFS(tblActuals35415192327[Team 1 Points],tblActuals35415192327[Team 1],$CU12,tblActuals35415192327[Team 2],DH$3)</f>
        <v>0</v>
      </c>
      <c r="DI12" s="56">
        <f>SUMIFS(tblActuals35415192327[Team 2 Points],tblActuals35415192327[Team 2],$CU12,tblActuals35415192327[Team 1],DI$3)+SUMIFS(tblActuals35415192327[Team 1 Points],tblActuals35415192327[Team 1],$CU12,tblActuals35415192327[Team 2],DI$3)</f>
        <v>0</v>
      </c>
      <c r="DJ12" s="56">
        <f>SUMIFS(tblActuals35415192327[Team 2 Points],tblActuals35415192327[Team 2],$CU12,tblActuals35415192327[Team 1],DJ$3)+SUMIFS(tblActuals35415192327[Team 1 Points],tblActuals35415192327[Team 1],$CU12,tblActuals35415192327[Team 2],DJ$3)</f>
        <v>0</v>
      </c>
      <c r="DK12" s="56">
        <f>SUMIFS(tblActuals35415192327[Team 2 Points],tblActuals35415192327[Team 2],$CU12,tblActuals35415192327[Team 1],DK$3)+SUMIFS(tblActuals35415192327[Team 1 Points],tblActuals35415192327[Team 1],$CU12,tblActuals35415192327[Team 2],DK$3)</f>
        <v>0</v>
      </c>
      <c r="DL12" s="56">
        <f>SUMIFS(tblActuals35415192327[Team 2 Points],tblActuals35415192327[Team 2],$CU12,tblActuals35415192327[Team 1],DL$3)+SUMIFS(tblActuals35415192327[Team 1 Points],tblActuals35415192327[Team 1],$CU12,tblActuals35415192327[Team 2],DL$3)</f>
        <v>0</v>
      </c>
      <c r="DM12" s="56">
        <f>SUMIFS(tblActuals35415192327[Team 2 Points],tblActuals35415192327[Team 2],$CU12,tblActuals35415192327[Team 1],DM$3)+SUMIFS(tblActuals35415192327[Team 1 Points],tblActuals35415192327[Team 1],$CU12,tblActuals35415192327[Team 2],DM$3)</f>
        <v>0</v>
      </c>
      <c r="DN12" s="56">
        <f>SUMIFS(tblActuals35415192327[Team 2 Points],tblActuals35415192327[Team 2],$CU12,tblActuals35415192327[Team 1],DN$3)+SUMIFS(tblActuals35415192327[Team 1 Points],tblActuals35415192327[Team 1],$CU12,tblActuals35415192327[Team 2],DN$3)</f>
        <v>0</v>
      </c>
      <c r="DO12" s="56">
        <f>SUMIFS(tblActuals35415192327[Team 2 Points],tblActuals35415192327[Team 2],$CU12,tblActuals35415192327[Team 1],DO$3)+SUMIFS(tblActuals35415192327[Team 1 Points],tblActuals35415192327[Team 1],$CU12,tblActuals35415192327[Team 2],DO$3)</f>
        <v>0</v>
      </c>
      <c r="DP12" s="56">
        <f>SUMIFS(tblActuals35415192327[Team 2 Points],tblActuals35415192327[Team 2],$CU12,tblActuals35415192327[Team 1],DP$3)+SUMIFS(tblActuals35415192327[Team 1 Points],tblActuals35415192327[Team 1],$CU12,tblActuals35415192327[Team 2],DP$3)</f>
        <v>0</v>
      </c>
      <c r="DQ12" s="56">
        <f>SUMIFS(tblActuals35415192327[Team 2 Points],tblActuals35415192327[Team 2],$CU12,tblActuals35415192327[Team 1],DQ$3)+SUMIFS(tblActuals35415192327[Team 1 Points],tblActuals35415192327[Team 1],$CU12,tblActuals35415192327[Team 2],DQ$3)</f>
        <v>0</v>
      </c>
      <c r="DR12" s="56">
        <f>SUMIFS(tblActuals35415192327[Team 2 Points],tblActuals35415192327[Team 2],$CU12,tblActuals35415192327[Team 1],DR$3)+SUMIFS(tblActuals35415192327[Team 1 Points],tblActuals35415192327[Team 1],$CU12,tblActuals35415192327[Team 2],DR$3)</f>
        <v>0</v>
      </c>
      <c r="DS12" s="56">
        <f>SUMIFS(tblActuals35415192327[Team 2 Points],tblActuals35415192327[Team 2],$CU12,tblActuals35415192327[Team 1],DS$3)+SUMIFS(tblActuals35415192327[Team 1 Points],tblActuals35415192327[Team 1],$CU12,tblActuals35415192327[Team 2],DS$3)</f>
        <v>0</v>
      </c>
      <c r="DT12" s="57"/>
      <c r="DU12" s="57"/>
      <c r="DV12" s="57"/>
      <c r="DW12" s="57"/>
      <c r="DX12" s="57"/>
      <c r="DY12" s="57"/>
      <c r="DZ12" s="57"/>
      <c r="EA12" s="57"/>
      <c r="EB12" s="4"/>
      <c r="EC12" s="4" t="s">
        <v>128</v>
      </c>
      <c r="ED12" s="56">
        <f>SUMIFS(tblActuals35415192327[Team 2 GD],tblActuals35415192327[Team 2],$CU12,tblActuals35415192327[Team 1],ED$3)+SUMIFS(tblActuals35415192327[Team 1 GD],tblActuals35415192327[Team 1],$CU12,tblActuals35415192327[Team 2],ED$3)</f>
        <v>0</v>
      </c>
      <c r="EE12" s="56">
        <f>SUMIFS(tblActuals35415192327[Team 2 GD],tblActuals35415192327[Team 2],$CU12,tblActuals35415192327[Team 1],EE$3)+SUMIFS(tblActuals35415192327[Team 1 GD],tblActuals35415192327[Team 1],$CU12,tblActuals35415192327[Team 2],EE$3)</f>
        <v>0</v>
      </c>
      <c r="EF12" s="56">
        <f>SUMIFS(tblActuals35415192327[Team 2 GD],tblActuals35415192327[Team 2],$CU12,tblActuals35415192327[Team 1],EF$3)+SUMIFS(tblActuals35415192327[Team 1 GD],tblActuals35415192327[Team 1],$CU12,tblActuals35415192327[Team 2],EF$3)</f>
        <v>0</v>
      </c>
      <c r="EG12" s="56">
        <f>SUMIFS(tblActuals35415192327[Team 2 GD],tblActuals35415192327[Team 2],$CU12,tblActuals35415192327[Team 1],EG$3)+SUMIFS(tblActuals35415192327[Team 1 GD],tblActuals35415192327[Team 1],$CU12,tblActuals35415192327[Team 2],EG$3)</f>
        <v>0</v>
      </c>
      <c r="EH12" s="56">
        <f>SUMIFS(tblActuals35415192327[Team 2 GD],tblActuals35415192327[Team 2],$CU12,tblActuals35415192327[Team 1],EH$3)+SUMIFS(tblActuals35415192327[Team 1 GD],tblActuals35415192327[Team 1],$CU12,tblActuals35415192327[Team 2],EH$3)</f>
        <v>0</v>
      </c>
      <c r="EI12" s="56">
        <f>SUMIFS(tblActuals35415192327[Team 2 GD],tblActuals35415192327[Team 2],$CU12,tblActuals35415192327[Team 1],EI$3)+SUMIFS(tblActuals35415192327[Team 1 GD],tblActuals35415192327[Team 1],$CU12,tblActuals35415192327[Team 2],EI$3)</f>
        <v>0</v>
      </c>
      <c r="EJ12" s="56">
        <f>SUMIFS(tblActuals35415192327[Team 2 GD],tblActuals35415192327[Team 2],$CU12,tblActuals35415192327[Team 1],EJ$3)+SUMIFS(tblActuals35415192327[Team 1 GD],tblActuals35415192327[Team 1],$CU12,tblActuals35415192327[Team 2],EJ$3)</f>
        <v>0</v>
      </c>
      <c r="EK12" s="56">
        <f>SUMIFS(tblActuals35415192327[Team 2 GD],tblActuals35415192327[Team 2],$CU12,tblActuals35415192327[Team 1],EK$3)+SUMIFS(tblActuals35415192327[Team 1 GD],tblActuals35415192327[Team 1],$CU12,tblActuals35415192327[Team 2],EK$3)</f>
        <v>0</v>
      </c>
      <c r="EL12" s="56">
        <f>SUMIFS(tblActuals35415192327[Team 2 GD],tblActuals35415192327[Team 2],$CU12,tblActuals35415192327[Team 1],EL$3)+SUMIFS(tblActuals35415192327[Team 1 GD],tblActuals35415192327[Team 1],$CU12,tblActuals35415192327[Team 2],EL$3)</f>
        <v>0</v>
      </c>
      <c r="EM12" s="56">
        <f>SUMIFS(tblActuals35415192327[Team 2 GD],tblActuals35415192327[Team 2],$CU12,tblActuals35415192327[Team 1],EM$3)+SUMIFS(tblActuals35415192327[Team 1 GD],tblActuals35415192327[Team 1],$CU12,tblActuals35415192327[Team 2],EM$3)</f>
        <v>0</v>
      </c>
      <c r="EN12" s="56">
        <f>SUMIFS(tblActuals35415192327[Team 2 GD],tblActuals35415192327[Team 2],$CU12,tblActuals35415192327[Team 1],EN$3)+SUMIFS(tblActuals35415192327[Team 1 GD],tblActuals35415192327[Team 1],$CU12,tblActuals35415192327[Team 2],EN$3)</f>
        <v>0</v>
      </c>
      <c r="EO12" s="56">
        <f>SUMIFS(tblActuals35415192327[Team 2 GD],tblActuals35415192327[Team 2],$CU12,tblActuals35415192327[Team 1],EO$3)+SUMIFS(tblActuals35415192327[Team 1 GD],tblActuals35415192327[Team 1],$CU12,tblActuals35415192327[Team 2],EO$3)</f>
        <v>0</v>
      </c>
      <c r="EP12" s="56">
        <f>SUMIFS(tblActuals35415192327[Team 2 GD],tblActuals35415192327[Team 2],$CU12,tblActuals35415192327[Team 1],EP$3)+SUMIFS(tblActuals35415192327[Team 1 GD],tblActuals35415192327[Team 1],$CU12,tblActuals35415192327[Team 2],EP$3)</f>
        <v>0</v>
      </c>
      <c r="EQ12" s="56">
        <f>SUMIFS(tblActuals35415192327[Team 2 GD],tblActuals35415192327[Team 2],$CU12,tblActuals35415192327[Team 1],EQ$3)+SUMIFS(tblActuals35415192327[Team 1 GD],tblActuals35415192327[Team 1],$CU12,tblActuals35415192327[Team 2],EQ$3)</f>
        <v>0</v>
      </c>
      <c r="ER12" s="56">
        <f>SUMIFS(tblActuals35415192327[Team 2 GD],tblActuals35415192327[Team 2],$CU12,tblActuals35415192327[Team 1],ER$3)+SUMIFS(tblActuals35415192327[Team 1 GD],tblActuals35415192327[Team 1],$CU12,tblActuals35415192327[Team 2],ER$3)</f>
        <v>0</v>
      </c>
      <c r="ES12" s="56">
        <f>SUMIFS(tblActuals35415192327[Team 2 GD],tblActuals35415192327[Team 2],$CU12,tblActuals35415192327[Team 1],ES$3)+SUMIFS(tblActuals35415192327[Team 1 GD],tblActuals35415192327[Team 1],$CU12,tblActuals35415192327[Team 2],ES$3)</f>
        <v>0</v>
      </c>
      <c r="ET12" s="56">
        <f>SUMIFS(tblActuals35415192327[Team 2 GD],tblActuals35415192327[Team 2],$CU12,tblActuals35415192327[Team 1],ET$3)+SUMIFS(tblActuals35415192327[Team 1 GD],tblActuals35415192327[Team 1],$CU12,tblActuals35415192327[Team 2],ET$3)</f>
        <v>0</v>
      </c>
      <c r="EU12" s="56">
        <f>SUMIFS(tblActuals35415192327[Team 2 GD],tblActuals35415192327[Team 2],$CU12,tblActuals35415192327[Team 1],EU$3)+SUMIFS(tblActuals35415192327[Team 1 GD],tblActuals35415192327[Team 1],$CU12,tblActuals35415192327[Team 2],EU$3)</f>
        <v>0</v>
      </c>
      <c r="EV12" s="56">
        <f>SUMIFS(tblActuals35415192327[Team 2 GD],tblActuals35415192327[Team 2],$CU12,tblActuals35415192327[Team 1],EV$3)+SUMIFS(tblActuals35415192327[Team 1 GD],tblActuals35415192327[Team 1],$CU12,tblActuals35415192327[Team 2],EV$3)</f>
        <v>0</v>
      </c>
      <c r="EW12" s="56">
        <f>SUMIFS(tblActuals35415192327[Team 2 GD],tblActuals35415192327[Team 2],$CU12,tblActuals35415192327[Team 1],EW$3)+SUMIFS(tblActuals35415192327[Team 1 GD],tblActuals35415192327[Team 1],$CU12,tblActuals35415192327[Team 2],EW$3)</f>
        <v>0</v>
      </c>
      <c r="EX12" s="56">
        <f>SUMIFS(tblActuals35415192327[Team 2 GD],tblActuals35415192327[Team 2],$CU12,tblActuals35415192327[Team 1],EX$3)+SUMIFS(tblActuals35415192327[Team 1 GD],tblActuals35415192327[Team 1],$CU12,tblActuals35415192327[Team 2],EX$3)</f>
        <v>0</v>
      </c>
      <c r="EY12" s="56">
        <f>SUMIFS(tblActuals35415192327[Team 2 GD],tblActuals35415192327[Team 2],$CU12,tblActuals35415192327[Team 1],EY$3)+SUMIFS(tblActuals35415192327[Team 1 GD],tblActuals35415192327[Team 1],$CU12,tblActuals35415192327[Team 2],EY$3)</f>
        <v>0</v>
      </c>
      <c r="EZ12" s="56">
        <f>SUMIFS(tblActuals35415192327[Team 2 GD],tblActuals35415192327[Team 2],$CU12,tblActuals35415192327[Team 1],EZ$3)+SUMIFS(tblActuals35415192327[Team 1 GD],tblActuals35415192327[Team 1],$CU12,tblActuals35415192327[Team 2],EZ$3)</f>
        <v>0</v>
      </c>
      <c r="FA12" s="56">
        <f>SUMIFS(tblActuals35415192327[Team 2 GD],tblActuals35415192327[Team 2],$CU12,tblActuals35415192327[Team 1],FA$3)+SUMIFS(tblActuals35415192327[Team 1 GD],tblActuals35415192327[Team 1],$CU12,tblActuals35415192327[Team 2],FA$3)</f>
        <v>0</v>
      </c>
      <c r="FB12" s="57"/>
      <c r="FC12" s="57"/>
      <c r="FD12" s="57"/>
      <c r="FE12" s="57"/>
      <c r="FF12" s="57"/>
      <c r="FG12" s="57"/>
      <c r="FH12" s="57"/>
      <c r="FI12" s="57"/>
      <c r="FJ12" s="4"/>
      <c r="FK12" s="4" t="s">
        <v>128</v>
      </c>
      <c r="FL12" s="56">
        <f>SUMIFS(tblActuals35415192327[Team 2 Goals],tblActuals35415192327[Team 2],$CU12,tblActuals35415192327[Team 1],FL$3)+SUMIFS(tblActuals35415192327[Team 1 Goals],tblActuals35415192327[Team 1],$CU12,tblActuals35415192327[Team 2],FL$3)</f>
        <v>0</v>
      </c>
      <c r="FM12" s="56">
        <f>SUMIFS(tblActuals35415192327[Team 2 Goals],tblActuals35415192327[Team 2],$CU12,tblActuals35415192327[Team 1],FM$3)+SUMIFS(tblActuals35415192327[Team 1 Goals],tblActuals35415192327[Team 1],$CU12,tblActuals35415192327[Team 2],FM$3)</f>
        <v>0</v>
      </c>
      <c r="FN12" s="56">
        <f>SUMIFS(tblActuals35415192327[Team 2 Goals],tblActuals35415192327[Team 2],$CU12,tblActuals35415192327[Team 1],FN$3)+SUMIFS(tblActuals35415192327[Team 1 Goals],tblActuals35415192327[Team 1],$CU12,tblActuals35415192327[Team 2],FN$3)</f>
        <v>0</v>
      </c>
      <c r="FO12" s="56">
        <f>SUMIFS(tblActuals35415192327[Team 2 Goals],tblActuals35415192327[Team 2],$CU12,tblActuals35415192327[Team 1],FO$3)+SUMIFS(tblActuals35415192327[Team 1 Goals],tblActuals35415192327[Team 1],$CU12,tblActuals35415192327[Team 2],FO$3)</f>
        <v>0</v>
      </c>
      <c r="FP12" s="56">
        <f>SUMIFS(tblActuals35415192327[Team 2 Goals],tblActuals35415192327[Team 2],$CU12,tblActuals35415192327[Team 1],FP$3)+SUMIFS(tblActuals35415192327[Team 1 Goals],tblActuals35415192327[Team 1],$CU12,tblActuals35415192327[Team 2],FP$3)</f>
        <v>0</v>
      </c>
      <c r="FQ12" s="56">
        <f>SUMIFS(tblActuals35415192327[Team 2 Goals],tblActuals35415192327[Team 2],$CU12,tblActuals35415192327[Team 1],FQ$3)+SUMIFS(tblActuals35415192327[Team 1 Goals],tblActuals35415192327[Team 1],$CU12,tblActuals35415192327[Team 2],FQ$3)</f>
        <v>0</v>
      </c>
      <c r="FR12" s="56">
        <f>SUMIFS(tblActuals35415192327[Team 2 Goals],tblActuals35415192327[Team 2],$CU12,tblActuals35415192327[Team 1],FR$3)+SUMIFS(tblActuals35415192327[Team 1 Goals],tblActuals35415192327[Team 1],$CU12,tblActuals35415192327[Team 2],FR$3)</f>
        <v>0</v>
      </c>
      <c r="FS12" s="56">
        <f>SUMIFS(tblActuals35415192327[Team 2 Goals],tblActuals35415192327[Team 2],$CU12,tblActuals35415192327[Team 1],FS$3)+SUMIFS(tblActuals35415192327[Team 1 Goals],tblActuals35415192327[Team 1],$CU12,tblActuals35415192327[Team 2],FS$3)</f>
        <v>0</v>
      </c>
      <c r="FT12" s="56">
        <f>SUMIFS(tblActuals35415192327[Team 2 Goals],tblActuals35415192327[Team 2],$CU12,tblActuals35415192327[Team 1],FT$3)+SUMIFS(tblActuals35415192327[Team 1 Goals],tblActuals35415192327[Team 1],$CU12,tblActuals35415192327[Team 2],FT$3)</f>
        <v>0</v>
      </c>
      <c r="FU12" s="56">
        <f>SUMIFS(tblActuals35415192327[Team 2 Goals],tblActuals35415192327[Team 2],$CU12,tblActuals35415192327[Team 1],FU$3)+SUMIFS(tblActuals35415192327[Team 1 Goals],tblActuals35415192327[Team 1],$CU12,tblActuals35415192327[Team 2],FU$3)</f>
        <v>0</v>
      </c>
      <c r="FV12" s="56">
        <f>SUMIFS(tblActuals35415192327[Team 2 Goals],tblActuals35415192327[Team 2],$CU12,tblActuals35415192327[Team 1],FV$3)+SUMIFS(tblActuals35415192327[Team 1 Goals],tblActuals35415192327[Team 1],$CU12,tblActuals35415192327[Team 2],FV$3)</f>
        <v>0</v>
      </c>
      <c r="FW12" s="56">
        <f>SUMIFS(tblActuals35415192327[Team 2 Goals],tblActuals35415192327[Team 2],$CU12,tblActuals35415192327[Team 1],FW$3)+SUMIFS(tblActuals35415192327[Team 1 Goals],tblActuals35415192327[Team 1],$CU12,tblActuals35415192327[Team 2],FW$3)</f>
        <v>0</v>
      </c>
      <c r="FX12" s="56">
        <f>SUMIFS(tblActuals35415192327[Team 2 Goals],tblActuals35415192327[Team 2],$CU12,tblActuals35415192327[Team 1],FX$3)+SUMIFS(tblActuals35415192327[Team 1 Goals],tblActuals35415192327[Team 1],$CU12,tblActuals35415192327[Team 2],FX$3)</f>
        <v>0</v>
      </c>
      <c r="FY12" s="56">
        <f>SUMIFS(tblActuals35415192327[Team 2 Goals],tblActuals35415192327[Team 2],$CU12,tblActuals35415192327[Team 1],FY$3)+SUMIFS(tblActuals35415192327[Team 1 Goals],tblActuals35415192327[Team 1],$CU12,tblActuals35415192327[Team 2],FY$3)</f>
        <v>0</v>
      </c>
      <c r="FZ12" s="56">
        <f>SUMIFS(tblActuals35415192327[Team 2 Goals],tblActuals35415192327[Team 2],$CU12,tblActuals35415192327[Team 1],FZ$3)+SUMIFS(tblActuals35415192327[Team 1 Goals],tblActuals35415192327[Team 1],$CU12,tblActuals35415192327[Team 2],FZ$3)</f>
        <v>0</v>
      </c>
      <c r="GA12" s="56">
        <f>SUMIFS(tblActuals35415192327[Team 2 Goals],tblActuals35415192327[Team 2],$CU12,tblActuals35415192327[Team 1],GA$3)+SUMIFS(tblActuals35415192327[Team 1 Goals],tblActuals35415192327[Team 1],$CU12,tblActuals35415192327[Team 2],GA$3)</f>
        <v>0</v>
      </c>
      <c r="GB12" s="56">
        <f>SUMIFS(tblActuals35415192327[Team 2 Goals],tblActuals35415192327[Team 2],$CU12,tblActuals35415192327[Team 1],GB$3)+SUMIFS(tblActuals35415192327[Team 1 Goals],tblActuals35415192327[Team 1],$CU12,tblActuals35415192327[Team 2],GB$3)</f>
        <v>0</v>
      </c>
      <c r="GC12" s="56">
        <f>SUMIFS(tblActuals35415192327[Team 2 Goals],tblActuals35415192327[Team 2],$CU12,tblActuals35415192327[Team 1],GC$3)+SUMIFS(tblActuals35415192327[Team 1 Goals],tblActuals35415192327[Team 1],$CU12,tblActuals35415192327[Team 2],GC$3)</f>
        <v>0</v>
      </c>
      <c r="GD12" s="56">
        <f>SUMIFS(tblActuals35415192327[Team 2 Goals],tblActuals35415192327[Team 2],$CU12,tblActuals35415192327[Team 1],GD$3)+SUMIFS(tblActuals35415192327[Team 1 Goals],tblActuals35415192327[Team 1],$CU12,tblActuals35415192327[Team 2],GD$3)</f>
        <v>0</v>
      </c>
      <c r="GE12" s="56">
        <f>SUMIFS(tblActuals35415192327[Team 2 Goals],tblActuals35415192327[Team 2],$CU12,tblActuals35415192327[Team 1],GE$3)+SUMIFS(tblActuals35415192327[Team 1 Goals],tblActuals35415192327[Team 1],$CU12,tblActuals35415192327[Team 2],GE$3)</f>
        <v>0</v>
      </c>
      <c r="GF12" s="56">
        <f>SUMIFS(tblActuals35415192327[Team 2 Goals],tblActuals35415192327[Team 2],$CU12,tblActuals35415192327[Team 1],GF$3)+SUMIFS(tblActuals35415192327[Team 1 Goals],tblActuals35415192327[Team 1],$CU12,tblActuals35415192327[Team 2],GF$3)</f>
        <v>0</v>
      </c>
      <c r="GG12" s="56">
        <f>SUMIFS(tblActuals35415192327[Team 2 Goals],tblActuals35415192327[Team 2],$CU12,tblActuals35415192327[Team 1],GG$3)+SUMIFS(tblActuals35415192327[Team 1 Goals],tblActuals35415192327[Team 1],$CU12,tblActuals35415192327[Team 2],GG$3)</f>
        <v>0</v>
      </c>
      <c r="GH12" s="56">
        <f>SUMIFS(tblActuals35415192327[Team 2 Goals],tblActuals35415192327[Team 2],$CU12,tblActuals35415192327[Team 1],GH$3)+SUMIFS(tblActuals35415192327[Team 1 Goals],tblActuals35415192327[Team 1],$CU12,tblActuals35415192327[Team 2],GH$3)</f>
        <v>0</v>
      </c>
      <c r="GI12" s="56">
        <f>SUMIFS(tblActuals35415192327[Team 2 Goals],tblActuals35415192327[Team 2],$CU12,tblActuals35415192327[Team 1],GI$3)+SUMIFS(tblActuals35415192327[Team 1 Goals],tblActuals35415192327[Team 1],$CU12,tblActuals35415192327[Team 2],GI$3)</f>
        <v>0</v>
      </c>
      <c r="GJ12" s="57"/>
      <c r="GK12" s="57"/>
      <c r="GL12" s="37"/>
      <c r="GM12" s="37"/>
      <c r="GN12" s="37"/>
      <c r="GO12" s="37"/>
      <c r="GP12" s="37"/>
      <c r="GQ12" s="37"/>
      <c r="GR12" s="75"/>
      <c r="GS12" s="156"/>
      <c r="GT12" s="156"/>
      <c r="GU12" s="75"/>
      <c r="GV12" s="75"/>
      <c r="GW12" s="75"/>
      <c r="GX12" s="75"/>
      <c r="GY12" s="75"/>
      <c r="GZ12" s="75"/>
      <c r="HB12" s="4" t="str">
        <f t="shared" si="12"/>
        <v>ACDF</v>
      </c>
      <c r="HC12" s="44" t="s">
        <v>1</v>
      </c>
      <c r="HD12" s="45"/>
      <c r="HE12" s="44" t="s">
        <v>6</v>
      </c>
      <c r="HF12" s="44" t="s">
        <v>7</v>
      </c>
      <c r="HG12" s="45"/>
      <c r="HH12" s="44" t="s">
        <v>45</v>
      </c>
      <c r="HI12" s="178"/>
      <c r="HJ12" s="45" t="s">
        <v>154</v>
      </c>
      <c r="HK12" s="45" t="s">
        <v>150</v>
      </c>
      <c r="HL12" s="45" t="s">
        <v>152</v>
      </c>
      <c r="HM12" s="45" t="s">
        <v>149</v>
      </c>
    </row>
    <row r="13" spans="1:221" s="11" customFormat="1" ht="30" customHeight="1" x14ac:dyDescent="0.2">
      <c r="A13" s="20"/>
      <c r="B13" s="122">
        <v>10</v>
      </c>
      <c r="C13" s="122" t="s">
        <v>12</v>
      </c>
      <c r="D13" s="123">
        <v>45460</v>
      </c>
      <c r="E13" s="122" t="s">
        <v>78</v>
      </c>
      <c r="F13" s="124">
        <v>0.625</v>
      </c>
      <c r="G13" s="125">
        <f t="shared" si="11"/>
        <v>45460.375</v>
      </c>
      <c r="H13" s="122" t="s">
        <v>98</v>
      </c>
      <c r="I13" s="126"/>
      <c r="J13" s="118"/>
      <c r="K13" s="118"/>
      <c r="L13" s="174">
        <f>IF(I13="",0,IFERROR(IF(SCORING.RULES!$C$8="No",1,((VLOOKUP($B13,ACTUALS!$B$4:$L$100,7,FALSE)=$H13)+(VLOOKUP($B13,ACTUALS!$B$4:$L$100,7,FALSE)=S13)))*(M13+N13+O13+P13+Q13),0))+$R13</f>
        <v>0</v>
      </c>
      <c r="M13" s="168">
        <f>IFERROR(IF($B13="","",IF(U13=INDEX(ACTUALS!$AA$4:$AA$100,MATCH($B13,ACTUALS!$B$4:$B$100,0),1),CorrectScore,0)),0)</f>
        <v>0</v>
      </c>
      <c r="N13" s="157" t="str">
        <f>IFERROR(IF(I13="","",IF(INDEX(ACTUALS!$AB$4:$AB$100,MATCH($B13,ACTUALS!$B$4:$B$100,0),1)=(AB13+AC13+AH13+AI13),CorrectNumberofGoals,0)),0)</f>
        <v/>
      </c>
      <c r="O13" s="157"/>
      <c r="P13" s="157">
        <f>IFERROR(IF(B13="","",IF(INDEX(ACTUALS!$L$4:$L$100,MATCH($B13,ACTUALS!$B$4:$B$100,0),1)=W13,CorrectResult,0)),0)</f>
        <v>3</v>
      </c>
      <c r="Q13" s="157"/>
      <c r="R13" s="157"/>
      <c r="S13" s="157" t="str">
        <f t="shared" si="0"/>
        <v/>
      </c>
      <c r="T13" s="157"/>
      <c r="U13" s="157" t="str">
        <f t="shared" si="1"/>
        <v/>
      </c>
      <c r="V13" s="157" t="str">
        <f t="shared" si="2"/>
        <v/>
      </c>
      <c r="W13" s="119" t="str">
        <f>IF(tblActuals35415192327[[#This Row],[SCORE]]="","",IF(AB13=AC13,"Draw",IF(AB13&gt;AC13,X13,Y13)))</f>
        <v/>
      </c>
      <c r="X13" s="120" t="str">
        <f>IF(tblActuals35415192327[[#This Row],[TEAMS]]="","",LEFT(H13,FIND(" -",H13,1)-1))</f>
        <v>Romania</v>
      </c>
      <c r="Y13" s="120" t="str">
        <f>IF(tblActuals35415192327[[#This Row],[TEAMS]]="","",MID(H13,FIND("-",H13,1)+2,LEN(H13)-FIND("-",H13,1)+2))</f>
        <v>Ukraine</v>
      </c>
      <c r="Z13" s="120" t="str">
        <f>IF(tblActuals35415192327[[#This Row],[Team 1 Goals]]&gt;tblActuals35415192327[[#This Row],[Team 2 Goals]],tblActuals35415192327[[#This Row],[Team 1]],IF(tblActuals35415192327[[#This Row],[Team 2 Goals]]&gt;tblActuals35415192327[[#This Row],[Team 1 Goals]],tblActuals35415192327[[#This Row],[Team 2]],""))</f>
        <v/>
      </c>
      <c r="AA13" s="120" t="str">
        <f>IF(tblActuals35415192327[[#This Row],[Winner]]=tblActuals35415192327[[#This Row],[Team 1]],tblActuals35415192327[[#This Row],[Team 2]],IF(tblActuals35415192327[[#This Row],[Winner]]=tblActuals35415192327[[#This Row],[Team 2]],tblActuals35415192327[[#This Row],[Team 1]],""))</f>
        <v/>
      </c>
      <c r="AB13" s="120" t="str">
        <f>IF(tblActuals35415192327[[#This Row],[SCORE]]="","",LEFT(I13,FIND(":",I13,1)-1)*1)</f>
        <v/>
      </c>
      <c r="AC13" s="120" t="str">
        <f>IF(tblActuals35415192327[[#This Row],[SCORE]]="","",MID(I13,FIND(":",I13,1)+1,LEN(I13)-FIND(":",I13,1)+1)*1)</f>
        <v/>
      </c>
      <c r="AD13" s="120" t="str">
        <f>IF(OR(tblActuals35415192327[[#This Row],[Team 1 Goals]]="",tblActuals35415192327[[#This Row],[Team 2 Goals]]=""),"",tblActuals35415192327[[#This Row],[Team 1 Goals]]-tblActuals35415192327[[#This Row],[Team 2 Goals]])</f>
        <v/>
      </c>
      <c r="AE13" s="120" t="str">
        <f>IF(OR(tblActuals35415192327[[#This Row],[Team 1 Goals]]="",tblActuals35415192327[[#This Row],[Team 2 Goals]]=""),"",tblActuals35415192327[[#This Row],[Team 2 Goals]]-tblActuals35415192327[[#This Row],[Team 1 Goals]])</f>
        <v/>
      </c>
      <c r="AF13" s="120" t="str">
        <f>IF(tblActuals35415192327[[#This Row],[SCORE]]="","",IF(tblActuals35415192327[[#This Row],[WINNER / RESULT]]="Draw",1,IF(tblActuals35415192327[[#This Row],[WINNER / RESULT]]=tblActuals35415192327[[#This Row],[Team 1]],3,0)))</f>
        <v/>
      </c>
      <c r="AG13" s="120" t="str">
        <f>IF(tblActuals35415192327[[#This Row],[SCORE]]="","",IF(tblActuals35415192327[[#This Row],[WINNER / RESULT]]="Draw",1,IF(tblActuals35415192327[[#This Row],[WINNER / RESULT]]=tblActuals35415192327[[#This Row],[Team 2]],3,0)))</f>
        <v/>
      </c>
      <c r="AH13" s="121"/>
      <c r="AI13" s="121"/>
      <c r="AJ13" s="121"/>
      <c r="AK13" s="121"/>
      <c r="AL13" s="120" t="e">
        <f>tblActuals35415192327[[#This Row],[Team 1 Goals]]+tblActuals35415192327[[#This Row],[Team 1 ET Goals]]&amp;":"&amp;tblActuals35415192327[[#This Row],[Team 2 Goals]]+tblActuals35415192327[[#This Row],[Team 2 ET Goals]]</f>
        <v>#VALUE!</v>
      </c>
      <c r="AM13" s="120" t="e">
        <f>+tblActuals35415192327[[#This Row],[Team 1 Goals]]+tblActuals35415192327[[#This Row],[Team 2 Goals]]</f>
        <v>#VALUE!</v>
      </c>
      <c r="AN13" s="161">
        <f t="shared" si="3"/>
        <v>45460</v>
      </c>
      <c r="AP13" s="38" t="s">
        <v>78</v>
      </c>
      <c r="AT13" s="77" t="s">
        <v>5</v>
      </c>
      <c r="AU13" s="139">
        <v>2</v>
      </c>
      <c r="AV13" s="140" t="str">
        <f ca="1">IFERROR(INDEX(BD:BD,MATCH("2"&amp;AT13,BN:BN,0),1),"")</f>
        <v>Croatia</v>
      </c>
      <c r="AW13" s="140" t="str">
        <f ca="1">IF(AV13="","",VLOOKUP(AV13,BD:BI,2,FALSE)&amp;"-"&amp;VLOOKUP(AV13,BD:BI,3,FALSE)&amp;"-"&amp;VLOOKUP(AV13,BD:BI,4,FALSE))</f>
        <v>0-0-0</v>
      </c>
      <c r="AX13" s="140">
        <f ca="1">IF(AV13="","",VLOOKUP(AV13,BD:BK,8,FALSE))</f>
        <v>0</v>
      </c>
      <c r="AY13" s="141">
        <f ca="1">IF(AV13="","",VLOOKUP(AV13,BD:BN,5,FALSE))</f>
        <v>0</v>
      </c>
      <c r="AZ13" s="75"/>
      <c r="BA13" s="42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 t="str">
        <f t="shared" si="4"/>
        <v/>
      </c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U13" s="4" t="s">
        <v>25</v>
      </c>
      <c r="CV13" s="56">
        <f>SUMIFS(tblActuals35415192327[Team 2 Points],tblActuals35415192327[Team 2],$CU13,tblActuals35415192327[Team 1],CV$3)+SUMIFS(tblActuals35415192327[Team 1 Points],tblActuals35415192327[Team 1],$CU13,tblActuals35415192327[Team 2],CV$3)</f>
        <v>0</v>
      </c>
      <c r="CW13" s="56">
        <f>SUMIFS(tblActuals35415192327[Team 2 Points],tblActuals35415192327[Team 2],$CU13,tblActuals35415192327[Team 1],CW$3)+SUMIFS(tblActuals35415192327[Team 1 Points],tblActuals35415192327[Team 1],$CU13,tblActuals35415192327[Team 2],CW$3)</f>
        <v>0</v>
      </c>
      <c r="CX13" s="56">
        <f>SUMIFS(tblActuals35415192327[Team 2 Points],tblActuals35415192327[Team 2],$CU13,tblActuals35415192327[Team 1],CX$3)+SUMIFS(tblActuals35415192327[Team 1 Points],tblActuals35415192327[Team 1],$CU13,tblActuals35415192327[Team 2],CX$3)</f>
        <v>0</v>
      </c>
      <c r="CY13" s="56">
        <f>SUMIFS(tblActuals35415192327[Team 2 Points],tblActuals35415192327[Team 2],$CU13,tblActuals35415192327[Team 1],CY$3)+SUMIFS(tblActuals35415192327[Team 1 Points],tblActuals35415192327[Team 1],$CU13,tblActuals35415192327[Team 2],CY$3)</f>
        <v>0</v>
      </c>
      <c r="CZ13" s="56">
        <f>SUMIFS(tblActuals35415192327[Team 2 Points],tblActuals35415192327[Team 2],$CU13,tblActuals35415192327[Team 1],CZ$3)+SUMIFS(tblActuals35415192327[Team 1 Points],tblActuals35415192327[Team 1],$CU13,tblActuals35415192327[Team 2],CZ$3)</f>
        <v>0</v>
      </c>
      <c r="DA13" s="56">
        <f>SUMIFS(tblActuals35415192327[Team 2 Points],tblActuals35415192327[Team 2],$CU13,tblActuals35415192327[Team 1],DA$3)+SUMIFS(tblActuals35415192327[Team 1 Points],tblActuals35415192327[Team 1],$CU13,tblActuals35415192327[Team 2],DA$3)</f>
        <v>0</v>
      </c>
      <c r="DB13" s="56">
        <f>SUMIFS(tblActuals35415192327[Team 2 Points],tblActuals35415192327[Team 2],$CU13,tblActuals35415192327[Team 1],DB$3)+SUMIFS(tblActuals35415192327[Team 1 Points],tblActuals35415192327[Team 1],$CU13,tblActuals35415192327[Team 2],DB$3)</f>
        <v>0</v>
      </c>
      <c r="DC13" s="56">
        <f>SUMIFS(tblActuals35415192327[Team 2 Points],tblActuals35415192327[Team 2],$CU13,tblActuals35415192327[Team 1],DC$3)+SUMIFS(tblActuals35415192327[Team 1 Points],tblActuals35415192327[Team 1],$CU13,tblActuals35415192327[Team 2],DC$3)</f>
        <v>0</v>
      </c>
      <c r="DD13" s="56">
        <f>SUMIFS(tblActuals35415192327[Team 2 Points],tblActuals35415192327[Team 2],$CU13,tblActuals35415192327[Team 1],DD$3)+SUMIFS(tblActuals35415192327[Team 1 Points],tblActuals35415192327[Team 1],$CU13,tblActuals35415192327[Team 2],DD$3)</f>
        <v>0</v>
      </c>
      <c r="DE13" s="56">
        <f>SUMIFS(tblActuals35415192327[Team 2 Points],tblActuals35415192327[Team 2],$CU13,tblActuals35415192327[Team 1],DE$3)+SUMIFS(tblActuals35415192327[Team 1 Points],tblActuals35415192327[Team 1],$CU13,tblActuals35415192327[Team 2],DE$3)</f>
        <v>0</v>
      </c>
      <c r="DF13" s="56">
        <f>SUMIFS(tblActuals35415192327[Team 2 Points],tblActuals35415192327[Team 2],$CU13,tblActuals35415192327[Team 1],DF$3)+SUMIFS(tblActuals35415192327[Team 1 Points],tblActuals35415192327[Team 1],$CU13,tblActuals35415192327[Team 2],DF$3)</f>
        <v>0</v>
      </c>
      <c r="DG13" s="56">
        <f>SUMIFS(tblActuals35415192327[Team 2 Points],tblActuals35415192327[Team 2],$CU13,tblActuals35415192327[Team 1],DG$3)+SUMIFS(tblActuals35415192327[Team 1 Points],tblActuals35415192327[Team 1],$CU13,tblActuals35415192327[Team 2],DG$3)</f>
        <v>0</v>
      </c>
      <c r="DH13" s="56">
        <f>SUMIFS(tblActuals35415192327[Team 2 Points],tblActuals35415192327[Team 2],$CU13,tblActuals35415192327[Team 1],DH$3)+SUMIFS(tblActuals35415192327[Team 1 Points],tblActuals35415192327[Team 1],$CU13,tblActuals35415192327[Team 2],DH$3)</f>
        <v>0</v>
      </c>
      <c r="DI13" s="56">
        <f>SUMIFS(tblActuals35415192327[Team 2 Points],tblActuals35415192327[Team 2],$CU13,tblActuals35415192327[Team 1],DI$3)+SUMIFS(tblActuals35415192327[Team 1 Points],tblActuals35415192327[Team 1],$CU13,tblActuals35415192327[Team 2],DI$3)</f>
        <v>0</v>
      </c>
      <c r="DJ13" s="56">
        <f>SUMIFS(tblActuals35415192327[Team 2 Points],tblActuals35415192327[Team 2],$CU13,tblActuals35415192327[Team 1],DJ$3)+SUMIFS(tblActuals35415192327[Team 1 Points],tblActuals35415192327[Team 1],$CU13,tblActuals35415192327[Team 2],DJ$3)</f>
        <v>0</v>
      </c>
      <c r="DK13" s="56">
        <f>SUMIFS(tblActuals35415192327[Team 2 Points],tblActuals35415192327[Team 2],$CU13,tblActuals35415192327[Team 1],DK$3)+SUMIFS(tblActuals35415192327[Team 1 Points],tblActuals35415192327[Team 1],$CU13,tblActuals35415192327[Team 2],DK$3)</f>
        <v>0</v>
      </c>
      <c r="DL13" s="56">
        <f>SUMIFS(tblActuals35415192327[Team 2 Points],tblActuals35415192327[Team 2],$CU13,tblActuals35415192327[Team 1],DL$3)+SUMIFS(tblActuals35415192327[Team 1 Points],tblActuals35415192327[Team 1],$CU13,tblActuals35415192327[Team 2],DL$3)</f>
        <v>0</v>
      </c>
      <c r="DM13" s="56">
        <f>SUMIFS(tblActuals35415192327[Team 2 Points],tblActuals35415192327[Team 2],$CU13,tblActuals35415192327[Team 1],DM$3)+SUMIFS(tblActuals35415192327[Team 1 Points],tblActuals35415192327[Team 1],$CU13,tblActuals35415192327[Team 2],DM$3)</f>
        <v>0</v>
      </c>
      <c r="DN13" s="56">
        <f>SUMIFS(tblActuals35415192327[Team 2 Points],tblActuals35415192327[Team 2],$CU13,tblActuals35415192327[Team 1],DN$3)+SUMIFS(tblActuals35415192327[Team 1 Points],tblActuals35415192327[Team 1],$CU13,tblActuals35415192327[Team 2],DN$3)</f>
        <v>0</v>
      </c>
      <c r="DO13" s="56">
        <f>SUMIFS(tblActuals35415192327[Team 2 Points],tblActuals35415192327[Team 2],$CU13,tblActuals35415192327[Team 1],DO$3)+SUMIFS(tblActuals35415192327[Team 1 Points],tblActuals35415192327[Team 1],$CU13,tblActuals35415192327[Team 2],DO$3)</f>
        <v>0</v>
      </c>
      <c r="DP13" s="56">
        <f>SUMIFS(tblActuals35415192327[Team 2 Points],tblActuals35415192327[Team 2],$CU13,tblActuals35415192327[Team 1],DP$3)+SUMIFS(tblActuals35415192327[Team 1 Points],tblActuals35415192327[Team 1],$CU13,tblActuals35415192327[Team 2],DP$3)</f>
        <v>0</v>
      </c>
      <c r="DQ13" s="56">
        <f>SUMIFS(tblActuals35415192327[Team 2 Points],tblActuals35415192327[Team 2],$CU13,tblActuals35415192327[Team 1],DQ$3)+SUMIFS(tblActuals35415192327[Team 1 Points],tblActuals35415192327[Team 1],$CU13,tblActuals35415192327[Team 2],DQ$3)</f>
        <v>0</v>
      </c>
      <c r="DR13" s="56">
        <f>SUMIFS(tblActuals35415192327[Team 2 Points],tblActuals35415192327[Team 2],$CU13,tblActuals35415192327[Team 1],DR$3)+SUMIFS(tblActuals35415192327[Team 1 Points],tblActuals35415192327[Team 1],$CU13,tblActuals35415192327[Team 2],DR$3)</f>
        <v>0</v>
      </c>
      <c r="DS13" s="56">
        <f>SUMIFS(tblActuals35415192327[Team 2 Points],tblActuals35415192327[Team 2],$CU13,tblActuals35415192327[Team 1],DS$3)+SUMIFS(tblActuals35415192327[Team 1 Points],tblActuals35415192327[Team 1],$CU13,tblActuals35415192327[Team 2],DS$3)</f>
        <v>0</v>
      </c>
      <c r="DT13" s="57"/>
      <c r="DU13" s="57"/>
      <c r="DV13" s="57"/>
      <c r="DW13" s="57"/>
      <c r="DX13" s="57"/>
      <c r="DY13" s="57"/>
      <c r="DZ13" s="57"/>
      <c r="EA13" s="57"/>
      <c r="EB13" s="4"/>
      <c r="EC13" s="4" t="s">
        <v>25</v>
      </c>
      <c r="ED13" s="56">
        <f>SUMIFS(tblActuals35415192327[Team 2 GD],tblActuals35415192327[Team 2],$CU13,tblActuals35415192327[Team 1],ED$3)+SUMIFS(tblActuals35415192327[Team 1 GD],tblActuals35415192327[Team 1],$CU13,tblActuals35415192327[Team 2],ED$3)</f>
        <v>0</v>
      </c>
      <c r="EE13" s="56">
        <f>SUMIFS(tblActuals35415192327[Team 2 GD],tblActuals35415192327[Team 2],$CU13,tblActuals35415192327[Team 1],EE$3)+SUMIFS(tblActuals35415192327[Team 1 GD],tblActuals35415192327[Team 1],$CU13,tblActuals35415192327[Team 2],EE$3)</f>
        <v>0</v>
      </c>
      <c r="EF13" s="56">
        <f>SUMIFS(tblActuals35415192327[Team 2 GD],tblActuals35415192327[Team 2],$CU13,tblActuals35415192327[Team 1],EF$3)+SUMIFS(tblActuals35415192327[Team 1 GD],tblActuals35415192327[Team 1],$CU13,tblActuals35415192327[Team 2],EF$3)</f>
        <v>0</v>
      </c>
      <c r="EG13" s="56">
        <f>SUMIFS(tblActuals35415192327[Team 2 GD],tblActuals35415192327[Team 2],$CU13,tblActuals35415192327[Team 1],EG$3)+SUMIFS(tblActuals35415192327[Team 1 GD],tblActuals35415192327[Team 1],$CU13,tblActuals35415192327[Team 2],EG$3)</f>
        <v>0</v>
      </c>
      <c r="EH13" s="56">
        <f>SUMIFS(tblActuals35415192327[Team 2 GD],tblActuals35415192327[Team 2],$CU13,tblActuals35415192327[Team 1],EH$3)+SUMIFS(tblActuals35415192327[Team 1 GD],tblActuals35415192327[Team 1],$CU13,tblActuals35415192327[Team 2],EH$3)</f>
        <v>0</v>
      </c>
      <c r="EI13" s="56">
        <f>SUMIFS(tblActuals35415192327[Team 2 GD],tblActuals35415192327[Team 2],$CU13,tblActuals35415192327[Team 1],EI$3)+SUMIFS(tblActuals35415192327[Team 1 GD],tblActuals35415192327[Team 1],$CU13,tblActuals35415192327[Team 2],EI$3)</f>
        <v>0</v>
      </c>
      <c r="EJ13" s="56">
        <f>SUMIFS(tblActuals35415192327[Team 2 GD],tblActuals35415192327[Team 2],$CU13,tblActuals35415192327[Team 1],EJ$3)+SUMIFS(tblActuals35415192327[Team 1 GD],tblActuals35415192327[Team 1],$CU13,tblActuals35415192327[Team 2],EJ$3)</f>
        <v>0</v>
      </c>
      <c r="EK13" s="56">
        <f>SUMIFS(tblActuals35415192327[Team 2 GD],tblActuals35415192327[Team 2],$CU13,tblActuals35415192327[Team 1],EK$3)+SUMIFS(tblActuals35415192327[Team 1 GD],tblActuals35415192327[Team 1],$CU13,tblActuals35415192327[Team 2],EK$3)</f>
        <v>0</v>
      </c>
      <c r="EL13" s="56">
        <f>SUMIFS(tblActuals35415192327[Team 2 GD],tblActuals35415192327[Team 2],$CU13,tblActuals35415192327[Team 1],EL$3)+SUMIFS(tblActuals35415192327[Team 1 GD],tblActuals35415192327[Team 1],$CU13,tblActuals35415192327[Team 2],EL$3)</f>
        <v>0</v>
      </c>
      <c r="EM13" s="56">
        <f>SUMIFS(tblActuals35415192327[Team 2 GD],tblActuals35415192327[Team 2],$CU13,tblActuals35415192327[Team 1],EM$3)+SUMIFS(tblActuals35415192327[Team 1 GD],tblActuals35415192327[Team 1],$CU13,tblActuals35415192327[Team 2],EM$3)</f>
        <v>0</v>
      </c>
      <c r="EN13" s="56">
        <f>SUMIFS(tblActuals35415192327[Team 2 GD],tblActuals35415192327[Team 2],$CU13,tblActuals35415192327[Team 1],EN$3)+SUMIFS(tblActuals35415192327[Team 1 GD],tblActuals35415192327[Team 1],$CU13,tblActuals35415192327[Team 2],EN$3)</f>
        <v>0</v>
      </c>
      <c r="EO13" s="56">
        <f>SUMIFS(tblActuals35415192327[Team 2 GD],tblActuals35415192327[Team 2],$CU13,tblActuals35415192327[Team 1],EO$3)+SUMIFS(tblActuals35415192327[Team 1 GD],tblActuals35415192327[Team 1],$CU13,tblActuals35415192327[Team 2],EO$3)</f>
        <v>0</v>
      </c>
      <c r="EP13" s="56">
        <f>SUMIFS(tblActuals35415192327[Team 2 GD],tblActuals35415192327[Team 2],$CU13,tblActuals35415192327[Team 1],EP$3)+SUMIFS(tblActuals35415192327[Team 1 GD],tblActuals35415192327[Team 1],$CU13,tblActuals35415192327[Team 2],EP$3)</f>
        <v>0</v>
      </c>
      <c r="EQ13" s="56">
        <f>SUMIFS(tblActuals35415192327[Team 2 GD],tblActuals35415192327[Team 2],$CU13,tblActuals35415192327[Team 1],EQ$3)+SUMIFS(tblActuals35415192327[Team 1 GD],tblActuals35415192327[Team 1],$CU13,tblActuals35415192327[Team 2],EQ$3)</f>
        <v>0</v>
      </c>
      <c r="ER13" s="56">
        <f>SUMIFS(tblActuals35415192327[Team 2 GD],tblActuals35415192327[Team 2],$CU13,tblActuals35415192327[Team 1],ER$3)+SUMIFS(tblActuals35415192327[Team 1 GD],tblActuals35415192327[Team 1],$CU13,tblActuals35415192327[Team 2],ER$3)</f>
        <v>0</v>
      </c>
      <c r="ES13" s="56">
        <f>SUMIFS(tblActuals35415192327[Team 2 GD],tblActuals35415192327[Team 2],$CU13,tblActuals35415192327[Team 1],ES$3)+SUMIFS(tblActuals35415192327[Team 1 GD],tblActuals35415192327[Team 1],$CU13,tblActuals35415192327[Team 2],ES$3)</f>
        <v>0</v>
      </c>
      <c r="ET13" s="56">
        <f>SUMIFS(tblActuals35415192327[Team 2 GD],tblActuals35415192327[Team 2],$CU13,tblActuals35415192327[Team 1],ET$3)+SUMIFS(tblActuals35415192327[Team 1 GD],tblActuals35415192327[Team 1],$CU13,tblActuals35415192327[Team 2],ET$3)</f>
        <v>0</v>
      </c>
      <c r="EU13" s="56">
        <f>SUMIFS(tblActuals35415192327[Team 2 GD],tblActuals35415192327[Team 2],$CU13,tblActuals35415192327[Team 1],EU$3)+SUMIFS(tblActuals35415192327[Team 1 GD],tblActuals35415192327[Team 1],$CU13,tblActuals35415192327[Team 2],EU$3)</f>
        <v>0</v>
      </c>
      <c r="EV13" s="56">
        <f>SUMIFS(tblActuals35415192327[Team 2 GD],tblActuals35415192327[Team 2],$CU13,tblActuals35415192327[Team 1],EV$3)+SUMIFS(tblActuals35415192327[Team 1 GD],tblActuals35415192327[Team 1],$CU13,tblActuals35415192327[Team 2],EV$3)</f>
        <v>0</v>
      </c>
      <c r="EW13" s="56">
        <f>SUMIFS(tblActuals35415192327[Team 2 GD],tblActuals35415192327[Team 2],$CU13,tblActuals35415192327[Team 1],EW$3)+SUMIFS(tblActuals35415192327[Team 1 GD],tblActuals35415192327[Team 1],$CU13,tblActuals35415192327[Team 2],EW$3)</f>
        <v>0</v>
      </c>
      <c r="EX13" s="56">
        <f>SUMIFS(tblActuals35415192327[Team 2 GD],tblActuals35415192327[Team 2],$CU13,tblActuals35415192327[Team 1],EX$3)+SUMIFS(tblActuals35415192327[Team 1 GD],tblActuals35415192327[Team 1],$CU13,tblActuals35415192327[Team 2],EX$3)</f>
        <v>0</v>
      </c>
      <c r="EY13" s="56">
        <f>SUMIFS(tblActuals35415192327[Team 2 GD],tblActuals35415192327[Team 2],$CU13,tblActuals35415192327[Team 1],EY$3)+SUMIFS(tblActuals35415192327[Team 1 GD],tblActuals35415192327[Team 1],$CU13,tblActuals35415192327[Team 2],EY$3)</f>
        <v>0</v>
      </c>
      <c r="EZ13" s="56">
        <f>SUMIFS(tblActuals35415192327[Team 2 GD],tblActuals35415192327[Team 2],$CU13,tblActuals35415192327[Team 1],EZ$3)+SUMIFS(tblActuals35415192327[Team 1 GD],tblActuals35415192327[Team 1],$CU13,tblActuals35415192327[Team 2],EZ$3)</f>
        <v>0</v>
      </c>
      <c r="FA13" s="56">
        <f>SUMIFS(tblActuals35415192327[Team 2 GD],tblActuals35415192327[Team 2],$CU13,tblActuals35415192327[Team 1],FA$3)+SUMIFS(tblActuals35415192327[Team 1 GD],tblActuals35415192327[Team 1],$CU13,tblActuals35415192327[Team 2],FA$3)</f>
        <v>0</v>
      </c>
      <c r="FB13" s="57"/>
      <c r="FC13" s="57"/>
      <c r="FD13" s="57"/>
      <c r="FE13" s="57"/>
      <c r="FF13" s="57"/>
      <c r="FG13" s="57"/>
      <c r="FH13" s="57"/>
      <c r="FI13" s="57"/>
      <c r="FJ13" s="4"/>
      <c r="FK13" s="4" t="s">
        <v>25</v>
      </c>
      <c r="FL13" s="56">
        <f>SUMIFS(tblActuals35415192327[Team 2 Goals],tblActuals35415192327[Team 2],$CU13,tblActuals35415192327[Team 1],FL$3)+SUMIFS(tblActuals35415192327[Team 1 Goals],tblActuals35415192327[Team 1],$CU13,tblActuals35415192327[Team 2],FL$3)</f>
        <v>0</v>
      </c>
      <c r="FM13" s="56">
        <f>SUMIFS(tblActuals35415192327[Team 2 Goals],tblActuals35415192327[Team 2],$CU13,tblActuals35415192327[Team 1],FM$3)+SUMIFS(tblActuals35415192327[Team 1 Goals],tblActuals35415192327[Team 1],$CU13,tblActuals35415192327[Team 2],FM$3)</f>
        <v>0</v>
      </c>
      <c r="FN13" s="56">
        <f>SUMIFS(tblActuals35415192327[Team 2 Goals],tblActuals35415192327[Team 2],$CU13,tblActuals35415192327[Team 1],FN$3)+SUMIFS(tblActuals35415192327[Team 1 Goals],tblActuals35415192327[Team 1],$CU13,tblActuals35415192327[Team 2],FN$3)</f>
        <v>0</v>
      </c>
      <c r="FO13" s="56">
        <f>SUMIFS(tblActuals35415192327[Team 2 Goals],tblActuals35415192327[Team 2],$CU13,tblActuals35415192327[Team 1],FO$3)+SUMIFS(tblActuals35415192327[Team 1 Goals],tblActuals35415192327[Team 1],$CU13,tblActuals35415192327[Team 2],FO$3)</f>
        <v>0</v>
      </c>
      <c r="FP13" s="56">
        <f>SUMIFS(tblActuals35415192327[Team 2 Goals],tblActuals35415192327[Team 2],$CU13,tblActuals35415192327[Team 1],FP$3)+SUMIFS(tblActuals35415192327[Team 1 Goals],tblActuals35415192327[Team 1],$CU13,tblActuals35415192327[Team 2],FP$3)</f>
        <v>0</v>
      </c>
      <c r="FQ13" s="56">
        <f>SUMIFS(tblActuals35415192327[Team 2 Goals],tblActuals35415192327[Team 2],$CU13,tblActuals35415192327[Team 1],FQ$3)+SUMIFS(tblActuals35415192327[Team 1 Goals],tblActuals35415192327[Team 1],$CU13,tblActuals35415192327[Team 2],FQ$3)</f>
        <v>0</v>
      </c>
      <c r="FR13" s="56">
        <f>SUMIFS(tblActuals35415192327[Team 2 Goals],tblActuals35415192327[Team 2],$CU13,tblActuals35415192327[Team 1],FR$3)+SUMIFS(tblActuals35415192327[Team 1 Goals],tblActuals35415192327[Team 1],$CU13,tblActuals35415192327[Team 2],FR$3)</f>
        <v>0</v>
      </c>
      <c r="FS13" s="56">
        <f>SUMIFS(tblActuals35415192327[Team 2 Goals],tblActuals35415192327[Team 2],$CU13,tblActuals35415192327[Team 1],FS$3)+SUMIFS(tblActuals35415192327[Team 1 Goals],tblActuals35415192327[Team 1],$CU13,tblActuals35415192327[Team 2],FS$3)</f>
        <v>0</v>
      </c>
      <c r="FT13" s="56">
        <f>SUMIFS(tblActuals35415192327[Team 2 Goals],tblActuals35415192327[Team 2],$CU13,tblActuals35415192327[Team 1],FT$3)+SUMIFS(tblActuals35415192327[Team 1 Goals],tblActuals35415192327[Team 1],$CU13,tblActuals35415192327[Team 2],FT$3)</f>
        <v>0</v>
      </c>
      <c r="FU13" s="56">
        <f>SUMIFS(tblActuals35415192327[Team 2 Goals],tblActuals35415192327[Team 2],$CU13,tblActuals35415192327[Team 1],FU$3)+SUMIFS(tblActuals35415192327[Team 1 Goals],tblActuals35415192327[Team 1],$CU13,tblActuals35415192327[Team 2],FU$3)</f>
        <v>0</v>
      </c>
      <c r="FV13" s="56">
        <f>SUMIFS(tblActuals35415192327[Team 2 Goals],tblActuals35415192327[Team 2],$CU13,tblActuals35415192327[Team 1],FV$3)+SUMIFS(tblActuals35415192327[Team 1 Goals],tblActuals35415192327[Team 1],$CU13,tblActuals35415192327[Team 2],FV$3)</f>
        <v>0</v>
      </c>
      <c r="FW13" s="56">
        <f>SUMIFS(tblActuals35415192327[Team 2 Goals],tblActuals35415192327[Team 2],$CU13,tblActuals35415192327[Team 1],FW$3)+SUMIFS(tblActuals35415192327[Team 1 Goals],tblActuals35415192327[Team 1],$CU13,tblActuals35415192327[Team 2],FW$3)</f>
        <v>0</v>
      </c>
      <c r="FX13" s="56">
        <f>SUMIFS(tblActuals35415192327[Team 2 Goals],tblActuals35415192327[Team 2],$CU13,tblActuals35415192327[Team 1],FX$3)+SUMIFS(tblActuals35415192327[Team 1 Goals],tblActuals35415192327[Team 1],$CU13,tblActuals35415192327[Team 2],FX$3)</f>
        <v>0</v>
      </c>
      <c r="FY13" s="56">
        <f>SUMIFS(tblActuals35415192327[Team 2 Goals],tblActuals35415192327[Team 2],$CU13,tblActuals35415192327[Team 1],FY$3)+SUMIFS(tblActuals35415192327[Team 1 Goals],tblActuals35415192327[Team 1],$CU13,tblActuals35415192327[Team 2],FY$3)</f>
        <v>0</v>
      </c>
      <c r="FZ13" s="56">
        <f>SUMIFS(tblActuals35415192327[Team 2 Goals],tblActuals35415192327[Team 2],$CU13,tblActuals35415192327[Team 1],FZ$3)+SUMIFS(tblActuals35415192327[Team 1 Goals],tblActuals35415192327[Team 1],$CU13,tblActuals35415192327[Team 2],FZ$3)</f>
        <v>0</v>
      </c>
      <c r="GA13" s="56">
        <f>SUMIFS(tblActuals35415192327[Team 2 Goals],tblActuals35415192327[Team 2],$CU13,tblActuals35415192327[Team 1],GA$3)+SUMIFS(tblActuals35415192327[Team 1 Goals],tblActuals35415192327[Team 1],$CU13,tblActuals35415192327[Team 2],GA$3)</f>
        <v>0</v>
      </c>
      <c r="GB13" s="56">
        <f>SUMIFS(tblActuals35415192327[Team 2 Goals],tblActuals35415192327[Team 2],$CU13,tblActuals35415192327[Team 1],GB$3)+SUMIFS(tblActuals35415192327[Team 1 Goals],tblActuals35415192327[Team 1],$CU13,tblActuals35415192327[Team 2],GB$3)</f>
        <v>0</v>
      </c>
      <c r="GC13" s="56">
        <f>SUMIFS(tblActuals35415192327[Team 2 Goals],tblActuals35415192327[Team 2],$CU13,tblActuals35415192327[Team 1],GC$3)+SUMIFS(tblActuals35415192327[Team 1 Goals],tblActuals35415192327[Team 1],$CU13,tblActuals35415192327[Team 2],GC$3)</f>
        <v>0</v>
      </c>
      <c r="GD13" s="56">
        <f>SUMIFS(tblActuals35415192327[Team 2 Goals],tblActuals35415192327[Team 2],$CU13,tblActuals35415192327[Team 1],GD$3)+SUMIFS(tblActuals35415192327[Team 1 Goals],tblActuals35415192327[Team 1],$CU13,tblActuals35415192327[Team 2],GD$3)</f>
        <v>0</v>
      </c>
      <c r="GE13" s="56">
        <f>SUMIFS(tblActuals35415192327[Team 2 Goals],tblActuals35415192327[Team 2],$CU13,tblActuals35415192327[Team 1],GE$3)+SUMIFS(tblActuals35415192327[Team 1 Goals],tblActuals35415192327[Team 1],$CU13,tblActuals35415192327[Team 2],GE$3)</f>
        <v>0</v>
      </c>
      <c r="GF13" s="56">
        <f>SUMIFS(tblActuals35415192327[Team 2 Goals],tblActuals35415192327[Team 2],$CU13,tblActuals35415192327[Team 1],GF$3)+SUMIFS(tblActuals35415192327[Team 1 Goals],tblActuals35415192327[Team 1],$CU13,tblActuals35415192327[Team 2],GF$3)</f>
        <v>0</v>
      </c>
      <c r="GG13" s="56">
        <f>SUMIFS(tblActuals35415192327[Team 2 Goals],tblActuals35415192327[Team 2],$CU13,tblActuals35415192327[Team 1],GG$3)+SUMIFS(tblActuals35415192327[Team 1 Goals],tblActuals35415192327[Team 1],$CU13,tblActuals35415192327[Team 2],GG$3)</f>
        <v>0</v>
      </c>
      <c r="GH13" s="56">
        <f>SUMIFS(tblActuals35415192327[Team 2 Goals],tblActuals35415192327[Team 2],$CU13,tblActuals35415192327[Team 1],GH$3)+SUMIFS(tblActuals35415192327[Team 1 Goals],tblActuals35415192327[Team 1],$CU13,tblActuals35415192327[Team 2],GH$3)</f>
        <v>0</v>
      </c>
      <c r="GI13" s="56">
        <f>SUMIFS(tblActuals35415192327[Team 2 Goals],tblActuals35415192327[Team 2],$CU13,tblActuals35415192327[Team 1],GI$3)+SUMIFS(tblActuals35415192327[Team 1 Goals],tblActuals35415192327[Team 1],$CU13,tblActuals35415192327[Team 2],GI$3)</f>
        <v>0</v>
      </c>
      <c r="GJ13" s="57"/>
      <c r="GK13" s="57"/>
      <c r="GL13" s="37"/>
      <c r="GM13" s="37"/>
      <c r="GN13" s="37"/>
      <c r="GO13" s="37"/>
      <c r="GP13" s="37"/>
      <c r="GQ13" s="37"/>
      <c r="GR13" s="75"/>
      <c r="GS13" s="156"/>
      <c r="GT13" s="156"/>
      <c r="GU13" s="75"/>
      <c r="GV13" s="75"/>
      <c r="GW13" s="75"/>
      <c r="GX13" s="75"/>
      <c r="GY13" s="75"/>
      <c r="GZ13" s="75"/>
      <c r="HB13" s="4" t="str">
        <f t="shared" si="12"/>
        <v>ACEF</v>
      </c>
      <c r="HC13" s="44" t="s">
        <v>1</v>
      </c>
      <c r="HD13" s="45"/>
      <c r="HE13" s="44" t="s">
        <v>6</v>
      </c>
      <c r="HF13" s="45"/>
      <c r="HG13" s="44" t="s">
        <v>12</v>
      </c>
      <c r="HH13" s="44" t="s">
        <v>45</v>
      </c>
      <c r="HI13" s="178"/>
      <c r="HJ13" s="45" t="s">
        <v>153</v>
      </c>
      <c r="HK13" s="45" t="s">
        <v>154</v>
      </c>
      <c r="HL13" s="45" t="s">
        <v>152</v>
      </c>
      <c r="HM13" s="45" t="s">
        <v>149</v>
      </c>
    </row>
    <row r="14" spans="1:221" s="11" customFormat="1" ht="30" customHeight="1" x14ac:dyDescent="0.2">
      <c r="A14" s="20"/>
      <c r="B14" s="122">
        <v>11</v>
      </c>
      <c r="C14" s="122" t="s">
        <v>45</v>
      </c>
      <c r="D14" s="123">
        <v>45461</v>
      </c>
      <c r="E14" s="122" t="s">
        <v>81</v>
      </c>
      <c r="F14" s="124">
        <v>0.75</v>
      </c>
      <c r="G14" s="125">
        <f t="shared" si="11"/>
        <v>45461.5</v>
      </c>
      <c r="H14" s="122" t="s">
        <v>99</v>
      </c>
      <c r="I14" s="126"/>
      <c r="J14" s="118"/>
      <c r="K14" s="118"/>
      <c r="L14" s="174">
        <f>IF(I14="",0,IFERROR(IF(SCORING.RULES!$C$8="No",1,((VLOOKUP($B14,ACTUALS!$B$4:$L$100,7,FALSE)=$H14)+(VLOOKUP($B14,ACTUALS!$B$4:$L$100,7,FALSE)=S14)))*(M14+N14+O14+P14+Q14),0))+$R14</f>
        <v>0</v>
      </c>
      <c r="M14" s="168">
        <f>IFERROR(IF($B14="","",IF(U14=INDEX(ACTUALS!$AA$4:$AA$100,MATCH($B14,ACTUALS!$B$4:$B$100,0),1),CorrectScore,0)),0)</f>
        <v>0</v>
      </c>
      <c r="N14" s="157" t="str">
        <f>IFERROR(IF(I14="","",IF(INDEX(ACTUALS!$AB$4:$AB$100,MATCH($B14,ACTUALS!$B$4:$B$100,0),1)=(AB14+AC14+AH14+AI14),CorrectNumberofGoals,0)),0)</f>
        <v/>
      </c>
      <c r="O14" s="157"/>
      <c r="P14" s="157">
        <f>IFERROR(IF(B14="","",IF(INDEX(ACTUALS!$L$4:$L$100,MATCH($B14,ACTUALS!$B$4:$B$100,0),1)=W14,CorrectResult,0)),0)</f>
        <v>3</v>
      </c>
      <c r="Q14" s="157"/>
      <c r="R14" s="157"/>
      <c r="S14" s="157" t="str">
        <f t="shared" si="0"/>
        <v/>
      </c>
      <c r="T14" s="157"/>
      <c r="U14" s="157" t="str">
        <f t="shared" si="1"/>
        <v/>
      </c>
      <c r="V14" s="157" t="str">
        <f t="shared" si="2"/>
        <v/>
      </c>
      <c r="W14" s="119" t="str">
        <f>IF(tblActuals35415192327[[#This Row],[SCORE]]="","",IF(AB14=AC14,"Draw",IF(AB14&gt;AC14,X14,Y14)))</f>
        <v/>
      </c>
      <c r="X14" s="120" t="str">
        <f>IF(tblActuals35415192327[[#This Row],[TEAMS]]="","",LEFT(H14,FIND(" -",H14,1)-1))</f>
        <v>Turkey</v>
      </c>
      <c r="Y14" s="120" t="str">
        <f>IF(tblActuals35415192327[[#This Row],[TEAMS]]="","",MID(H14,FIND("-",H14,1)+2,LEN(H14)-FIND("-",H14,1)+2))</f>
        <v>Georgia</v>
      </c>
      <c r="Z14" s="120" t="str">
        <f>IF(tblActuals35415192327[[#This Row],[Team 1 Goals]]&gt;tblActuals35415192327[[#This Row],[Team 2 Goals]],tblActuals35415192327[[#This Row],[Team 1]],IF(tblActuals35415192327[[#This Row],[Team 2 Goals]]&gt;tblActuals35415192327[[#This Row],[Team 1 Goals]],tblActuals35415192327[[#This Row],[Team 2]],""))</f>
        <v/>
      </c>
      <c r="AA14" s="120" t="str">
        <f>IF(tblActuals35415192327[[#This Row],[Winner]]=tblActuals35415192327[[#This Row],[Team 1]],tblActuals35415192327[[#This Row],[Team 2]],IF(tblActuals35415192327[[#This Row],[Winner]]=tblActuals35415192327[[#This Row],[Team 2]],tblActuals35415192327[[#This Row],[Team 1]],""))</f>
        <v/>
      </c>
      <c r="AB14" s="120" t="str">
        <f>IF(tblActuals35415192327[[#This Row],[SCORE]]="","",LEFT(I14,FIND(":",I14,1)-1)*1)</f>
        <v/>
      </c>
      <c r="AC14" s="120" t="str">
        <f>IF(tblActuals35415192327[[#This Row],[SCORE]]="","",MID(I14,FIND(":",I14,1)+1,LEN(I14)-FIND(":",I14,1)+1)*1)</f>
        <v/>
      </c>
      <c r="AD14" s="120" t="str">
        <f>IF(OR(tblActuals35415192327[[#This Row],[Team 1 Goals]]="",tblActuals35415192327[[#This Row],[Team 2 Goals]]=""),"",tblActuals35415192327[[#This Row],[Team 1 Goals]]-tblActuals35415192327[[#This Row],[Team 2 Goals]])</f>
        <v/>
      </c>
      <c r="AE14" s="120" t="str">
        <f>IF(OR(tblActuals35415192327[[#This Row],[Team 1 Goals]]="",tblActuals35415192327[[#This Row],[Team 2 Goals]]=""),"",tblActuals35415192327[[#This Row],[Team 2 Goals]]-tblActuals35415192327[[#This Row],[Team 1 Goals]])</f>
        <v/>
      </c>
      <c r="AF14" s="120" t="str">
        <f>IF(tblActuals35415192327[[#This Row],[SCORE]]="","",IF(tblActuals35415192327[[#This Row],[WINNER / RESULT]]="Draw",1,IF(tblActuals35415192327[[#This Row],[WINNER / RESULT]]=tblActuals35415192327[[#This Row],[Team 1]],3,0)))</f>
        <v/>
      </c>
      <c r="AG14" s="120" t="str">
        <f>IF(tblActuals35415192327[[#This Row],[SCORE]]="","",IF(tblActuals35415192327[[#This Row],[WINNER / RESULT]]="Draw",1,IF(tblActuals35415192327[[#This Row],[WINNER / RESULT]]=tblActuals35415192327[[#This Row],[Team 2]],3,0)))</f>
        <v/>
      </c>
      <c r="AH14" s="121"/>
      <c r="AI14" s="121"/>
      <c r="AJ14" s="121"/>
      <c r="AK14" s="121"/>
      <c r="AL14" s="120" t="e">
        <f>tblActuals35415192327[[#This Row],[Team 1 Goals]]+tblActuals35415192327[[#This Row],[Team 1 ET Goals]]&amp;":"&amp;tblActuals35415192327[[#This Row],[Team 2 Goals]]+tblActuals35415192327[[#This Row],[Team 2 ET Goals]]</f>
        <v>#VALUE!</v>
      </c>
      <c r="AM14" s="120" t="e">
        <f>+tblActuals35415192327[[#This Row],[Team 1 Goals]]+tblActuals35415192327[[#This Row],[Team 2 Goals]]</f>
        <v>#VALUE!</v>
      </c>
      <c r="AN14" s="161">
        <f t="shared" si="3"/>
        <v>45461</v>
      </c>
      <c r="AP14" s="38" t="s">
        <v>83</v>
      </c>
      <c r="AT14" s="77" t="s">
        <v>5</v>
      </c>
      <c r="AU14" s="142">
        <v>3</v>
      </c>
      <c r="AV14" s="143" t="str">
        <f ca="1">IFERROR(INDEX(BD:BD,MATCH("3"&amp;AT14,BN:BN,0),1),"")</f>
        <v>Italy</v>
      </c>
      <c r="AW14" s="143" t="str">
        <f ca="1">IF(AV14="","",VLOOKUP(AV14,BD:BI,2,FALSE)&amp;"-"&amp;VLOOKUP(AV14,BD:BI,3,FALSE)&amp;"-"&amp;VLOOKUP(AV14,BD:BI,4,FALSE))</f>
        <v>0-0-0</v>
      </c>
      <c r="AX14" s="143">
        <f ca="1">IF(AV14="","",VLOOKUP(AV14,BD:BK,8,FALSE))</f>
        <v>0</v>
      </c>
      <c r="AY14" s="144">
        <f ca="1">IF(AV14="","",VLOOKUP(AV14,BD:BN,5,FALSE))</f>
        <v>0</v>
      </c>
      <c r="AZ14" s="75" t="str">
        <f ca="1">IF(INDEX($AU$43:$AU$48,MATCH(AV14,$AV$43:$AV$48,0),1)&lt;=4,"X","")</f>
        <v/>
      </c>
      <c r="BA14" s="4"/>
      <c r="BB14" s="4"/>
      <c r="BC14" s="4" t="s">
        <v>6</v>
      </c>
      <c r="BD14" s="4" t="s">
        <v>25</v>
      </c>
      <c r="BE14" s="4">
        <f>COUNTIF(tblActuals35415192327[Winner],BD14)</f>
        <v>0</v>
      </c>
      <c r="BF14" s="4">
        <f>COUNTIFS(tblActuals35415192327[Team 2],BD14,tblActuals35415192327[WINNER / RESULT],"Draw")+COUNTIFS(tblActuals35415192327[Team 1],BD14,tblActuals35415192327[WINNER / RESULT],"Draw")</f>
        <v>0</v>
      </c>
      <c r="BG14" s="4">
        <f>COUNTIF(tblActuals35415192327[Loser],BD14)</f>
        <v>0</v>
      </c>
      <c r="BH14" s="4">
        <f>BF14+(3*BE14)</f>
        <v>0</v>
      </c>
      <c r="BI14" s="4">
        <f>SUMIFS(tblActuals35415192327[Team 1 Goals],tblActuals35415192327[Team 1],BD14)+SUMIFS(tblActuals35415192327[Team 2 Goals],tblActuals35415192327[Team 2],BD14)</f>
        <v>0</v>
      </c>
      <c r="BJ14" s="4">
        <f>SUMIFS(tblActuals35415192327[Team 2 Goals],tblActuals35415192327[Team 1],BD14)+SUMIFS(tblActuals35415192327[Team 1 Goals],tblActuals35415192327[Team 2],BD14)</f>
        <v>0</v>
      </c>
      <c r="BK14" s="4">
        <f>BI14-BJ14</f>
        <v>0</v>
      </c>
      <c r="BL14" s="4">
        <f ca="1">RANK(BY14,$BY$14:$BY$17,1)</f>
        <v>1</v>
      </c>
      <c r="BM14" s="4" t="str">
        <f t="shared" si="4"/>
        <v/>
      </c>
      <c r="BN14" s="4" t="str">
        <f ca="1">IF(BM14="",BL14&amp;BC14,BM14&amp;BC14)</f>
        <v>1C</v>
      </c>
      <c r="BO14" s="4">
        <f>RANK(BH14,$BH$14:$BH$17,0)</f>
        <v>1</v>
      </c>
      <c r="BP14" s="4" cm="1">
        <f t="array" aca="1" ref="BP14" ca="1">SUMPRODUCT((OFFSET($CV$3:$EA$3,MATCH($BD14,$CU$4:$CU$35,0),0))*((IF($BO16=$BO14,$CV$3:$EA$3=$BD16,0))+(IF($BO17=$BO14,$CV$3:$EA$3=$BD17,0))+(IF($BO15=$BO14,$CV$3:$EA$3=$BD15,0))))</f>
        <v>0</v>
      </c>
      <c r="BQ14" s="4" cm="1">
        <f t="array" aca="1" ref="BQ14" ca="1">SUMPRODUCT((OFFSET($ED$3:$FI$3,MATCH($BD14,$EC$4:$EC$35,0),0))*((IF($BO16=$BO14,$ED$3:$FI$3=$BD16,0))+(IF($BO17=$BO14,$ED$3:$FI$3=$BD17,0))+(IF($BO15=$BO14,$ED$3:$FI$3=$BD15,0))))</f>
        <v>0</v>
      </c>
      <c r="BR14" s="4" cm="1">
        <f t="array" aca="1" ref="BR14" ca="1">SUMPRODUCT((OFFSET($FL$3:$GQ$3,MATCH($BD14,$FK$4:$FK$35,0),0))*((IF($BO16=$BO14,$FL$3:$GQ$3=$BD16,0))+(IF($BO17=$BO14,$FL$3:$GQ$3=$BD17,0))+(IF($BO15=$BO14,$FL$3:$GQ$3=$BD15,0))))</f>
        <v>0</v>
      </c>
      <c r="BS14" s="4" cm="1">
        <f t="array" aca="1" ref="BS14" ca="1">SUMPRODUCT((OFFSET($CV$3:$EA$3,MATCH($BD14,$CU$4:$CU$35,0),0))*((IF($BO16&lt;&gt;$BO14,$CV$3:$EA$3=$BD16,0))+(IF($BO17&lt;&gt;$BO14,$CV$3:$EA$3=$BD17,0))+(IF($BO15&lt;&gt;$BO14,$CV$3:$EA$3=$BD15,0))))</f>
        <v>0</v>
      </c>
      <c r="BT14" s="4" cm="1">
        <f t="array" aca="1" ref="BT14" ca="1">SUMPRODUCT((OFFSET($ED$3:$FI$3,MATCH($BD14,$EC$4:$EC$35,0),0))*((IF($BO16&lt;&gt;$BO14,$ED$3:$FI$3=$BD16,0))+(IF($BO17&lt;&gt;$BO14,$ED$3:$FI$3=$BD17,0))+(IF($BO15&lt;&gt;$BO14,$ED$3:$FI$3=$BD15,0))))</f>
        <v>0</v>
      </c>
      <c r="BU14" s="4" cm="1">
        <f t="array" aca="1" ref="BU14" ca="1">SUMPRODUCT((OFFSET($FL$3:$GQ$3,MATCH($BD14,$FK$4:$FK$35,0),0))*((IF($BO16&lt;&gt;$BO14,$FL$3:$GQ$3=$BD16,0))+(IF($BO17&lt;&gt;$BO14,$FL$3:$GQ$3=$BD17,0))+(IF($BO15&lt;&gt;$BO14,$FL$3:$GQ$3=$BD15,0))))</f>
        <v>0</v>
      </c>
      <c r="BV14" s="4">
        <f>BK14</f>
        <v>0</v>
      </c>
      <c r="BW14" s="4">
        <f>BI14</f>
        <v>0</v>
      </c>
      <c r="BX14" s="4">
        <f ca="1">(BP14/10)+(BQ14/100)+(BR14/1000)+(BT14/10000)+(BU14/100000)+(BV14/1000000)+(BW14/10000000)+(ROW(BS17)/100000000)</f>
        <v>1.6999999999999999E-7</v>
      </c>
      <c r="BY14" s="4">
        <f ca="1">+BO14-BX14</f>
        <v>0.99999983000000003</v>
      </c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U14" s="4" t="s">
        <v>34</v>
      </c>
      <c r="CV14" s="56">
        <f>SUMIFS(tblActuals35415192327[Team 2 Points],tblActuals35415192327[Team 2],$CU14,tblActuals35415192327[Team 1],CV$3)+SUMIFS(tblActuals35415192327[Team 1 Points],tblActuals35415192327[Team 1],$CU14,tblActuals35415192327[Team 2],CV$3)</f>
        <v>0</v>
      </c>
      <c r="CW14" s="56">
        <f>SUMIFS(tblActuals35415192327[Team 2 Points],tblActuals35415192327[Team 2],$CU14,tblActuals35415192327[Team 1],CW$3)+SUMIFS(tblActuals35415192327[Team 1 Points],tblActuals35415192327[Team 1],$CU14,tblActuals35415192327[Team 2],CW$3)</f>
        <v>0</v>
      </c>
      <c r="CX14" s="56">
        <f>SUMIFS(tblActuals35415192327[Team 2 Points],tblActuals35415192327[Team 2],$CU14,tblActuals35415192327[Team 1],CX$3)+SUMIFS(tblActuals35415192327[Team 1 Points],tblActuals35415192327[Team 1],$CU14,tblActuals35415192327[Team 2],CX$3)</f>
        <v>0</v>
      </c>
      <c r="CY14" s="56">
        <f>SUMIFS(tblActuals35415192327[Team 2 Points],tblActuals35415192327[Team 2],$CU14,tblActuals35415192327[Team 1],CY$3)+SUMIFS(tblActuals35415192327[Team 1 Points],tblActuals35415192327[Team 1],$CU14,tblActuals35415192327[Team 2],CY$3)</f>
        <v>0</v>
      </c>
      <c r="CZ14" s="56">
        <f>SUMIFS(tblActuals35415192327[Team 2 Points],tblActuals35415192327[Team 2],$CU14,tblActuals35415192327[Team 1],CZ$3)+SUMIFS(tblActuals35415192327[Team 1 Points],tblActuals35415192327[Team 1],$CU14,tblActuals35415192327[Team 2],CZ$3)</f>
        <v>0</v>
      </c>
      <c r="DA14" s="56">
        <f>SUMIFS(tblActuals35415192327[Team 2 Points],tblActuals35415192327[Team 2],$CU14,tblActuals35415192327[Team 1],DA$3)+SUMIFS(tblActuals35415192327[Team 1 Points],tblActuals35415192327[Team 1],$CU14,tblActuals35415192327[Team 2],DA$3)</f>
        <v>0</v>
      </c>
      <c r="DB14" s="56">
        <f>SUMIFS(tblActuals35415192327[Team 2 Points],tblActuals35415192327[Team 2],$CU14,tblActuals35415192327[Team 1],DB$3)+SUMIFS(tblActuals35415192327[Team 1 Points],tblActuals35415192327[Team 1],$CU14,tblActuals35415192327[Team 2],DB$3)</f>
        <v>0</v>
      </c>
      <c r="DC14" s="56">
        <f>SUMIFS(tblActuals35415192327[Team 2 Points],tblActuals35415192327[Team 2],$CU14,tblActuals35415192327[Team 1],DC$3)+SUMIFS(tblActuals35415192327[Team 1 Points],tblActuals35415192327[Team 1],$CU14,tblActuals35415192327[Team 2],DC$3)</f>
        <v>0</v>
      </c>
      <c r="DD14" s="56">
        <f>SUMIFS(tblActuals35415192327[Team 2 Points],tblActuals35415192327[Team 2],$CU14,tblActuals35415192327[Team 1],DD$3)+SUMIFS(tblActuals35415192327[Team 1 Points],tblActuals35415192327[Team 1],$CU14,tblActuals35415192327[Team 2],DD$3)</f>
        <v>0</v>
      </c>
      <c r="DE14" s="56">
        <f>SUMIFS(tblActuals35415192327[Team 2 Points],tblActuals35415192327[Team 2],$CU14,tblActuals35415192327[Team 1],DE$3)+SUMIFS(tblActuals35415192327[Team 1 Points],tblActuals35415192327[Team 1],$CU14,tblActuals35415192327[Team 2],DE$3)</f>
        <v>0</v>
      </c>
      <c r="DF14" s="56">
        <f>SUMIFS(tblActuals35415192327[Team 2 Points],tblActuals35415192327[Team 2],$CU14,tblActuals35415192327[Team 1],DF$3)+SUMIFS(tblActuals35415192327[Team 1 Points],tblActuals35415192327[Team 1],$CU14,tblActuals35415192327[Team 2],DF$3)</f>
        <v>0</v>
      </c>
      <c r="DG14" s="56">
        <f>SUMIFS(tblActuals35415192327[Team 2 Points],tblActuals35415192327[Team 2],$CU14,tblActuals35415192327[Team 1],DG$3)+SUMIFS(tblActuals35415192327[Team 1 Points],tblActuals35415192327[Team 1],$CU14,tblActuals35415192327[Team 2],DG$3)</f>
        <v>0</v>
      </c>
      <c r="DH14" s="56">
        <f>SUMIFS(tblActuals35415192327[Team 2 Points],tblActuals35415192327[Team 2],$CU14,tblActuals35415192327[Team 1],DH$3)+SUMIFS(tblActuals35415192327[Team 1 Points],tblActuals35415192327[Team 1],$CU14,tblActuals35415192327[Team 2],DH$3)</f>
        <v>0</v>
      </c>
      <c r="DI14" s="56">
        <f>SUMIFS(tblActuals35415192327[Team 2 Points],tblActuals35415192327[Team 2],$CU14,tblActuals35415192327[Team 1],DI$3)+SUMIFS(tblActuals35415192327[Team 1 Points],tblActuals35415192327[Team 1],$CU14,tblActuals35415192327[Team 2],DI$3)</f>
        <v>0</v>
      </c>
      <c r="DJ14" s="56">
        <f>SUMIFS(tblActuals35415192327[Team 2 Points],tblActuals35415192327[Team 2],$CU14,tblActuals35415192327[Team 1],DJ$3)+SUMIFS(tblActuals35415192327[Team 1 Points],tblActuals35415192327[Team 1],$CU14,tblActuals35415192327[Team 2],DJ$3)</f>
        <v>0</v>
      </c>
      <c r="DK14" s="56">
        <f>SUMIFS(tblActuals35415192327[Team 2 Points],tblActuals35415192327[Team 2],$CU14,tblActuals35415192327[Team 1],DK$3)+SUMIFS(tblActuals35415192327[Team 1 Points],tblActuals35415192327[Team 1],$CU14,tblActuals35415192327[Team 2],DK$3)</f>
        <v>0</v>
      </c>
      <c r="DL14" s="56">
        <f>SUMIFS(tblActuals35415192327[Team 2 Points],tblActuals35415192327[Team 2],$CU14,tblActuals35415192327[Team 1],DL$3)+SUMIFS(tblActuals35415192327[Team 1 Points],tblActuals35415192327[Team 1],$CU14,tblActuals35415192327[Team 2],DL$3)</f>
        <v>0</v>
      </c>
      <c r="DM14" s="56">
        <f>SUMIFS(tblActuals35415192327[Team 2 Points],tblActuals35415192327[Team 2],$CU14,tblActuals35415192327[Team 1],DM$3)+SUMIFS(tblActuals35415192327[Team 1 Points],tblActuals35415192327[Team 1],$CU14,tblActuals35415192327[Team 2],DM$3)</f>
        <v>0</v>
      </c>
      <c r="DN14" s="56">
        <f>SUMIFS(tblActuals35415192327[Team 2 Points],tblActuals35415192327[Team 2],$CU14,tblActuals35415192327[Team 1],DN$3)+SUMIFS(tblActuals35415192327[Team 1 Points],tblActuals35415192327[Team 1],$CU14,tblActuals35415192327[Team 2],DN$3)</f>
        <v>0</v>
      </c>
      <c r="DO14" s="56">
        <f>SUMIFS(tblActuals35415192327[Team 2 Points],tblActuals35415192327[Team 2],$CU14,tblActuals35415192327[Team 1],DO$3)+SUMIFS(tblActuals35415192327[Team 1 Points],tblActuals35415192327[Team 1],$CU14,tblActuals35415192327[Team 2],DO$3)</f>
        <v>0</v>
      </c>
      <c r="DP14" s="56">
        <f>SUMIFS(tblActuals35415192327[Team 2 Points],tblActuals35415192327[Team 2],$CU14,tblActuals35415192327[Team 1],DP$3)+SUMIFS(tblActuals35415192327[Team 1 Points],tblActuals35415192327[Team 1],$CU14,tblActuals35415192327[Team 2],DP$3)</f>
        <v>0</v>
      </c>
      <c r="DQ14" s="56">
        <f>SUMIFS(tblActuals35415192327[Team 2 Points],tblActuals35415192327[Team 2],$CU14,tblActuals35415192327[Team 1],DQ$3)+SUMIFS(tblActuals35415192327[Team 1 Points],tblActuals35415192327[Team 1],$CU14,tblActuals35415192327[Team 2],DQ$3)</f>
        <v>0</v>
      </c>
      <c r="DR14" s="56">
        <f>SUMIFS(tblActuals35415192327[Team 2 Points],tblActuals35415192327[Team 2],$CU14,tblActuals35415192327[Team 1],DR$3)+SUMIFS(tblActuals35415192327[Team 1 Points],tblActuals35415192327[Team 1],$CU14,tblActuals35415192327[Team 2],DR$3)</f>
        <v>0</v>
      </c>
      <c r="DS14" s="56">
        <f>SUMIFS(tblActuals35415192327[Team 2 Points],tblActuals35415192327[Team 2],$CU14,tblActuals35415192327[Team 1],DS$3)+SUMIFS(tblActuals35415192327[Team 1 Points],tblActuals35415192327[Team 1],$CU14,tblActuals35415192327[Team 2],DS$3)</f>
        <v>0</v>
      </c>
      <c r="DT14" s="57"/>
      <c r="DU14" s="57"/>
      <c r="DV14" s="57"/>
      <c r="DW14" s="57"/>
      <c r="DX14" s="57"/>
      <c r="DY14" s="57"/>
      <c r="DZ14" s="57"/>
      <c r="EA14" s="57"/>
      <c r="EB14" s="4"/>
      <c r="EC14" s="4" t="s">
        <v>34</v>
      </c>
      <c r="ED14" s="56">
        <f>SUMIFS(tblActuals35415192327[Team 2 GD],tblActuals35415192327[Team 2],$CU14,tblActuals35415192327[Team 1],ED$3)+SUMIFS(tblActuals35415192327[Team 1 GD],tblActuals35415192327[Team 1],$CU14,tblActuals35415192327[Team 2],ED$3)</f>
        <v>0</v>
      </c>
      <c r="EE14" s="56">
        <f>SUMIFS(tblActuals35415192327[Team 2 GD],tblActuals35415192327[Team 2],$CU14,tblActuals35415192327[Team 1],EE$3)+SUMIFS(tblActuals35415192327[Team 1 GD],tblActuals35415192327[Team 1],$CU14,tblActuals35415192327[Team 2],EE$3)</f>
        <v>0</v>
      </c>
      <c r="EF14" s="56">
        <f>SUMIFS(tblActuals35415192327[Team 2 GD],tblActuals35415192327[Team 2],$CU14,tblActuals35415192327[Team 1],EF$3)+SUMIFS(tblActuals35415192327[Team 1 GD],tblActuals35415192327[Team 1],$CU14,tblActuals35415192327[Team 2],EF$3)</f>
        <v>0</v>
      </c>
      <c r="EG14" s="56">
        <f>SUMIFS(tblActuals35415192327[Team 2 GD],tblActuals35415192327[Team 2],$CU14,tblActuals35415192327[Team 1],EG$3)+SUMIFS(tblActuals35415192327[Team 1 GD],tblActuals35415192327[Team 1],$CU14,tblActuals35415192327[Team 2],EG$3)</f>
        <v>0</v>
      </c>
      <c r="EH14" s="56">
        <f>SUMIFS(tblActuals35415192327[Team 2 GD],tblActuals35415192327[Team 2],$CU14,tblActuals35415192327[Team 1],EH$3)+SUMIFS(tblActuals35415192327[Team 1 GD],tblActuals35415192327[Team 1],$CU14,tblActuals35415192327[Team 2],EH$3)</f>
        <v>0</v>
      </c>
      <c r="EI14" s="56">
        <f>SUMIFS(tblActuals35415192327[Team 2 GD],tblActuals35415192327[Team 2],$CU14,tblActuals35415192327[Team 1],EI$3)+SUMIFS(tblActuals35415192327[Team 1 GD],tblActuals35415192327[Team 1],$CU14,tblActuals35415192327[Team 2],EI$3)</f>
        <v>0</v>
      </c>
      <c r="EJ14" s="56">
        <f>SUMIFS(tblActuals35415192327[Team 2 GD],tblActuals35415192327[Team 2],$CU14,tblActuals35415192327[Team 1],EJ$3)+SUMIFS(tblActuals35415192327[Team 1 GD],tblActuals35415192327[Team 1],$CU14,tblActuals35415192327[Team 2],EJ$3)</f>
        <v>0</v>
      </c>
      <c r="EK14" s="56">
        <f>SUMIFS(tblActuals35415192327[Team 2 GD],tblActuals35415192327[Team 2],$CU14,tblActuals35415192327[Team 1],EK$3)+SUMIFS(tblActuals35415192327[Team 1 GD],tblActuals35415192327[Team 1],$CU14,tblActuals35415192327[Team 2],EK$3)</f>
        <v>0</v>
      </c>
      <c r="EL14" s="56">
        <f>SUMIFS(tblActuals35415192327[Team 2 GD],tblActuals35415192327[Team 2],$CU14,tblActuals35415192327[Team 1],EL$3)+SUMIFS(tblActuals35415192327[Team 1 GD],tblActuals35415192327[Team 1],$CU14,tblActuals35415192327[Team 2],EL$3)</f>
        <v>0</v>
      </c>
      <c r="EM14" s="56">
        <f>SUMIFS(tblActuals35415192327[Team 2 GD],tblActuals35415192327[Team 2],$CU14,tblActuals35415192327[Team 1],EM$3)+SUMIFS(tblActuals35415192327[Team 1 GD],tblActuals35415192327[Team 1],$CU14,tblActuals35415192327[Team 2],EM$3)</f>
        <v>0</v>
      </c>
      <c r="EN14" s="56">
        <f>SUMIFS(tblActuals35415192327[Team 2 GD],tblActuals35415192327[Team 2],$CU14,tblActuals35415192327[Team 1],EN$3)+SUMIFS(tblActuals35415192327[Team 1 GD],tblActuals35415192327[Team 1],$CU14,tblActuals35415192327[Team 2],EN$3)</f>
        <v>0</v>
      </c>
      <c r="EO14" s="56">
        <f>SUMIFS(tblActuals35415192327[Team 2 GD],tblActuals35415192327[Team 2],$CU14,tblActuals35415192327[Team 1],EO$3)+SUMIFS(tblActuals35415192327[Team 1 GD],tblActuals35415192327[Team 1],$CU14,tblActuals35415192327[Team 2],EO$3)</f>
        <v>0</v>
      </c>
      <c r="EP14" s="56">
        <f>SUMIFS(tblActuals35415192327[Team 2 GD],tblActuals35415192327[Team 2],$CU14,tblActuals35415192327[Team 1],EP$3)+SUMIFS(tblActuals35415192327[Team 1 GD],tblActuals35415192327[Team 1],$CU14,tblActuals35415192327[Team 2],EP$3)</f>
        <v>0</v>
      </c>
      <c r="EQ14" s="56">
        <f>SUMIFS(tblActuals35415192327[Team 2 GD],tblActuals35415192327[Team 2],$CU14,tblActuals35415192327[Team 1],EQ$3)+SUMIFS(tblActuals35415192327[Team 1 GD],tblActuals35415192327[Team 1],$CU14,tblActuals35415192327[Team 2],EQ$3)</f>
        <v>0</v>
      </c>
      <c r="ER14" s="56">
        <f>SUMIFS(tblActuals35415192327[Team 2 GD],tblActuals35415192327[Team 2],$CU14,tblActuals35415192327[Team 1],ER$3)+SUMIFS(tblActuals35415192327[Team 1 GD],tblActuals35415192327[Team 1],$CU14,tblActuals35415192327[Team 2],ER$3)</f>
        <v>0</v>
      </c>
      <c r="ES14" s="56">
        <f>SUMIFS(tblActuals35415192327[Team 2 GD],tblActuals35415192327[Team 2],$CU14,tblActuals35415192327[Team 1],ES$3)+SUMIFS(tblActuals35415192327[Team 1 GD],tblActuals35415192327[Team 1],$CU14,tblActuals35415192327[Team 2],ES$3)</f>
        <v>0</v>
      </c>
      <c r="ET14" s="56">
        <f>SUMIFS(tblActuals35415192327[Team 2 GD],tblActuals35415192327[Team 2],$CU14,tblActuals35415192327[Team 1],ET$3)+SUMIFS(tblActuals35415192327[Team 1 GD],tblActuals35415192327[Team 1],$CU14,tblActuals35415192327[Team 2],ET$3)</f>
        <v>0</v>
      </c>
      <c r="EU14" s="56">
        <f>SUMIFS(tblActuals35415192327[Team 2 GD],tblActuals35415192327[Team 2],$CU14,tblActuals35415192327[Team 1],EU$3)+SUMIFS(tblActuals35415192327[Team 1 GD],tblActuals35415192327[Team 1],$CU14,tblActuals35415192327[Team 2],EU$3)</f>
        <v>0</v>
      </c>
      <c r="EV14" s="56">
        <f>SUMIFS(tblActuals35415192327[Team 2 GD],tblActuals35415192327[Team 2],$CU14,tblActuals35415192327[Team 1],EV$3)+SUMIFS(tblActuals35415192327[Team 1 GD],tblActuals35415192327[Team 1],$CU14,tblActuals35415192327[Team 2],EV$3)</f>
        <v>0</v>
      </c>
      <c r="EW14" s="56">
        <f>SUMIFS(tblActuals35415192327[Team 2 GD],tblActuals35415192327[Team 2],$CU14,tblActuals35415192327[Team 1],EW$3)+SUMIFS(tblActuals35415192327[Team 1 GD],tblActuals35415192327[Team 1],$CU14,tblActuals35415192327[Team 2],EW$3)</f>
        <v>0</v>
      </c>
      <c r="EX14" s="56">
        <f>SUMIFS(tblActuals35415192327[Team 2 GD],tblActuals35415192327[Team 2],$CU14,tblActuals35415192327[Team 1],EX$3)+SUMIFS(tblActuals35415192327[Team 1 GD],tblActuals35415192327[Team 1],$CU14,tblActuals35415192327[Team 2],EX$3)</f>
        <v>0</v>
      </c>
      <c r="EY14" s="56">
        <f>SUMIFS(tblActuals35415192327[Team 2 GD],tblActuals35415192327[Team 2],$CU14,tblActuals35415192327[Team 1],EY$3)+SUMIFS(tblActuals35415192327[Team 1 GD],tblActuals35415192327[Team 1],$CU14,tblActuals35415192327[Team 2],EY$3)</f>
        <v>0</v>
      </c>
      <c r="EZ14" s="56">
        <f>SUMIFS(tblActuals35415192327[Team 2 GD],tblActuals35415192327[Team 2],$CU14,tblActuals35415192327[Team 1],EZ$3)+SUMIFS(tblActuals35415192327[Team 1 GD],tblActuals35415192327[Team 1],$CU14,tblActuals35415192327[Team 2],EZ$3)</f>
        <v>0</v>
      </c>
      <c r="FA14" s="56">
        <f>SUMIFS(tblActuals35415192327[Team 2 GD],tblActuals35415192327[Team 2],$CU14,tblActuals35415192327[Team 1],FA$3)+SUMIFS(tblActuals35415192327[Team 1 GD],tblActuals35415192327[Team 1],$CU14,tblActuals35415192327[Team 2],FA$3)</f>
        <v>0</v>
      </c>
      <c r="FB14" s="57"/>
      <c r="FC14" s="57"/>
      <c r="FD14" s="57"/>
      <c r="FE14" s="57"/>
      <c r="FF14" s="57"/>
      <c r="FG14" s="57"/>
      <c r="FH14" s="57"/>
      <c r="FI14" s="57"/>
      <c r="FJ14" s="4"/>
      <c r="FK14" s="4" t="s">
        <v>34</v>
      </c>
      <c r="FL14" s="56">
        <f>SUMIFS(tblActuals35415192327[Team 2 Goals],tblActuals35415192327[Team 2],$CU14,tblActuals35415192327[Team 1],FL$3)+SUMIFS(tblActuals35415192327[Team 1 Goals],tblActuals35415192327[Team 1],$CU14,tblActuals35415192327[Team 2],FL$3)</f>
        <v>0</v>
      </c>
      <c r="FM14" s="56">
        <f>SUMIFS(tblActuals35415192327[Team 2 Goals],tblActuals35415192327[Team 2],$CU14,tblActuals35415192327[Team 1],FM$3)+SUMIFS(tblActuals35415192327[Team 1 Goals],tblActuals35415192327[Team 1],$CU14,tblActuals35415192327[Team 2],FM$3)</f>
        <v>0</v>
      </c>
      <c r="FN14" s="56">
        <f>SUMIFS(tblActuals35415192327[Team 2 Goals],tblActuals35415192327[Team 2],$CU14,tblActuals35415192327[Team 1],FN$3)+SUMIFS(tblActuals35415192327[Team 1 Goals],tblActuals35415192327[Team 1],$CU14,tblActuals35415192327[Team 2],FN$3)</f>
        <v>0</v>
      </c>
      <c r="FO14" s="56">
        <f>SUMIFS(tblActuals35415192327[Team 2 Goals],tblActuals35415192327[Team 2],$CU14,tblActuals35415192327[Team 1],FO$3)+SUMIFS(tblActuals35415192327[Team 1 Goals],tblActuals35415192327[Team 1],$CU14,tblActuals35415192327[Team 2],FO$3)</f>
        <v>0</v>
      </c>
      <c r="FP14" s="56">
        <f>SUMIFS(tblActuals35415192327[Team 2 Goals],tblActuals35415192327[Team 2],$CU14,tblActuals35415192327[Team 1],FP$3)+SUMIFS(tblActuals35415192327[Team 1 Goals],tblActuals35415192327[Team 1],$CU14,tblActuals35415192327[Team 2],FP$3)</f>
        <v>0</v>
      </c>
      <c r="FQ14" s="56">
        <f>SUMIFS(tblActuals35415192327[Team 2 Goals],tblActuals35415192327[Team 2],$CU14,tblActuals35415192327[Team 1],FQ$3)+SUMIFS(tblActuals35415192327[Team 1 Goals],tblActuals35415192327[Team 1],$CU14,tblActuals35415192327[Team 2],FQ$3)</f>
        <v>0</v>
      </c>
      <c r="FR14" s="56">
        <f>SUMIFS(tblActuals35415192327[Team 2 Goals],tblActuals35415192327[Team 2],$CU14,tblActuals35415192327[Team 1],FR$3)+SUMIFS(tblActuals35415192327[Team 1 Goals],tblActuals35415192327[Team 1],$CU14,tblActuals35415192327[Team 2],FR$3)</f>
        <v>0</v>
      </c>
      <c r="FS14" s="56">
        <f>SUMIFS(tblActuals35415192327[Team 2 Goals],tblActuals35415192327[Team 2],$CU14,tblActuals35415192327[Team 1],FS$3)+SUMIFS(tblActuals35415192327[Team 1 Goals],tblActuals35415192327[Team 1],$CU14,tblActuals35415192327[Team 2],FS$3)</f>
        <v>0</v>
      </c>
      <c r="FT14" s="56">
        <f>SUMIFS(tblActuals35415192327[Team 2 Goals],tblActuals35415192327[Team 2],$CU14,tblActuals35415192327[Team 1],FT$3)+SUMIFS(tblActuals35415192327[Team 1 Goals],tblActuals35415192327[Team 1],$CU14,tblActuals35415192327[Team 2],FT$3)</f>
        <v>0</v>
      </c>
      <c r="FU14" s="56">
        <f>SUMIFS(tblActuals35415192327[Team 2 Goals],tblActuals35415192327[Team 2],$CU14,tblActuals35415192327[Team 1],FU$3)+SUMIFS(tblActuals35415192327[Team 1 Goals],tblActuals35415192327[Team 1],$CU14,tblActuals35415192327[Team 2],FU$3)</f>
        <v>0</v>
      </c>
      <c r="FV14" s="56">
        <f>SUMIFS(tblActuals35415192327[Team 2 Goals],tblActuals35415192327[Team 2],$CU14,tblActuals35415192327[Team 1],FV$3)+SUMIFS(tblActuals35415192327[Team 1 Goals],tblActuals35415192327[Team 1],$CU14,tblActuals35415192327[Team 2],FV$3)</f>
        <v>0</v>
      </c>
      <c r="FW14" s="56">
        <f>SUMIFS(tblActuals35415192327[Team 2 Goals],tblActuals35415192327[Team 2],$CU14,tblActuals35415192327[Team 1],FW$3)+SUMIFS(tblActuals35415192327[Team 1 Goals],tblActuals35415192327[Team 1],$CU14,tblActuals35415192327[Team 2],FW$3)</f>
        <v>0</v>
      </c>
      <c r="FX14" s="56">
        <f>SUMIFS(tblActuals35415192327[Team 2 Goals],tblActuals35415192327[Team 2],$CU14,tblActuals35415192327[Team 1],FX$3)+SUMIFS(tblActuals35415192327[Team 1 Goals],tblActuals35415192327[Team 1],$CU14,tblActuals35415192327[Team 2],FX$3)</f>
        <v>0</v>
      </c>
      <c r="FY14" s="56">
        <f>SUMIFS(tblActuals35415192327[Team 2 Goals],tblActuals35415192327[Team 2],$CU14,tblActuals35415192327[Team 1],FY$3)+SUMIFS(tblActuals35415192327[Team 1 Goals],tblActuals35415192327[Team 1],$CU14,tblActuals35415192327[Team 2],FY$3)</f>
        <v>0</v>
      </c>
      <c r="FZ14" s="56">
        <f>SUMIFS(tblActuals35415192327[Team 2 Goals],tblActuals35415192327[Team 2],$CU14,tblActuals35415192327[Team 1],FZ$3)+SUMIFS(tblActuals35415192327[Team 1 Goals],tblActuals35415192327[Team 1],$CU14,tblActuals35415192327[Team 2],FZ$3)</f>
        <v>0</v>
      </c>
      <c r="GA14" s="56">
        <f>SUMIFS(tblActuals35415192327[Team 2 Goals],tblActuals35415192327[Team 2],$CU14,tblActuals35415192327[Team 1],GA$3)+SUMIFS(tblActuals35415192327[Team 1 Goals],tblActuals35415192327[Team 1],$CU14,tblActuals35415192327[Team 2],GA$3)</f>
        <v>0</v>
      </c>
      <c r="GB14" s="56">
        <f>SUMIFS(tblActuals35415192327[Team 2 Goals],tblActuals35415192327[Team 2],$CU14,tblActuals35415192327[Team 1],GB$3)+SUMIFS(tblActuals35415192327[Team 1 Goals],tblActuals35415192327[Team 1],$CU14,tblActuals35415192327[Team 2],GB$3)</f>
        <v>0</v>
      </c>
      <c r="GC14" s="56">
        <f>SUMIFS(tblActuals35415192327[Team 2 Goals],tblActuals35415192327[Team 2],$CU14,tblActuals35415192327[Team 1],GC$3)+SUMIFS(tblActuals35415192327[Team 1 Goals],tblActuals35415192327[Team 1],$CU14,tblActuals35415192327[Team 2],GC$3)</f>
        <v>0</v>
      </c>
      <c r="GD14" s="56">
        <f>SUMIFS(tblActuals35415192327[Team 2 Goals],tblActuals35415192327[Team 2],$CU14,tblActuals35415192327[Team 1],GD$3)+SUMIFS(tblActuals35415192327[Team 1 Goals],tblActuals35415192327[Team 1],$CU14,tblActuals35415192327[Team 2],GD$3)</f>
        <v>0</v>
      </c>
      <c r="GE14" s="56">
        <f>SUMIFS(tblActuals35415192327[Team 2 Goals],tblActuals35415192327[Team 2],$CU14,tblActuals35415192327[Team 1],GE$3)+SUMIFS(tblActuals35415192327[Team 1 Goals],tblActuals35415192327[Team 1],$CU14,tblActuals35415192327[Team 2],GE$3)</f>
        <v>0</v>
      </c>
      <c r="GF14" s="56">
        <f>SUMIFS(tblActuals35415192327[Team 2 Goals],tblActuals35415192327[Team 2],$CU14,tblActuals35415192327[Team 1],GF$3)+SUMIFS(tblActuals35415192327[Team 1 Goals],tblActuals35415192327[Team 1],$CU14,tblActuals35415192327[Team 2],GF$3)</f>
        <v>0</v>
      </c>
      <c r="GG14" s="56">
        <f>SUMIFS(tblActuals35415192327[Team 2 Goals],tblActuals35415192327[Team 2],$CU14,tblActuals35415192327[Team 1],GG$3)+SUMIFS(tblActuals35415192327[Team 1 Goals],tblActuals35415192327[Team 1],$CU14,tblActuals35415192327[Team 2],GG$3)</f>
        <v>0</v>
      </c>
      <c r="GH14" s="56">
        <f>SUMIFS(tblActuals35415192327[Team 2 Goals],tblActuals35415192327[Team 2],$CU14,tblActuals35415192327[Team 1],GH$3)+SUMIFS(tblActuals35415192327[Team 1 Goals],tblActuals35415192327[Team 1],$CU14,tblActuals35415192327[Team 2],GH$3)</f>
        <v>0</v>
      </c>
      <c r="GI14" s="56">
        <f>SUMIFS(tblActuals35415192327[Team 2 Goals],tblActuals35415192327[Team 2],$CU14,tblActuals35415192327[Team 1],GI$3)+SUMIFS(tblActuals35415192327[Team 1 Goals],tblActuals35415192327[Team 1],$CU14,tblActuals35415192327[Team 2],GI$3)</f>
        <v>0</v>
      </c>
      <c r="GJ14" s="57"/>
      <c r="GK14" s="57"/>
      <c r="GL14" s="37"/>
      <c r="GM14" s="37"/>
      <c r="GN14" s="37"/>
      <c r="GO14" s="37"/>
      <c r="GP14" s="37"/>
      <c r="GQ14" s="37"/>
      <c r="GR14" s="75"/>
      <c r="GS14" s="156"/>
      <c r="GT14" s="156"/>
      <c r="GU14" s="75"/>
      <c r="GV14" s="75"/>
      <c r="GW14" s="75"/>
      <c r="GX14" s="75"/>
      <c r="GY14" s="75"/>
      <c r="GZ14" s="75"/>
      <c r="HB14" s="4" t="str">
        <f t="shared" si="12"/>
        <v>ADEF</v>
      </c>
      <c r="HC14" s="44" t="s">
        <v>1</v>
      </c>
      <c r="HD14" s="45"/>
      <c r="HE14" s="45"/>
      <c r="HF14" s="44" t="s">
        <v>7</v>
      </c>
      <c r="HG14" s="44" t="s">
        <v>12</v>
      </c>
      <c r="HH14" s="44" t="s">
        <v>45</v>
      </c>
      <c r="HI14" s="178"/>
      <c r="HJ14" s="45" t="s">
        <v>153</v>
      </c>
      <c r="HK14" s="45" t="s">
        <v>154</v>
      </c>
      <c r="HL14" s="45" t="s">
        <v>150</v>
      </c>
      <c r="HM14" s="45" t="s">
        <v>149</v>
      </c>
    </row>
    <row r="15" spans="1:221" s="11" customFormat="1" ht="30" customHeight="1" thickBot="1" x14ac:dyDescent="0.3">
      <c r="A15" s="20"/>
      <c r="B15" s="122">
        <v>12</v>
      </c>
      <c r="C15" s="122" t="s">
        <v>45</v>
      </c>
      <c r="D15" s="123">
        <v>45461</v>
      </c>
      <c r="E15" s="122" t="s">
        <v>87</v>
      </c>
      <c r="F15" s="124">
        <v>0.875</v>
      </c>
      <c r="G15" s="125">
        <f t="shared" si="11"/>
        <v>45461.625</v>
      </c>
      <c r="H15" s="122" t="s">
        <v>100</v>
      </c>
      <c r="I15" s="126"/>
      <c r="J15" s="118"/>
      <c r="K15" s="118"/>
      <c r="L15" s="174">
        <f>IF(I15="",0,IFERROR(IF(SCORING.RULES!$C$8="No",1,((VLOOKUP($B15,ACTUALS!$B$4:$L$100,7,FALSE)=$H15)+(VLOOKUP($B15,ACTUALS!$B$4:$L$100,7,FALSE)=S15)))*(M15+N15+O15+P15+Q15),0))+$R15</f>
        <v>0</v>
      </c>
      <c r="M15" s="168">
        <f>IFERROR(IF($B15="","",IF(U15=INDEX(ACTUALS!$AA$4:$AA$100,MATCH($B15,ACTUALS!$B$4:$B$100,0),1),CorrectScore,0)),0)</f>
        <v>0</v>
      </c>
      <c r="N15" s="157" t="str">
        <f>IFERROR(IF(I15="","",IF(INDEX(ACTUALS!$AB$4:$AB$100,MATCH($B15,ACTUALS!$B$4:$B$100,0),1)=(AB15+AC15+AH15+AI15),CorrectNumberofGoals,0)),0)</f>
        <v/>
      </c>
      <c r="O15" s="157"/>
      <c r="P15" s="157">
        <f>IFERROR(IF(B15="","",IF(INDEX(ACTUALS!$L$4:$L$100,MATCH($B15,ACTUALS!$B$4:$B$100,0),1)=W15,CorrectResult,0)),0)</f>
        <v>3</v>
      </c>
      <c r="Q15" s="157"/>
      <c r="R15" s="157"/>
      <c r="S15" s="157" t="str">
        <f t="shared" si="0"/>
        <v/>
      </c>
      <c r="T15" s="157"/>
      <c r="U15" s="157" t="str">
        <f t="shared" si="1"/>
        <v/>
      </c>
      <c r="V15" s="157" t="str">
        <f t="shared" si="2"/>
        <v/>
      </c>
      <c r="W15" s="119" t="str">
        <f>IF(tblActuals35415192327[[#This Row],[SCORE]]="","",IF(AB15=AC15,"Draw",IF(AB15&gt;AC15,X15,Y15)))</f>
        <v/>
      </c>
      <c r="X15" s="120" t="str">
        <f>IF(tblActuals35415192327[[#This Row],[TEAMS]]="","",LEFT(H15,FIND(" -",H15,1)-1))</f>
        <v>Portugal</v>
      </c>
      <c r="Y15" s="120" t="str">
        <f>IF(tblActuals35415192327[[#This Row],[TEAMS]]="","",MID(H15,FIND("-",H15,1)+2,LEN(H15)-FIND("-",H15,1)+2))</f>
        <v>Czechia</v>
      </c>
      <c r="Z15" s="120" t="str">
        <f>IF(tblActuals35415192327[[#This Row],[Team 1 Goals]]&gt;tblActuals35415192327[[#This Row],[Team 2 Goals]],tblActuals35415192327[[#This Row],[Team 1]],IF(tblActuals35415192327[[#This Row],[Team 2 Goals]]&gt;tblActuals35415192327[[#This Row],[Team 1 Goals]],tblActuals35415192327[[#This Row],[Team 2]],""))</f>
        <v/>
      </c>
      <c r="AA15" s="120" t="str">
        <f>IF(tblActuals35415192327[[#This Row],[Winner]]=tblActuals35415192327[[#This Row],[Team 1]],tblActuals35415192327[[#This Row],[Team 2]],IF(tblActuals35415192327[[#This Row],[Winner]]=tblActuals35415192327[[#This Row],[Team 2]],tblActuals35415192327[[#This Row],[Team 1]],""))</f>
        <v/>
      </c>
      <c r="AB15" s="120" t="str">
        <f>IF(tblActuals35415192327[[#This Row],[SCORE]]="","",LEFT(I15,FIND(":",I15,1)-1)*1)</f>
        <v/>
      </c>
      <c r="AC15" s="120" t="str">
        <f>IF(tblActuals35415192327[[#This Row],[SCORE]]="","",MID(I15,FIND(":",I15,1)+1,LEN(I15)-FIND(":",I15,1)+1)*1)</f>
        <v/>
      </c>
      <c r="AD15" s="120" t="str">
        <f>IF(OR(tblActuals35415192327[[#This Row],[Team 1 Goals]]="",tblActuals35415192327[[#This Row],[Team 2 Goals]]=""),"",tblActuals35415192327[[#This Row],[Team 1 Goals]]-tblActuals35415192327[[#This Row],[Team 2 Goals]])</f>
        <v/>
      </c>
      <c r="AE15" s="120" t="str">
        <f>IF(OR(tblActuals35415192327[[#This Row],[Team 1 Goals]]="",tblActuals35415192327[[#This Row],[Team 2 Goals]]=""),"",tblActuals35415192327[[#This Row],[Team 2 Goals]]-tblActuals35415192327[[#This Row],[Team 1 Goals]])</f>
        <v/>
      </c>
      <c r="AF15" s="120" t="str">
        <f>IF(tblActuals35415192327[[#This Row],[SCORE]]="","",IF(tblActuals35415192327[[#This Row],[WINNER / RESULT]]="Draw",1,IF(tblActuals35415192327[[#This Row],[WINNER / RESULT]]=tblActuals35415192327[[#This Row],[Team 1]],3,0)))</f>
        <v/>
      </c>
      <c r="AG15" s="120" t="str">
        <f>IF(tblActuals35415192327[[#This Row],[SCORE]]="","",IF(tblActuals35415192327[[#This Row],[WINNER / RESULT]]="Draw",1,IF(tblActuals35415192327[[#This Row],[WINNER / RESULT]]=tblActuals35415192327[[#This Row],[Team 2]],3,0)))</f>
        <v/>
      </c>
      <c r="AH15" s="121"/>
      <c r="AI15" s="121"/>
      <c r="AJ15" s="121"/>
      <c r="AK15" s="121"/>
      <c r="AL15" s="120" t="e">
        <f>tblActuals35415192327[[#This Row],[Team 1 Goals]]+tblActuals35415192327[[#This Row],[Team 1 ET Goals]]&amp;":"&amp;tblActuals35415192327[[#This Row],[Team 2 Goals]]+tblActuals35415192327[[#This Row],[Team 2 ET Goals]]</f>
        <v>#VALUE!</v>
      </c>
      <c r="AM15" s="120" t="e">
        <f>+tblActuals35415192327[[#This Row],[Team 1 Goals]]+tblActuals35415192327[[#This Row],[Team 2 Goals]]</f>
        <v>#VALUE!</v>
      </c>
      <c r="AN15" s="161">
        <f t="shared" si="3"/>
        <v>45461</v>
      </c>
      <c r="AT15" s="77" t="s">
        <v>5</v>
      </c>
      <c r="AU15" s="145">
        <v>4</v>
      </c>
      <c r="AV15" s="146" t="str">
        <f ca="1">IFERROR(INDEX(BD:BD,MATCH("4"&amp;AT15,BN:BN,0),1),"")</f>
        <v>Spain</v>
      </c>
      <c r="AW15" s="146" t="str">
        <f ca="1">IF(AV15="","",VLOOKUP(AV15,BD:BI,2,FALSE)&amp;"-"&amp;VLOOKUP(AV15,BD:BI,3,FALSE)&amp;"-"&amp;VLOOKUP(AV15,BD:BI,4,FALSE))</f>
        <v>0-0-0</v>
      </c>
      <c r="AX15" s="146">
        <f ca="1">IF(AV15="","",VLOOKUP(AV15,BD:BK,8,FALSE))</f>
        <v>0</v>
      </c>
      <c r="AY15" s="147">
        <f ca="1">IF(AV15="","",VLOOKUP(AV15,BD:BN,5,FALSE))</f>
        <v>0</v>
      </c>
      <c r="AZ15" s="75"/>
      <c r="BA15" s="4"/>
      <c r="BB15" s="4"/>
      <c r="BC15" s="4" t="s">
        <v>6</v>
      </c>
      <c r="BD15" s="4" t="s">
        <v>24</v>
      </c>
      <c r="BE15" s="4">
        <f>COUNTIF(tblActuals35415192327[Winner],BD15)</f>
        <v>0</v>
      </c>
      <c r="BF15" s="4">
        <f>COUNTIFS(tblActuals35415192327[Team 2],BD15,tblActuals35415192327[WINNER / RESULT],"Draw")+COUNTIFS(tblActuals35415192327[Team 1],BD15,tblActuals35415192327[WINNER / RESULT],"Draw")</f>
        <v>0</v>
      </c>
      <c r="BG15" s="4">
        <f>COUNTIF(tblActuals35415192327[Loser],BD15)</f>
        <v>0</v>
      </c>
      <c r="BH15" s="4">
        <f>BF15+(3*BE15)</f>
        <v>0</v>
      </c>
      <c r="BI15" s="4">
        <f>SUMIFS(tblActuals35415192327[Team 1 Goals],tblActuals35415192327[Team 1],BD15)+SUMIFS(tblActuals35415192327[Team 2 Goals],tblActuals35415192327[Team 2],BD15)</f>
        <v>0</v>
      </c>
      <c r="BJ15" s="4">
        <f>SUMIFS(tblActuals35415192327[Team 2 Goals],tblActuals35415192327[Team 1],BD15)+SUMIFS(tblActuals35415192327[Team 1 Goals],tblActuals35415192327[Team 2],BD15)</f>
        <v>0</v>
      </c>
      <c r="BK15" s="4">
        <f>BI15-BJ15</f>
        <v>0</v>
      </c>
      <c r="BL15" s="4">
        <f ca="1">RANK(BY15,$BY$14:$BY$17,1)</f>
        <v>2</v>
      </c>
      <c r="BM15" s="4" t="str">
        <f t="shared" si="4"/>
        <v/>
      </c>
      <c r="BN15" s="4" t="str">
        <f ca="1">IF(BM15="",BL15&amp;BC15,BM15&amp;BC15)</f>
        <v>2C</v>
      </c>
      <c r="BO15" s="4">
        <f>RANK(BH15,$BH$14:$BH$17,0)</f>
        <v>1</v>
      </c>
      <c r="BP15" s="4" cm="1">
        <f t="array" aca="1" ref="BP15" ca="1">SUMPRODUCT((OFFSET($CV$3:$EA$3,MATCH($BD15,$CU$4:$CU$35,0),0))*((IF($BO16=$BO15,$CV$3:$EA$3=$BD16,0))+(IF($BO17=$BO15,$CV$3:$EA$3=$BD17,0))+(IF($BO14=$BO15,$CV$3:$EA$3=$BD14,0))))</f>
        <v>0</v>
      </c>
      <c r="BQ15" s="4" cm="1">
        <f t="array" aca="1" ref="BQ15" ca="1">SUMPRODUCT((OFFSET($ED$3:$FI$3,MATCH($BD15,$EC$4:$EC$35,0),0))*((IF($BO16=$BO15,$ED$3:$FI$3=$BD16,0))+(IF($BO17=$BO15,$ED$3:$FI$3=$BD17,0))+(IF($BO14=$BO15,$ED$3:$FI$3=$BD14,0))))</f>
        <v>0</v>
      </c>
      <c r="BR15" s="4" cm="1">
        <f t="array" aca="1" ref="BR15" ca="1">SUMPRODUCT((OFFSET($FL$3:$GQ$3,MATCH($BD15,$FK$4:$FK$35,0),0))*((IF($BO16=$BO15,$FL$3:$GQ$3=$BD16,0))+(IF($BO17=$BO15,$FL$3:$GQ$3=$BD17,0))+(IF($BO14=$BO15,$FL$3:$GQ$3=$BD14,0))))</f>
        <v>0</v>
      </c>
      <c r="BS15" s="4" cm="1">
        <f t="array" aca="1" ref="BS15" ca="1">SUMPRODUCT((OFFSET($CV$3:$EA$3,MATCH($BD15,$CU$4:$CU$35,0),0))*((IF($BO16&lt;&gt;$BO15,$CV$3:$EA$3=$BD16,0))+(IF($BO17&lt;&gt;$BO15,$CV$3:$EA$3=$BD17,0))+(IF($BO14&lt;&gt;$BO15,$CV$3:$EA$3=$BD14,0))))</f>
        <v>0</v>
      </c>
      <c r="BT15" s="4" cm="1">
        <f t="array" aca="1" ref="BT15" ca="1">SUMPRODUCT((OFFSET($ED$3:$FI$3,MATCH($BD15,$EC$4:$EC$35,0),0))*((IF($BO16&lt;&gt;$BO15,$ED$3:$FI$3=$BD16,0))+(IF($BO17&lt;&gt;$BO15,$ED$3:$FI$3=$BD17,0))+(IF($BO14&lt;&gt;$BO15,$ED$3:$FI$3=$BD14,0))))</f>
        <v>0</v>
      </c>
      <c r="BU15" s="4" cm="1">
        <f t="array" aca="1" ref="BU15" ca="1">SUMPRODUCT((OFFSET($FL$3:$GQ$3,MATCH($BD15,$FK$4:$FK$35,0),0))*((IF($BO16&lt;&gt;$BO15,$FL$3:$GQ$3=$BD16,0))+(IF($BO17&lt;&gt;$BO15,$FL$3:$GQ$3=$BD17,0))+(IF($BO14&lt;&gt;$BO15,$FL$3:$GQ$3=$BD14,0))))</f>
        <v>0</v>
      </c>
      <c r="BV15" s="4">
        <f>BK15</f>
        <v>0</v>
      </c>
      <c r="BW15" s="4">
        <f>BI15</f>
        <v>0</v>
      </c>
      <c r="BX15" s="4">
        <f ca="1">(BP15/10)+(BQ15/100)+(BR15/1000)+(BT15/10000)+(BU15/100000)+(BV15/1000000)+(BW15/10000000)+(ROW(BS16)/100000000)</f>
        <v>1.6E-7</v>
      </c>
      <c r="BY15" s="4">
        <f ca="1">+BO15-BX15</f>
        <v>0.99999983999999997</v>
      </c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U15" s="4" t="s">
        <v>24</v>
      </c>
      <c r="CV15" s="56">
        <f>SUMIFS(tblActuals35415192327[Team 2 Points],tblActuals35415192327[Team 2],$CU15,tblActuals35415192327[Team 1],CV$3)+SUMIFS(tblActuals35415192327[Team 1 Points],tblActuals35415192327[Team 1],$CU15,tblActuals35415192327[Team 2],CV$3)</f>
        <v>0</v>
      </c>
      <c r="CW15" s="56">
        <f>SUMIFS(tblActuals35415192327[Team 2 Points],tblActuals35415192327[Team 2],$CU15,tblActuals35415192327[Team 1],CW$3)+SUMIFS(tblActuals35415192327[Team 1 Points],tblActuals35415192327[Team 1],$CU15,tblActuals35415192327[Team 2],CW$3)</f>
        <v>0</v>
      </c>
      <c r="CX15" s="56">
        <f>SUMIFS(tblActuals35415192327[Team 2 Points],tblActuals35415192327[Team 2],$CU15,tblActuals35415192327[Team 1],CX$3)+SUMIFS(tblActuals35415192327[Team 1 Points],tblActuals35415192327[Team 1],$CU15,tblActuals35415192327[Team 2],CX$3)</f>
        <v>0</v>
      </c>
      <c r="CY15" s="56">
        <f>SUMIFS(tblActuals35415192327[Team 2 Points],tblActuals35415192327[Team 2],$CU15,tblActuals35415192327[Team 1],CY$3)+SUMIFS(tblActuals35415192327[Team 1 Points],tblActuals35415192327[Team 1],$CU15,tblActuals35415192327[Team 2],CY$3)</f>
        <v>0</v>
      </c>
      <c r="CZ15" s="56">
        <f>SUMIFS(tblActuals35415192327[Team 2 Points],tblActuals35415192327[Team 2],$CU15,tblActuals35415192327[Team 1],CZ$3)+SUMIFS(tblActuals35415192327[Team 1 Points],tblActuals35415192327[Team 1],$CU15,tblActuals35415192327[Team 2],CZ$3)</f>
        <v>0</v>
      </c>
      <c r="DA15" s="56">
        <f>SUMIFS(tblActuals35415192327[Team 2 Points],tblActuals35415192327[Team 2],$CU15,tblActuals35415192327[Team 1],DA$3)+SUMIFS(tblActuals35415192327[Team 1 Points],tblActuals35415192327[Team 1],$CU15,tblActuals35415192327[Team 2],DA$3)</f>
        <v>0</v>
      </c>
      <c r="DB15" s="56">
        <f>SUMIFS(tblActuals35415192327[Team 2 Points],tblActuals35415192327[Team 2],$CU15,tblActuals35415192327[Team 1],DB$3)+SUMIFS(tblActuals35415192327[Team 1 Points],tblActuals35415192327[Team 1],$CU15,tblActuals35415192327[Team 2],DB$3)</f>
        <v>0</v>
      </c>
      <c r="DC15" s="56">
        <f>SUMIFS(tblActuals35415192327[Team 2 Points],tblActuals35415192327[Team 2],$CU15,tblActuals35415192327[Team 1],DC$3)+SUMIFS(tblActuals35415192327[Team 1 Points],tblActuals35415192327[Team 1],$CU15,tblActuals35415192327[Team 2],DC$3)</f>
        <v>0</v>
      </c>
      <c r="DD15" s="56">
        <f>SUMIFS(tblActuals35415192327[Team 2 Points],tblActuals35415192327[Team 2],$CU15,tblActuals35415192327[Team 1],DD$3)+SUMIFS(tblActuals35415192327[Team 1 Points],tblActuals35415192327[Team 1],$CU15,tblActuals35415192327[Team 2],DD$3)</f>
        <v>0</v>
      </c>
      <c r="DE15" s="56">
        <f>SUMIFS(tblActuals35415192327[Team 2 Points],tblActuals35415192327[Team 2],$CU15,tblActuals35415192327[Team 1],DE$3)+SUMIFS(tblActuals35415192327[Team 1 Points],tblActuals35415192327[Team 1],$CU15,tblActuals35415192327[Team 2],DE$3)</f>
        <v>0</v>
      </c>
      <c r="DF15" s="56">
        <f>SUMIFS(tblActuals35415192327[Team 2 Points],tblActuals35415192327[Team 2],$CU15,tblActuals35415192327[Team 1],DF$3)+SUMIFS(tblActuals35415192327[Team 1 Points],tblActuals35415192327[Team 1],$CU15,tblActuals35415192327[Team 2],DF$3)</f>
        <v>0</v>
      </c>
      <c r="DG15" s="56">
        <f>SUMIFS(tblActuals35415192327[Team 2 Points],tblActuals35415192327[Team 2],$CU15,tblActuals35415192327[Team 1],DG$3)+SUMIFS(tblActuals35415192327[Team 1 Points],tblActuals35415192327[Team 1],$CU15,tblActuals35415192327[Team 2],DG$3)</f>
        <v>0</v>
      </c>
      <c r="DH15" s="56">
        <f>SUMIFS(tblActuals35415192327[Team 2 Points],tblActuals35415192327[Team 2],$CU15,tblActuals35415192327[Team 1],DH$3)+SUMIFS(tblActuals35415192327[Team 1 Points],tblActuals35415192327[Team 1],$CU15,tblActuals35415192327[Team 2],DH$3)</f>
        <v>0</v>
      </c>
      <c r="DI15" s="56">
        <f>SUMIFS(tblActuals35415192327[Team 2 Points],tblActuals35415192327[Team 2],$CU15,tblActuals35415192327[Team 1],DI$3)+SUMIFS(tblActuals35415192327[Team 1 Points],tblActuals35415192327[Team 1],$CU15,tblActuals35415192327[Team 2],DI$3)</f>
        <v>0</v>
      </c>
      <c r="DJ15" s="56">
        <f>SUMIFS(tblActuals35415192327[Team 2 Points],tblActuals35415192327[Team 2],$CU15,tblActuals35415192327[Team 1],DJ$3)+SUMIFS(tblActuals35415192327[Team 1 Points],tblActuals35415192327[Team 1],$CU15,tblActuals35415192327[Team 2],DJ$3)</f>
        <v>0</v>
      </c>
      <c r="DK15" s="56">
        <f>SUMIFS(tblActuals35415192327[Team 2 Points],tblActuals35415192327[Team 2],$CU15,tblActuals35415192327[Team 1],DK$3)+SUMIFS(tblActuals35415192327[Team 1 Points],tblActuals35415192327[Team 1],$CU15,tblActuals35415192327[Team 2],DK$3)</f>
        <v>0</v>
      </c>
      <c r="DL15" s="56">
        <f>SUMIFS(tblActuals35415192327[Team 2 Points],tblActuals35415192327[Team 2],$CU15,tblActuals35415192327[Team 1],DL$3)+SUMIFS(tblActuals35415192327[Team 1 Points],tblActuals35415192327[Team 1],$CU15,tblActuals35415192327[Team 2],DL$3)</f>
        <v>0</v>
      </c>
      <c r="DM15" s="56">
        <f>SUMIFS(tblActuals35415192327[Team 2 Points],tblActuals35415192327[Team 2],$CU15,tblActuals35415192327[Team 1],DM$3)+SUMIFS(tblActuals35415192327[Team 1 Points],tblActuals35415192327[Team 1],$CU15,tblActuals35415192327[Team 2],DM$3)</f>
        <v>0</v>
      </c>
      <c r="DN15" s="56">
        <f>SUMIFS(tblActuals35415192327[Team 2 Points],tblActuals35415192327[Team 2],$CU15,tblActuals35415192327[Team 1],DN$3)+SUMIFS(tblActuals35415192327[Team 1 Points],tblActuals35415192327[Team 1],$CU15,tblActuals35415192327[Team 2],DN$3)</f>
        <v>0</v>
      </c>
      <c r="DO15" s="56">
        <f>SUMIFS(tblActuals35415192327[Team 2 Points],tblActuals35415192327[Team 2],$CU15,tblActuals35415192327[Team 1],DO$3)+SUMIFS(tblActuals35415192327[Team 1 Points],tblActuals35415192327[Team 1],$CU15,tblActuals35415192327[Team 2],DO$3)</f>
        <v>0</v>
      </c>
      <c r="DP15" s="56">
        <f>SUMIFS(tblActuals35415192327[Team 2 Points],tblActuals35415192327[Team 2],$CU15,tblActuals35415192327[Team 1],DP$3)+SUMIFS(tblActuals35415192327[Team 1 Points],tblActuals35415192327[Team 1],$CU15,tblActuals35415192327[Team 2],DP$3)</f>
        <v>0</v>
      </c>
      <c r="DQ15" s="56">
        <f>SUMIFS(tblActuals35415192327[Team 2 Points],tblActuals35415192327[Team 2],$CU15,tblActuals35415192327[Team 1],DQ$3)+SUMIFS(tblActuals35415192327[Team 1 Points],tblActuals35415192327[Team 1],$CU15,tblActuals35415192327[Team 2],DQ$3)</f>
        <v>0</v>
      </c>
      <c r="DR15" s="56">
        <f>SUMIFS(tblActuals35415192327[Team 2 Points],tblActuals35415192327[Team 2],$CU15,tblActuals35415192327[Team 1],DR$3)+SUMIFS(tblActuals35415192327[Team 1 Points],tblActuals35415192327[Team 1],$CU15,tblActuals35415192327[Team 2],DR$3)</f>
        <v>0</v>
      </c>
      <c r="DS15" s="56">
        <f>SUMIFS(tblActuals35415192327[Team 2 Points],tblActuals35415192327[Team 2],$CU15,tblActuals35415192327[Team 1],DS$3)+SUMIFS(tblActuals35415192327[Team 1 Points],tblActuals35415192327[Team 1],$CU15,tblActuals35415192327[Team 2],DS$3)</f>
        <v>0</v>
      </c>
      <c r="DT15" s="57"/>
      <c r="DU15" s="57"/>
      <c r="DV15" s="57"/>
      <c r="DW15" s="57"/>
      <c r="DX15" s="57"/>
      <c r="DY15" s="57"/>
      <c r="DZ15" s="57"/>
      <c r="EA15" s="57"/>
      <c r="EB15" s="4"/>
      <c r="EC15" s="4" t="s">
        <v>24</v>
      </c>
      <c r="ED15" s="56">
        <f>SUMIFS(tblActuals35415192327[Team 2 GD],tblActuals35415192327[Team 2],$CU15,tblActuals35415192327[Team 1],ED$3)+SUMIFS(tblActuals35415192327[Team 1 GD],tblActuals35415192327[Team 1],$CU15,tblActuals35415192327[Team 2],ED$3)</f>
        <v>0</v>
      </c>
      <c r="EE15" s="56">
        <f>SUMIFS(tblActuals35415192327[Team 2 GD],tblActuals35415192327[Team 2],$CU15,tblActuals35415192327[Team 1],EE$3)+SUMIFS(tblActuals35415192327[Team 1 GD],tblActuals35415192327[Team 1],$CU15,tblActuals35415192327[Team 2],EE$3)</f>
        <v>0</v>
      </c>
      <c r="EF15" s="56">
        <f>SUMIFS(tblActuals35415192327[Team 2 GD],tblActuals35415192327[Team 2],$CU15,tblActuals35415192327[Team 1],EF$3)+SUMIFS(tblActuals35415192327[Team 1 GD],tblActuals35415192327[Team 1],$CU15,tblActuals35415192327[Team 2],EF$3)</f>
        <v>0</v>
      </c>
      <c r="EG15" s="56">
        <f>SUMIFS(tblActuals35415192327[Team 2 GD],tblActuals35415192327[Team 2],$CU15,tblActuals35415192327[Team 1],EG$3)+SUMIFS(tblActuals35415192327[Team 1 GD],tblActuals35415192327[Team 1],$CU15,tblActuals35415192327[Team 2],EG$3)</f>
        <v>0</v>
      </c>
      <c r="EH15" s="56">
        <f>SUMIFS(tblActuals35415192327[Team 2 GD],tblActuals35415192327[Team 2],$CU15,tblActuals35415192327[Team 1],EH$3)+SUMIFS(tblActuals35415192327[Team 1 GD],tblActuals35415192327[Team 1],$CU15,tblActuals35415192327[Team 2],EH$3)</f>
        <v>0</v>
      </c>
      <c r="EI15" s="56">
        <f>SUMIFS(tblActuals35415192327[Team 2 GD],tblActuals35415192327[Team 2],$CU15,tblActuals35415192327[Team 1],EI$3)+SUMIFS(tblActuals35415192327[Team 1 GD],tblActuals35415192327[Team 1],$CU15,tblActuals35415192327[Team 2],EI$3)</f>
        <v>0</v>
      </c>
      <c r="EJ15" s="56">
        <f>SUMIFS(tblActuals35415192327[Team 2 GD],tblActuals35415192327[Team 2],$CU15,tblActuals35415192327[Team 1],EJ$3)+SUMIFS(tblActuals35415192327[Team 1 GD],tblActuals35415192327[Team 1],$CU15,tblActuals35415192327[Team 2],EJ$3)</f>
        <v>0</v>
      </c>
      <c r="EK15" s="56">
        <f>SUMIFS(tblActuals35415192327[Team 2 GD],tblActuals35415192327[Team 2],$CU15,tblActuals35415192327[Team 1],EK$3)+SUMIFS(tblActuals35415192327[Team 1 GD],tblActuals35415192327[Team 1],$CU15,tblActuals35415192327[Team 2],EK$3)</f>
        <v>0</v>
      </c>
      <c r="EL15" s="56">
        <f>SUMIFS(tblActuals35415192327[Team 2 GD],tblActuals35415192327[Team 2],$CU15,tblActuals35415192327[Team 1],EL$3)+SUMIFS(tblActuals35415192327[Team 1 GD],tblActuals35415192327[Team 1],$CU15,tblActuals35415192327[Team 2],EL$3)</f>
        <v>0</v>
      </c>
      <c r="EM15" s="56">
        <f>SUMIFS(tblActuals35415192327[Team 2 GD],tblActuals35415192327[Team 2],$CU15,tblActuals35415192327[Team 1],EM$3)+SUMIFS(tblActuals35415192327[Team 1 GD],tblActuals35415192327[Team 1],$CU15,tblActuals35415192327[Team 2],EM$3)</f>
        <v>0</v>
      </c>
      <c r="EN15" s="56">
        <f>SUMIFS(tblActuals35415192327[Team 2 GD],tblActuals35415192327[Team 2],$CU15,tblActuals35415192327[Team 1],EN$3)+SUMIFS(tblActuals35415192327[Team 1 GD],tblActuals35415192327[Team 1],$CU15,tblActuals35415192327[Team 2],EN$3)</f>
        <v>0</v>
      </c>
      <c r="EO15" s="56">
        <f>SUMIFS(tblActuals35415192327[Team 2 GD],tblActuals35415192327[Team 2],$CU15,tblActuals35415192327[Team 1],EO$3)+SUMIFS(tblActuals35415192327[Team 1 GD],tblActuals35415192327[Team 1],$CU15,tblActuals35415192327[Team 2],EO$3)</f>
        <v>0</v>
      </c>
      <c r="EP15" s="56">
        <f>SUMIFS(tblActuals35415192327[Team 2 GD],tblActuals35415192327[Team 2],$CU15,tblActuals35415192327[Team 1],EP$3)+SUMIFS(tblActuals35415192327[Team 1 GD],tblActuals35415192327[Team 1],$CU15,tblActuals35415192327[Team 2],EP$3)</f>
        <v>0</v>
      </c>
      <c r="EQ15" s="56">
        <f>SUMIFS(tblActuals35415192327[Team 2 GD],tblActuals35415192327[Team 2],$CU15,tblActuals35415192327[Team 1],EQ$3)+SUMIFS(tblActuals35415192327[Team 1 GD],tblActuals35415192327[Team 1],$CU15,tblActuals35415192327[Team 2],EQ$3)</f>
        <v>0</v>
      </c>
      <c r="ER15" s="56">
        <f>SUMIFS(tblActuals35415192327[Team 2 GD],tblActuals35415192327[Team 2],$CU15,tblActuals35415192327[Team 1],ER$3)+SUMIFS(tblActuals35415192327[Team 1 GD],tblActuals35415192327[Team 1],$CU15,tblActuals35415192327[Team 2],ER$3)</f>
        <v>0</v>
      </c>
      <c r="ES15" s="56">
        <f>SUMIFS(tblActuals35415192327[Team 2 GD],tblActuals35415192327[Team 2],$CU15,tblActuals35415192327[Team 1],ES$3)+SUMIFS(tblActuals35415192327[Team 1 GD],tblActuals35415192327[Team 1],$CU15,tblActuals35415192327[Team 2],ES$3)</f>
        <v>0</v>
      </c>
      <c r="ET15" s="56">
        <f>SUMIFS(tblActuals35415192327[Team 2 GD],tblActuals35415192327[Team 2],$CU15,tblActuals35415192327[Team 1],ET$3)+SUMIFS(tblActuals35415192327[Team 1 GD],tblActuals35415192327[Team 1],$CU15,tblActuals35415192327[Team 2],ET$3)</f>
        <v>0</v>
      </c>
      <c r="EU15" s="56">
        <f>SUMIFS(tblActuals35415192327[Team 2 GD],tblActuals35415192327[Team 2],$CU15,tblActuals35415192327[Team 1],EU$3)+SUMIFS(tblActuals35415192327[Team 1 GD],tblActuals35415192327[Team 1],$CU15,tblActuals35415192327[Team 2],EU$3)</f>
        <v>0</v>
      </c>
      <c r="EV15" s="56">
        <f>SUMIFS(tblActuals35415192327[Team 2 GD],tblActuals35415192327[Team 2],$CU15,tblActuals35415192327[Team 1],EV$3)+SUMIFS(tblActuals35415192327[Team 1 GD],tblActuals35415192327[Team 1],$CU15,tblActuals35415192327[Team 2],EV$3)</f>
        <v>0</v>
      </c>
      <c r="EW15" s="56">
        <f>SUMIFS(tblActuals35415192327[Team 2 GD],tblActuals35415192327[Team 2],$CU15,tblActuals35415192327[Team 1],EW$3)+SUMIFS(tblActuals35415192327[Team 1 GD],tblActuals35415192327[Team 1],$CU15,tblActuals35415192327[Team 2],EW$3)</f>
        <v>0</v>
      </c>
      <c r="EX15" s="56">
        <f>SUMIFS(tblActuals35415192327[Team 2 GD],tblActuals35415192327[Team 2],$CU15,tblActuals35415192327[Team 1],EX$3)+SUMIFS(tblActuals35415192327[Team 1 GD],tblActuals35415192327[Team 1],$CU15,tblActuals35415192327[Team 2],EX$3)</f>
        <v>0</v>
      </c>
      <c r="EY15" s="56">
        <f>SUMIFS(tblActuals35415192327[Team 2 GD],tblActuals35415192327[Team 2],$CU15,tblActuals35415192327[Team 1],EY$3)+SUMIFS(tblActuals35415192327[Team 1 GD],tblActuals35415192327[Team 1],$CU15,tblActuals35415192327[Team 2],EY$3)</f>
        <v>0</v>
      </c>
      <c r="EZ15" s="56">
        <f>SUMIFS(tblActuals35415192327[Team 2 GD],tblActuals35415192327[Team 2],$CU15,tblActuals35415192327[Team 1],EZ$3)+SUMIFS(tblActuals35415192327[Team 1 GD],tblActuals35415192327[Team 1],$CU15,tblActuals35415192327[Team 2],EZ$3)</f>
        <v>0</v>
      </c>
      <c r="FA15" s="56">
        <f>SUMIFS(tblActuals35415192327[Team 2 GD],tblActuals35415192327[Team 2],$CU15,tblActuals35415192327[Team 1],FA$3)+SUMIFS(tblActuals35415192327[Team 1 GD],tblActuals35415192327[Team 1],$CU15,tblActuals35415192327[Team 2],FA$3)</f>
        <v>0</v>
      </c>
      <c r="FB15" s="57"/>
      <c r="FC15" s="57"/>
      <c r="FD15" s="57"/>
      <c r="FE15" s="57"/>
      <c r="FF15" s="57"/>
      <c r="FG15" s="57"/>
      <c r="FH15" s="57"/>
      <c r="FI15" s="57"/>
      <c r="FJ15" s="4"/>
      <c r="FK15" s="4" t="s">
        <v>24</v>
      </c>
      <c r="FL15" s="56">
        <f>SUMIFS(tblActuals35415192327[Team 2 Goals],tblActuals35415192327[Team 2],$CU15,tblActuals35415192327[Team 1],FL$3)+SUMIFS(tblActuals35415192327[Team 1 Goals],tblActuals35415192327[Team 1],$CU15,tblActuals35415192327[Team 2],FL$3)</f>
        <v>0</v>
      </c>
      <c r="FM15" s="56">
        <f>SUMIFS(tblActuals35415192327[Team 2 Goals],tblActuals35415192327[Team 2],$CU15,tblActuals35415192327[Team 1],FM$3)+SUMIFS(tblActuals35415192327[Team 1 Goals],tblActuals35415192327[Team 1],$CU15,tblActuals35415192327[Team 2],FM$3)</f>
        <v>0</v>
      </c>
      <c r="FN15" s="56">
        <f>SUMIFS(tblActuals35415192327[Team 2 Goals],tblActuals35415192327[Team 2],$CU15,tblActuals35415192327[Team 1],FN$3)+SUMIFS(tblActuals35415192327[Team 1 Goals],tblActuals35415192327[Team 1],$CU15,tblActuals35415192327[Team 2],FN$3)</f>
        <v>0</v>
      </c>
      <c r="FO15" s="56">
        <f>SUMIFS(tblActuals35415192327[Team 2 Goals],tblActuals35415192327[Team 2],$CU15,tblActuals35415192327[Team 1],FO$3)+SUMIFS(tblActuals35415192327[Team 1 Goals],tblActuals35415192327[Team 1],$CU15,tblActuals35415192327[Team 2],FO$3)</f>
        <v>0</v>
      </c>
      <c r="FP15" s="56">
        <f>SUMIFS(tblActuals35415192327[Team 2 Goals],tblActuals35415192327[Team 2],$CU15,tblActuals35415192327[Team 1],FP$3)+SUMIFS(tblActuals35415192327[Team 1 Goals],tblActuals35415192327[Team 1],$CU15,tblActuals35415192327[Team 2],FP$3)</f>
        <v>0</v>
      </c>
      <c r="FQ15" s="56">
        <f>SUMIFS(tblActuals35415192327[Team 2 Goals],tblActuals35415192327[Team 2],$CU15,tblActuals35415192327[Team 1],FQ$3)+SUMIFS(tblActuals35415192327[Team 1 Goals],tblActuals35415192327[Team 1],$CU15,tblActuals35415192327[Team 2],FQ$3)</f>
        <v>0</v>
      </c>
      <c r="FR15" s="56">
        <f>SUMIFS(tblActuals35415192327[Team 2 Goals],tblActuals35415192327[Team 2],$CU15,tblActuals35415192327[Team 1],FR$3)+SUMIFS(tblActuals35415192327[Team 1 Goals],tblActuals35415192327[Team 1],$CU15,tblActuals35415192327[Team 2],FR$3)</f>
        <v>0</v>
      </c>
      <c r="FS15" s="56">
        <f>SUMIFS(tblActuals35415192327[Team 2 Goals],tblActuals35415192327[Team 2],$CU15,tblActuals35415192327[Team 1],FS$3)+SUMIFS(tblActuals35415192327[Team 1 Goals],tblActuals35415192327[Team 1],$CU15,tblActuals35415192327[Team 2],FS$3)</f>
        <v>0</v>
      </c>
      <c r="FT15" s="56">
        <f>SUMIFS(tblActuals35415192327[Team 2 Goals],tblActuals35415192327[Team 2],$CU15,tblActuals35415192327[Team 1],FT$3)+SUMIFS(tblActuals35415192327[Team 1 Goals],tblActuals35415192327[Team 1],$CU15,tblActuals35415192327[Team 2],FT$3)</f>
        <v>0</v>
      </c>
      <c r="FU15" s="56">
        <f>SUMIFS(tblActuals35415192327[Team 2 Goals],tblActuals35415192327[Team 2],$CU15,tblActuals35415192327[Team 1],FU$3)+SUMIFS(tblActuals35415192327[Team 1 Goals],tblActuals35415192327[Team 1],$CU15,tblActuals35415192327[Team 2],FU$3)</f>
        <v>0</v>
      </c>
      <c r="FV15" s="56">
        <f>SUMIFS(tblActuals35415192327[Team 2 Goals],tblActuals35415192327[Team 2],$CU15,tblActuals35415192327[Team 1],FV$3)+SUMIFS(tblActuals35415192327[Team 1 Goals],tblActuals35415192327[Team 1],$CU15,tblActuals35415192327[Team 2],FV$3)</f>
        <v>0</v>
      </c>
      <c r="FW15" s="56">
        <f>SUMIFS(tblActuals35415192327[Team 2 Goals],tblActuals35415192327[Team 2],$CU15,tblActuals35415192327[Team 1],FW$3)+SUMIFS(tblActuals35415192327[Team 1 Goals],tblActuals35415192327[Team 1],$CU15,tblActuals35415192327[Team 2],FW$3)</f>
        <v>0</v>
      </c>
      <c r="FX15" s="56">
        <f>SUMIFS(tblActuals35415192327[Team 2 Goals],tblActuals35415192327[Team 2],$CU15,tblActuals35415192327[Team 1],FX$3)+SUMIFS(tblActuals35415192327[Team 1 Goals],tblActuals35415192327[Team 1],$CU15,tblActuals35415192327[Team 2],FX$3)</f>
        <v>0</v>
      </c>
      <c r="FY15" s="56">
        <f>SUMIFS(tblActuals35415192327[Team 2 Goals],tblActuals35415192327[Team 2],$CU15,tblActuals35415192327[Team 1],FY$3)+SUMIFS(tblActuals35415192327[Team 1 Goals],tblActuals35415192327[Team 1],$CU15,tblActuals35415192327[Team 2],FY$3)</f>
        <v>0</v>
      </c>
      <c r="FZ15" s="56">
        <f>SUMIFS(tblActuals35415192327[Team 2 Goals],tblActuals35415192327[Team 2],$CU15,tblActuals35415192327[Team 1],FZ$3)+SUMIFS(tblActuals35415192327[Team 1 Goals],tblActuals35415192327[Team 1],$CU15,tblActuals35415192327[Team 2],FZ$3)</f>
        <v>0</v>
      </c>
      <c r="GA15" s="56">
        <f>SUMIFS(tblActuals35415192327[Team 2 Goals],tblActuals35415192327[Team 2],$CU15,tblActuals35415192327[Team 1],GA$3)+SUMIFS(tblActuals35415192327[Team 1 Goals],tblActuals35415192327[Team 1],$CU15,tblActuals35415192327[Team 2],GA$3)</f>
        <v>0</v>
      </c>
      <c r="GB15" s="56">
        <f>SUMIFS(tblActuals35415192327[Team 2 Goals],tblActuals35415192327[Team 2],$CU15,tblActuals35415192327[Team 1],GB$3)+SUMIFS(tblActuals35415192327[Team 1 Goals],tblActuals35415192327[Team 1],$CU15,tblActuals35415192327[Team 2],GB$3)</f>
        <v>0</v>
      </c>
      <c r="GC15" s="56">
        <f>SUMIFS(tblActuals35415192327[Team 2 Goals],tblActuals35415192327[Team 2],$CU15,tblActuals35415192327[Team 1],GC$3)+SUMIFS(tblActuals35415192327[Team 1 Goals],tblActuals35415192327[Team 1],$CU15,tblActuals35415192327[Team 2],GC$3)</f>
        <v>0</v>
      </c>
      <c r="GD15" s="56">
        <f>SUMIFS(tblActuals35415192327[Team 2 Goals],tblActuals35415192327[Team 2],$CU15,tblActuals35415192327[Team 1],GD$3)+SUMIFS(tblActuals35415192327[Team 1 Goals],tblActuals35415192327[Team 1],$CU15,tblActuals35415192327[Team 2],GD$3)</f>
        <v>0</v>
      </c>
      <c r="GE15" s="56">
        <f>SUMIFS(tblActuals35415192327[Team 2 Goals],tblActuals35415192327[Team 2],$CU15,tblActuals35415192327[Team 1],GE$3)+SUMIFS(tblActuals35415192327[Team 1 Goals],tblActuals35415192327[Team 1],$CU15,tblActuals35415192327[Team 2],GE$3)</f>
        <v>0</v>
      </c>
      <c r="GF15" s="56">
        <f>SUMIFS(tblActuals35415192327[Team 2 Goals],tblActuals35415192327[Team 2],$CU15,tblActuals35415192327[Team 1],GF$3)+SUMIFS(tblActuals35415192327[Team 1 Goals],tblActuals35415192327[Team 1],$CU15,tblActuals35415192327[Team 2],GF$3)</f>
        <v>0</v>
      </c>
      <c r="GG15" s="56">
        <f>SUMIFS(tblActuals35415192327[Team 2 Goals],tblActuals35415192327[Team 2],$CU15,tblActuals35415192327[Team 1],GG$3)+SUMIFS(tblActuals35415192327[Team 1 Goals],tblActuals35415192327[Team 1],$CU15,tblActuals35415192327[Team 2],GG$3)</f>
        <v>0</v>
      </c>
      <c r="GH15" s="56">
        <f>SUMIFS(tblActuals35415192327[Team 2 Goals],tblActuals35415192327[Team 2],$CU15,tblActuals35415192327[Team 1],GH$3)+SUMIFS(tblActuals35415192327[Team 1 Goals],tblActuals35415192327[Team 1],$CU15,tblActuals35415192327[Team 2],GH$3)</f>
        <v>0</v>
      </c>
      <c r="GI15" s="56">
        <f>SUMIFS(tblActuals35415192327[Team 2 Goals],tblActuals35415192327[Team 2],$CU15,tblActuals35415192327[Team 1],GI$3)+SUMIFS(tblActuals35415192327[Team 1 Goals],tblActuals35415192327[Team 1],$CU15,tblActuals35415192327[Team 2],GI$3)</f>
        <v>0</v>
      </c>
      <c r="GJ15" s="57"/>
      <c r="GK15" s="57"/>
      <c r="GL15" s="37"/>
      <c r="GM15" s="37"/>
      <c r="GN15" s="37"/>
      <c r="GO15" s="37"/>
      <c r="GP15" s="37"/>
      <c r="GQ15" s="37"/>
      <c r="GR15" s="75"/>
      <c r="GS15" s="156"/>
      <c r="GT15" s="156"/>
      <c r="GU15" s="75"/>
      <c r="GV15" s="75"/>
      <c r="GW15" s="75"/>
      <c r="GX15" s="75"/>
      <c r="GY15" s="75"/>
      <c r="GZ15" s="75"/>
      <c r="HB15" s="4" t="str">
        <f t="shared" si="12"/>
        <v>BCDE</v>
      </c>
      <c r="HC15" s="45"/>
      <c r="HD15" s="44" t="s">
        <v>5</v>
      </c>
      <c r="HE15" s="44" t="s">
        <v>6</v>
      </c>
      <c r="HF15" s="44" t="s">
        <v>7</v>
      </c>
      <c r="HG15" s="44" t="s">
        <v>12</v>
      </c>
      <c r="HH15" s="45"/>
      <c r="HI15" s="178"/>
      <c r="HJ15" s="45" t="s">
        <v>153</v>
      </c>
      <c r="HK15" s="45" t="s">
        <v>150</v>
      </c>
      <c r="HL15" s="45" t="s">
        <v>151</v>
      </c>
      <c r="HM15" s="45" t="s">
        <v>152</v>
      </c>
    </row>
    <row r="16" spans="1:221" s="11" customFormat="1" ht="30" customHeight="1" thickBot="1" x14ac:dyDescent="0.3">
      <c r="A16" s="20"/>
      <c r="B16" s="122">
        <v>13</v>
      </c>
      <c r="C16" s="122" t="s">
        <v>1</v>
      </c>
      <c r="D16" s="123">
        <v>45462</v>
      </c>
      <c r="E16" s="122" t="s">
        <v>79</v>
      </c>
      <c r="F16" s="124">
        <v>0.875</v>
      </c>
      <c r="G16" s="125">
        <f t="shared" si="11"/>
        <v>45462.625</v>
      </c>
      <c r="H16" s="122" t="s">
        <v>101</v>
      </c>
      <c r="I16" s="126"/>
      <c r="J16" s="118"/>
      <c r="K16" s="118"/>
      <c r="L16" s="174">
        <f>IF(I16="",0,IFERROR(IF(SCORING.RULES!$C$8="No",1,((VLOOKUP($B16,ACTUALS!$B$4:$L$100,7,FALSE)=$H16)+(VLOOKUP($B16,ACTUALS!$B$4:$L$100,7,FALSE)=S16)))*(M16+N16+O16+P16+Q16),0))+$R16</f>
        <v>0</v>
      </c>
      <c r="M16" s="168">
        <f>IFERROR(IF($B16="","",IF(U16=INDEX(ACTUALS!$AA$4:$AA$100,MATCH($B16,ACTUALS!$B$4:$B$100,0),1),CorrectScore,0)),0)</f>
        <v>0</v>
      </c>
      <c r="N16" s="157" t="str">
        <f>IFERROR(IF(I16="","",IF(INDEX(ACTUALS!$AB$4:$AB$100,MATCH($B16,ACTUALS!$B$4:$B$100,0),1)=(AB16+AC16+AH16+AI16),CorrectNumberofGoals,0)),0)</f>
        <v/>
      </c>
      <c r="O16" s="157"/>
      <c r="P16" s="157">
        <f>IFERROR(IF(B16="","",IF(INDEX(ACTUALS!$L$4:$L$100,MATCH($B16,ACTUALS!$B$4:$B$100,0),1)=W16,CorrectResult,0)),0)</f>
        <v>3</v>
      </c>
      <c r="Q16" s="157"/>
      <c r="R16" s="157"/>
      <c r="S16" s="157" t="str">
        <f t="shared" si="0"/>
        <v/>
      </c>
      <c r="T16" s="157"/>
      <c r="U16" s="157" t="str">
        <f t="shared" si="1"/>
        <v/>
      </c>
      <c r="V16" s="157" t="str">
        <f t="shared" si="2"/>
        <v/>
      </c>
      <c r="W16" s="119" t="str">
        <f>IF(tblActuals35415192327[[#This Row],[SCORE]]="","",IF(AB16=AC16,"Draw",IF(AB16&gt;AC16,X16,Y16)))</f>
        <v/>
      </c>
      <c r="X16" s="120" t="str">
        <f>IF(tblActuals35415192327[[#This Row],[TEAMS]]="","",LEFT(H16,FIND(" -",H16,1)-1))</f>
        <v>Scotland</v>
      </c>
      <c r="Y16" s="120" t="str">
        <f>IF(tblActuals35415192327[[#This Row],[TEAMS]]="","",MID(H16,FIND("-",H16,1)+2,LEN(H16)-FIND("-",H16,1)+2))</f>
        <v>Switzerland</v>
      </c>
      <c r="Z16" s="120" t="str">
        <f>IF(tblActuals35415192327[[#This Row],[Team 1 Goals]]&gt;tblActuals35415192327[[#This Row],[Team 2 Goals]],tblActuals35415192327[[#This Row],[Team 1]],IF(tblActuals35415192327[[#This Row],[Team 2 Goals]]&gt;tblActuals35415192327[[#This Row],[Team 1 Goals]],tblActuals35415192327[[#This Row],[Team 2]],""))</f>
        <v/>
      </c>
      <c r="AA16" s="120" t="str">
        <f>IF(tblActuals35415192327[[#This Row],[Winner]]=tblActuals35415192327[[#This Row],[Team 1]],tblActuals35415192327[[#This Row],[Team 2]],IF(tblActuals35415192327[[#This Row],[Winner]]=tblActuals35415192327[[#This Row],[Team 2]],tblActuals35415192327[[#This Row],[Team 1]],""))</f>
        <v/>
      </c>
      <c r="AB16" s="120" t="str">
        <f>IF(tblActuals35415192327[[#This Row],[SCORE]]="","",LEFT(I16,FIND(":",I16,1)-1)*1)</f>
        <v/>
      </c>
      <c r="AC16" s="120" t="str">
        <f>IF(tblActuals35415192327[[#This Row],[SCORE]]="","",MID(I16,FIND(":",I16,1)+1,LEN(I16)-FIND(":",I16,1)+1)*1)</f>
        <v/>
      </c>
      <c r="AD16" s="120" t="str">
        <f>IF(OR(tblActuals35415192327[[#This Row],[Team 1 Goals]]="",tblActuals35415192327[[#This Row],[Team 2 Goals]]=""),"",tblActuals35415192327[[#This Row],[Team 1 Goals]]-tblActuals35415192327[[#This Row],[Team 2 Goals]])</f>
        <v/>
      </c>
      <c r="AE16" s="120" t="str">
        <f>IF(OR(tblActuals35415192327[[#This Row],[Team 1 Goals]]="",tblActuals35415192327[[#This Row],[Team 2 Goals]]=""),"",tblActuals35415192327[[#This Row],[Team 2 Goals]]-tblActuals35415192327[[#This Row],[Team 1 Goals]])</f>
        <v/>
      </c>
      <c r="AF16" s="120" t="str">
        <f>IF(tblActuals35415192327[[#This Row],[SCORE]]="","",IF(tblActuals35415192327[[#This Row],[WINNER / RESULT]]="Draw",1,IF(tblActuals35415192327[[#This Row],[WINNER / RESULT]]=tblActuals35415192327[[#This Row],[Team 1]],3,0)))</f>
        <v/>
      </c>
      <c r="AG16" s="120" t="str">
        <f>IF(tblActuals35415192327[[#This Row],[SCORE]]="","",IF(tblActuals35415192327[[#This Row],[WINNER / RESULT]]="Draw",1,IF(tblActuals35415192327[[#This Row],[WINNER / RESULT]]=tblActuals35415192327[[#This Row],[Team 2]],3,0)))</f>
        <v/>
      </c>
      <c r="AH16" s="121"/>
      <c r="AI16" s="121"/>
      <c r="AJ16" s="121"/>
      <c r="AK16" s="121"/>
      <c r="AL16" s="120" t="e">
        <f>tblActuals35415192327[[#This Row],[Team 1 Goals]]+tblActuals35415192327[[#This Row],[Team 1 ET Goals]]&amp;":"&amp;tblActuals35415192327[[#This Row],[Team 2 Goals]]+tblActuals35415192327[[#This Row],[Team 2 ET Goals]]</f>
        <v>#VALUE!</v>
      </c>
      <c r="AM16" s="120" t="e">
        <f>+tblActuals35415192327[[#This Row],[Team 1 Goals]]+tblActuals35415192327[[#This Row],[Team 2 Goals]]</f>
        <v>#VALUE!</v>
      </c>
      <c r="AN16" s="161">
        <f t="shared" si="3"/>
        <v>45462</v>
      </c>
      <c r="AT16" s="77"/>
      <c r="AU16" s="148"/>
      <c r="AV16" s="148"/>
      <c r="AW16" s="148"/>
      <c r="AX16" s="148"/>
      <c r="AY16" s="148"/>
      <c r="AZ16" s="75"/>
      <c r="BA16" s="4"/>
      <c r="BB16" s="4"/>
      <c r="BC16" s="4" t="s">
        <v>6</v>
      </c>
      <c r="BD16" s="4" t="s">
        <v>34</v>
      </c>
      <c r="BE16" s="4">
        <f>COUNTIF(tblActuals35415192327[Winner],BD16)</f>
        <v>0</v>
      </c>
      <c r="BF16" s="4">
        <f>COUNTIFS(tblActuals35415192327[Team 2],BD16,tblActuals35415192327[WINNER / RESULT],"Draw")+COUNTIFS(tblActuals35415192327[Team 1],BD16,tblActuals35415192327[WINNER / RESULT],"Draw")</f>
        <v>0</v>
      </c>
      <c r="BG16" s="4">
        <f>COUNTIF(tblActuals35415192327[Loser],BD16)</f>
        <v>0</v>
      </c>
      <c r="BH16" s="4">
        <f>BF16+(3*BE16)</f>
        <v>0</v>
      </c>
      <c r="BI16" s="4">
        <f>SUMIFS(tblActuals35415192327[Team 1 Goals],tblActuals35415192327[Team 1],BD16)+SUMIFS(tblActuals35415192327[Team 2 Goals],tblActuals35415192327[Team 2],BD16)</f>
        <v>0</v>
      </c>
      <c r="BJ16" s="4">
        <f>SUMIFS(tblActuals35415192327[Team 2 Goals],tblActuals35415192327[Team 1],BD16)+SUMIFS(tblActuals35415192327[Team 1 Goals],tblActuals35415192327[Team 2],BD16)</f>
        <v>0</v>
      </c>
      <c r="BK16" s="4">
        <f>BI16-BJ16</f>
        <v>0</v>
      </c>
      <c r="BL16" s="4">
        <f ca="1">RANK(BY16,$BY$14:$BY$17,1)</f>
        <v>3</v>
      </c>
      <c r="BM16" s="4" t="str">
        <f t="shared" si="4"/>
        <v/>
      </c>
      <c r="BN16" s="4" t="str">
        <f ca="1">IF(BM16="",BL16&amp;BC16,BM16&amp;BC16)</f>
        <v>3C</v>
      </c>
      <c r="BO16" s="4">
        <f>RANK(BH16,$BH$14:$BH$17,0)</f>
        <v>1</v>
      </c>
      <c r="BP16" s="4" cm="1">
        <f t="array" aca="1" ref="BP16" ca="1">SUMPRODUCT((OFFSET($CV$3:$EA$3,MATCH($BD16,$CU$4:$CU$35,0),0))*((IF($BO14=$BO16,$CV$3:$EA$3=$BD14,0))+(IF($BO17=$BO16,$CV$3:$EA$3=$BD17,0))+(IF($BO15=$BO16,$CV$3:$EA$3=$BD15,0))))</f>
        <v>0</v>
      </c>
      <c r="BQ16" s="4" cm="1">
        <f t="array" aca="1" ref="BQ16" ca="1">SUMPRODUCT((OFFSET($ED$3:$FI$3,MATCH($BD16,$EC$4:$EC$35,0),0))*((IF($BO14=$BO16,$ED$3:$FI$3=$BD14,0))+(IF($BO17=$BO16,$ED$3:$FI$3=$BD17,0))+(IF($BO15=$BO16,$ED$3:$FI$3=$BD15,0))))</f>
        <v>0</v>
      </c>
      <c r="BR16" s="4" cm="1">
        <f t="array" aca="1" ref="BR16" ca="1">SUMPRODUCT((OFFSET($FL$3:$GQ$3,MATCH($BD16,$FK$4:$FK$35,0),0))*((IF($BO14=$BO16,$FL$3:$GQ$3=$BD14,0))+(IF($BO17=$BO16,$FL$3:$GQ$3=$BD17,0))+(IF($BO15=$BO16,$FL$3:$GQ$3=$BD15,0))))</f>
        <v>0</v>
      </c>
      <c r="BS16" s="4" cm="1">
        <f t="array" aca="1" ref="BS16" ca="1">SUMPRODUCT((OFFSET($CV$3:$EA$3,MATCH($BD16,$CU$4:$CU$35,0),0))*((IF($BO14&lt;&gt;$BO16,$CV$3:$EA$3=$BD14,0))+(IF($BO17&lt;&gt;$BO16,$CV$3:$EA$3=$BD17,0))+(IF($BO15&lt;&gt;$BO16,$CV$3:$EA$3=$BD15,0))))</f>
        <v>0</v>
      </c>
      <c r="BT16" s="4" cm="1">
        <f t="array" aca="1" ref="BT16" ca="1">SUMPRODUCT((OFFSET($ED$3:$FI$3,MATCH($BD16,$EC$4:$EC$35,0),0))*((IF($BO14&lt;&gt;$BO16,$ED$3:$FI$3=$BD14,0))+(IF($BO17&lt;&gt;$BO16,$ED$3:$FI$3=$BD17,0))+(IF($BO15&lt;&gt;$BO16,$ED$3:$FI$3=$BD15,0))))</f>
        <v>0</v>
      </c>
      <c r="BU16" s="4" cm="1">
        <f t="array" aca="1" ref="BU16" ca="1">SUMPRODUCT((OFFSET($FL$3:$GQ$3,MATCH($BD16,$FK$4:$FK$35,0),0))*((IF($BO14&lt;&gt;$BO16,$FL$3:$GQ$3=$BD14,0))+(IF($BO17&lt;&gt;$BO16,$FL$3:$GQ$3=$BD17,0))+(IF($BO15&lt;&gt;$BO16,$FL$3:$GQ$3=$BD15,0))))</f>
        <v>0</v>
      </c>
      <c r="BV16" s="4">
        <f>BK16</f>
        <v>0</v>
      </c>
      <c r="BW16" s="4">
        <f>BI16</f>
        <v>0</v>
      </c>
      <c r="BX16" s="4">
        <f ca="1">(BP16/10)+(BQ16/100)+(BR16/1000)+(BT16/10000)+(BU16/100000)+(BV16/1000000)+(BW16/10000000)+(ROW(BS15)/100000000)</f>
        <v>1.4999999999999999E-7</v>
      </c>
      <c r="BY16" s="4">
        <f ca="1">+BO16-BX16</f>
        <v>0.99999985000000002</v>
      </c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U16" s="4" t="s">
        <v>32</v>
      </c>
      <c r="CV16" s="56">
        <f>SUMIFS(tblActuals35415192327[Team 2 Points],tblActuals35415192327[Team 2],$CU16,tblActuals35415192327[Team 1],CV$3)+SUMIFS(tblActuals35415192327[Team 1 Points],tblActuals35415192327[Team 1],$CU16,tblActuals35415192327[Team 2],CV$3)</f>
        <v>0</v>
      </c>
      <c r="CW16" s="56">
        <f>SUMIFS(tblActuals35415192327[Team 2 Points],tblActuals35415192327[Team 2],$CU16,tblActuals35415192327[Team 1],CW$3)+SUMIFS(tblActuals35415192327[Team 1 Points],tblActuals35415192327[Team 1],$CU16,tblActuals35415192327[Team 2],CW$3)</f>
        <v>0</v>
      </c>
      <c r="CX16" s="56">
        <f>SUMIFS(tblActuals35415192327[Team 2 Points],tblActuals35415192327[Team 2],$CU16,tblActuals35415192327[Team 1],CX$3)+SUMIFS(tblActuals35415192327[Team 1 Points],tblActuals35415192327[Team 1],$CU16,tblActuals35415192327[Team 2],CX$3)</f>
        <v>0</v>
      </c>
      <c r="CY16" s="56">
        <f>SUMIFS(tblActuals35415192327[Team 2 Points],tblActuals35415192327[Team 2],$CU16,tblActuals35415192327[Team 1],CY$3)+SUMIFS(tblActuals35415192327[Team 1 Points],tblActuals35415192327[Team 1],$CU16,tblActuals35415192327[Team 2],CY$3)</f>
        <v>0</v>
      </c>
      <c r="CZ16" s="56">
        <f>SUMIFS(tblActuals35415192327[Team 2 Points],tblActuals35415192327[Team 2],$CU16,tblActuals35415192327[Team 1],CZ$3)+SUMIFS(tblActuals35415192327[Team 1 Points],tblActuals35415192327[Team 1],$CU16,tblActuals35415192327[Team 2],CZ$3)</f>
        <v>0</v>
      </c>
      <c r="DA16" s="56">
        <f>SUMIFS(tblActuals35415192327[Team 2 Points],tblActuals35415192327[Team 2],$CU16,tblActuals35415192327[Team 1],DA$3)+SUMIFS(tblActuals35415192327[Team 1 Points],tblActuals35415192327[Team 1],$CU16,tblActuals35415192327[Team 2],DA$3)</f>
        <v>0</v>
      </c>
      <c r="DB16" s="56">
        <f>SUMIFS(tblActuals35415192327[Team 2 Points],tblActuals35415192327[Team 2],$CU16,tblActuals35415192327[Team 1],DB$3)+SUMIFS(tblActuals35415192327[Team 1 Points],tblActuals35415192327[Team 1],$CU16,tblActuals35415192327[Team 2],DB$3)</f>
        <v>0</v>
      </c>
      <c r="DC16" s="56">
        <f>SUMIFS(tblActuals35415192327[Team 2 Points],tblActuals35415192327[Team 2],$CU16,tblActuals35415192327[Team 1],DC$3)+SUMIFS(tblActuals35415192327[Team 1 Points],tblActuals35415192327[Team 1],$CU16,tblActuals35415192327[Team 2],DC$3)</f>
        <v>0</v>
      </c>
      <c r="DD16" s="56">
        <f>SUMIFS(tblActuals35415192327[Team 2 Points],tblActuals35415192327[Team 2],$CU16,tblActuals35415192327[Team 1],DD$3)+SUMIFS(tblActuals35415192327[Team 1 Points],tblActuals35415192327[Team 1],$CU16,tblActuals35415192327[Team 2],DD$3)</f>
        <v>0</v>
      </c>
      <c r="DE16" s="56">
        <f>SUMIFS(tblActuals35415192327[Team 2 Points],tblActuals35415192327[Team 2],$CU16,tblActuals35415192327[Team 1],DE$3)+SUMIFS(tblActuals35415192327[Team 1 Points],tblActuals35415192327[Team 1],$CU16,tblActuals35415192327[Team 2],DE$3)</f>
        <v>0</v>
      </c>
      <c r="DF16" s="56">
        <f>SUMIFS(tblActuals35415192327[Team 2 Points],tblActuals35415192327[Team 2],$CU16,tblActuals35415192327[Team 1],DF$3)+SUMIFS(tblActuals35415192327[Team 1 Points],tblActuals35415192327[Team 1],$CU16,tblActuals35415192327[Team 2],DF$3)</f>
        <v>0</v>
      </c>
      <c r="DG16" s="56">
        <f>SUMIFS(tblActuals35415192327[Team 2 Points],tblActuals35415192327[Team 2],$CU16,tblActuals35415192327[Team 1],DG$3)+SUMIFS(tblActuals35415192327[Team 1 Points],tblActuals35415192327[Team 1],$CU16,tblActuals35415192327[Team 2],DG$3)</f>
        <v>0</v>
      </c>
      <c r="DH16" s="56">
        <f>SUMIFS(tblActuals35415192327[Team 2 Points],tblActuals35415192327[Team 2],$CU16,tblActuals35415192327[Team 1],DH$3)+SUMIFS(tblActuals35415192327[Team 1 Points],tblActuals35415192327[Team 1],$CU16,tblActuals35415192327[Team 2],DH$3)</f>
        <v>0</v>
      </c>
      <c r="DI16" s="56">
        <f>SUMIFS(tblActuals35415192327[Team 2 Points],tblActuals35415192327[Team 2],$CU16,tblActuals35415192327[Team 1],DI$3)+SUMIFS(tblActuals35415192327[Team 1 Points],tblActuals35415192327[Team 1],$CU16,tblActuals35415192327[Team 2],DI$3)</f>
        <v>0</v>
      </c>
      <c r="DJ16" s="56">
        <f>SUMIFS(tblActuals35415192327[Team 2 Points],tblActuals35415192327[Team 2],$CU16,tblActuals35415192327[Team 1],DJ$3)+SUMIFS(tblActuals35415192327[Team 1 Points],tblActuals35415192327[Team 1],$CU16,tblActuals35415192327[Team 2],DJ$3)</f>
        <v>0</v>
      </c>
      <c r="DK16" s="56">
        <f>SUMIFS(tblActuals35415192327[Team 2 Points],tblActuals35415192327[Team 2],$CU16,tblActuals35415192327[Team 1],DK$3)+SUMIFS(tblActuals35415192327[Team 1 Points],tblActuals35415192327[Team 1],$CU16,tblActuals35415192327[Team 2],DK$3)</f>
        <v>0</v>
      </c>
      <c r="DL16" s="56">
        <f>SUMIFS(tblActuals35415192327[Team 2 Points],tblActuals35415192327[Team 2],$CU16,tblActuals35415192327[Team 1],DL$3)+SUMIFS(tblActuals35415192327[Team 1 Points],tblActuals35415192327[Team 1],$CU16,tblActuals35415192327[Team 2],DL$3)</f>
        <v>0</v>
      </c>
      <c r="DM16" s="56">
        <f>SUMIFS(tblActuals35415192327[Team 2 Points],tblActuals35415192327[Team 2],$CU16,tblActuals35415192327[Team 1],DM$3)+SUMIFS(tblActuals35415192327[Team 1 Points],tblActuals35415192327[Team 1],$CU16,tblActuals35415192327[Team 2],DM$3)</f>
        <v>0</v>
      </c>
      <c r="DN16" s="56">
        <f>SUMIFS(tblActuals35415192327[Team 2 Points],tblActuals35415192327[Team 2],$CU16,tblActuals35415192327[Team 1],DN$3)+SUMIFS(tblActuals35415192327[Team 1 Points],tblActuals35415192327[Team 1],$CU16,tblActuals35415192327[Team 2],DN$3)</f>
        <v>0</v>
      </c>
      <c r="DO16" s="56">
        <f>SUMIFS(tblActuals35415192327[Team 2 Points],tblActuals35415192327[Team 2],$CU16,tblActuals35415192327[Team 1],DO$3)+SUMIFS(tblActuals35415192327[Team 1 Points],tblActuals35415192327[Team 1],$CU16,tblActuals35415192327[Team 2],DO$3)</f>
        <v>0</v>
      </c>
      <c r="DP16" s="56">
        <f>SUMIFS(tblActuals35415192327[Team 2 Points],tblActuals35415192327[Team 2],$CU16,tblActuals35415192327[Team 1],DP$3)+SUMIFS(tblActuals35415192327[Team 1 Points],tblActuals35415192327[Team 1],$CU16,tblActuals35415192327[Team 2],DP$3)</f>
        <v>0</v>
      </c>
      <c r="DQ16" s="56">
        <f>SUMIFS(tblActuals35415192327[Team 2 Points],tblActuals35415192327[Team 2],$CU16,tblActuals35415192327[Team 1],DQ$3)+SUMIFS(tblActuals35415192327[Team 1 Points],tblActuals35415192327[Team 1],$CU16,tblActuals35415192327[Team 2],DQ$3)</f>
        <v>0</v>
      </c>
      <c r="DR16" s="56">
        <f>SUMIFS(tblActuals35415192327[Team 2 Points],tblActuals35415192327[Team 2],$CU16,tblActuals35415192327[Team 1],DR$3)+SUMIFS(tblActuals35415192327[Team 1 Points],tblActuals35415192327[Team 1],$CU16,tblActuals35415192327[Team 2],DR$3)</f>
        <v>0</v>
      </c>
      <c r="DS16" s="56">
        <f>SUMIFS(tblActuals35415192327[Team 2 Points],tblActuals35415192327[Team 2],$CU16,tblActuals35415192327[Team 1],DS$3)+SUMIFS(tblActuals35415192327[Team 1 Points],tblActuals35415192327[Team 1],$CU16,tblActuals35415192327[Team 2],DS$3)</f>
        <v>0</v>
      </c>
      <c r="DT16" s="57"/>
      <c r="DU16" s="57"/>
      <c r="DV16" s="57"/>
      <c r="DW16" s="57"/>
      <c r="DX16" s="57"/>
      <c r="DY16" s="57"/>
      <c r="DZ16" s="57"/>
      <c r="EA16" s="57"/>
      <c r="EB16" s="4"/>
      <c r="EC16" s="4" t="s">
        <v>32</v>
      </c>
      <c r="ED16" s="56">
        <f>SUMIFS(tblActuals35415192327[Team 2 GD],tblActuals35415192327[Team 2],$CU16,tblActuals35415192327[Team 1],ED$3)+SUMIFS(tblActuals35415192327[Team 1 GD],tblActuals35415192327[Team 1],$CU16,tblActuals35415192327[Team 2],ED$3)</f>
        <v>0</v>
      </c>
      <c r="EE16" s="56">
        <f>SUMIFS(tblActuals35415192327[Team 2 GD],tblActuals35415192327[Team 2],$CU16,tblActuals35415192327[Team 1],EE$3)+SUMIFS(tblActuals35415192327[Team 1 GD],tblActuals35415192327[Team 1],$CU16,tblActuals35415192327[Team 2],EE$3)</f>
        <v>0</v>
      </c>
      <c r="EF16" s="56">
        <f>SUMIFS(tblActuals35415192327[Team 2 GD],tblActuals35415192327[Team 2],$CU16,tblActuals35415192327[Team 1],EF$3)+SUMIFS(tblActuals35415192327[Team 1 GD],tblActuals35415192327[Team 1],$CU16,tblActuals35415192327[Team 2],EF$3)</f>
        <v>0</v>
      </c>
      <c r="EG16" s="56">
        <f>SUMIFS(tblActuals35415192327[Team 2 GD],tblActuals35415192327[Team 2],$CU16,tblActuals35415192327[Team 1],EG$3)+SUMIFS(tblActuals35415192327[Team 1 GD],tblActuals35415192327[Team 1],$CU16,tblActuals35415192327[Team 2],EG$3)</f>
        <v>0</v>
      </c>
      <c r="EH16" s="56">
        <f>SUMIFS(tblActuals35415192327[Team 2 GD],tblActuals35415192327[Team 2],$CU16,tblActuals35415192327[Team 1],EH$3)+SUMIFS(tblActuals35415192327[Team 1 GD],tblActuals35415192327[Team 1],$CU16,tblActuals35415192327[Team 2],EH$3)</f>
        <v>0</v>
      </c>
      <c r="EI16" s="56">
        <f>SUMIFS(tblActuals35415192327[Team 2 GD],tblActuals35415192327[Team 2],$CU16,tblActuals35415192327[Team 1],EI$3)+SUMIFS(tblActuals35415192327[Team 1 GD],tblActuals35415192327[Team 1],$CU16,tblActuals35415192327[Team 2],EI$3)</f>
        <v>0</v>
      </c>
      <c r="EJ16" s="56">
        <f>SUMIFS(tblActuals35415192327[Team 2 GD],tblActuals35415192327[Team 2],$CU16,tblActuals35415192327[Team 1],EJ$3)+SUMIFS(tblActuals35415192327[Team 1 GD],tblActuals35415192327[Team 1],$CU16,tblActuals35415192327[Team 2],EJ$3)</f>
        <v>0</v>
      </c>
      <c r="EK16" s="56">
        <f>SUMIFS(tblActuals35415192327[Team 2 GD],tblActuals35415192327[Team 2],$CU16,tblActuals35415192327[Team 1],EK$3)+SUMIFS(tblActuals35415192327[Team 1 GD],tblActuals35415192327[Team 1],$CU16,tblActuals35415192327[Team 2],EK$3)</f>
        <v>0</v>
      </c>
      <c r="EL16" s="56">
        <f>SUMIFS(tblActuals35415192327[Team 2 GD],tblActuals35415192327[Team 2],$CU16,tblActuals35415192327[Team 1],EL$3)+SUMIFS(tblActuals35415192327[Team 1 GD],tblActuals35415192327[Team 1],$CU16,tblActuals35415192327[Team 2],EL$3)</f>
        <v>0</v>
      </c>
      <c r="EM16" s="56">
        <f>SUMIFS(tblActuals35415192327[Team 2 GD],tblActuals35415192327[Team 2],$CU16,tblActuals35415192327[Team 1],EM$3)+SUMIFS(tblActuals35415192327[Team 1 GD],tblActuals35415192327[Team 1],$CU16,tblActuals35415192327[Team 2],EM$3)</f>
        <v>0</v>
      </c>
      <c r="EN16" s="56">
        <f>SUMIFS(tblActuals35415192327[Team 2 GD],tblActuals35415192327[Team 2],$CU16,tblActuals35415192327[Team 1],EN$3)+SUMIFS(tblActuals35415192327[Team 1 GD],tblActuals35415192327[Team 1],$CU16,tblActuals35415192327[Team 2],EN$3)</f>
        <v>0</v>
      </c>
      <c r="EO16" s="56">
        <f>SUMIFS(tblActuals35415192327[Team 2 GD],tblActuals35415192327[Team 2],$CU16,tblActuals35415192327[Team 1],EO$3)+SUMIFS(tblActuals35415192327[Team 1 GD],tblActuals35415192327[Team 1],$CU16,tblActuals35415192327[Team 2],EO$3)</f>
        <v>0</v>
      </c>
      <c r="EP16" s="56">
        <f>SUMIFS(tblActuals35415192327[Team 2 GD],tblActuals35415192327[Team 2],$CU16,tblActuals35415192327[Team 1],EP$3)+SUMIFS(tblActuals35415192327[Team 1 GD],tblActuals35415192327[Team 1],$CU16,tblActuals35415192327[Team 2],EP$3)</f>
        <v>0</v>
      </c>
      <c r="EQ16" s="56">
        <f>SUMIFS(tblActuals35415192327[Team 2 GD],tblActuals35415192327[Team 2],$CU16,tblActuals35415192327[Team 1],EQ$3)+SUMIFS(tblActuals35415192327[Team 1 GD],tblActuals35415192327[Team 1],$CU16,tblActuals35415192327[Team 2],EQ$3)</f>
        <v>0</v>
      </c>
      <c r="ER16" s="56">
        <f>SUMIFS(tblActuals35415192327[Team 2 GD],tblActuals35415192327[Team 2],$CU16,tblActuals35415192327[Team 1],ER$3)+SUMIFS(tblActuals35415192327[Team 1 GD],tblActuals35415192327[Team 1],$CU16,tblActuals35415192327[Team 2],ER$3)</f>
        <v>0</v>
      </c>
      <c r="ES16" s="56">
        <f>SUMIFS(tblActuals35415192327[Team 2 GD],tblActuals35415192327[Team 2],$CU16,tblActuals35415192327[Team 1],ES$3)+SUMIFS(tblActuals35415192327[Team 1 GD],tblActuals35415192327[Team 1],$CU16,tblActuals35415192327[Team 2],ES$3)</f>
        <v>0</v>
      </c>
      <c r="ET16" s="56">
        <f>SUMIFS(tblActuals35415192327[Team 2 GD],tblActuals35415192327[Team 2],$CU16,tblActuals35415192327[Team 1],ET$3)+SUMIFS(tblActuals35415192327[Team 1 GD],tblActuals35415192327[Team 1],$CU16,tblActuals35415192327[Team 2],ET$3)</f>
        <v>0</v>
      </c>
      <c r="EU16" s="56">
        <f>SUMIFS(tblActuals35415192327[Team 2 GD],tblActuals35415192327[Team 2],$CU16,tblActuals35415192327[Team 1],EU$3)+SUMIFS(tblActuals35415192327[Team 1 GD],tblActuals35415192327[Team 1],$CU16,tblActuals35415192327[Team 2],EU$3)</f>
        <v>0</v>
      </c>
      <c r="EV16" s="56">
        <f>SUMIFS(tblActuals35415192327[Team 2 GD],tblActuals35415192327[Team 2],$CU16,tblActuals35415192327[Team 1],EV$3)+SUMIFS(tblActuals35415192327[Team 1 GD],tblActuals35415192327[Team 1],$CU16,tblActuals35415192327[Team 2],EV$3)</f>
        <v>0</v>
      </c>
      <c r="EW16" s="56">
        <f>SUMIFS(tblActuals35415192327[Team 2 GD],tblActuals35415192327[Team 2],$CU16,tblActuals35415192327[Team 1],EW$3)+SUMIFS(tblActuals35415192327[Team 1 GD],tblActuals35415192327[Team 1],$CU16,tblActuals35415192327[Team 2],EW$3)</f>
        <v>0</v>
      </c>
      <c r="EX16" s="56">
        <f>SUMIFS(tblActuals35415192327[Team 2 GD],tblActuals35415192327[Team 2],$CU16,tblActuals35415192327[Team 1],EX$3)+SUMIFS(tblActuals35415192327[Team 1 GD],tblActuals35415192327[Team 1],$CU16,tblActuals35415192327[Team 2],EX$3)</f>
        <v>0</v>
      </c>
      <c r="EY16" s="56">
        <f>SUMIFS(tblActuals35415192327[Team 2 GD],tblActuals35415192327[Team 2],$CU16,tblActuals35415192327[Team 1],EY$3)+SUMIFS(tblActuals35415192327[Team 1 GD],tblActuals35415192327[Team 1],$CU16,tblActuals35415192327[Team 2],EY$3)</f>
        <v>0</v>
      </c>
      <c r="EZ16" s="56">
        <f>SUMIFS(tblActuals35415192327[Team 2 GD],tblActuals35415192327[Team 2],$CU16,tblActuals35415192327[Team 1],EZ$3)+SUMIFS(tblActuals35415192327[Team 1 GD],tblActuals35415192327[Team 1],$CU16,tblActuals35415192327[Team 2],EZ$3)</f>
        <v>0</v>
      </c>
      <c r="FA16" s="56">
        <f>SUMIFS(tblActuals35415192327[Team 2 GD],tblActuals35415192327[Team 2],$CU16,tblActuals35415192327[Team 1],FA$3)+SUMIFS(tblActuals35415192327[Team 1 GD],tblActuals35415192327[Team 1],$CU16,tblActuals35415192327[Team 2],FA$3)</f>
        <v>0</v>
      </c>
      <c r="FB16" s="57"/>
      <c r="FC16" s="57"/>
      <c r="FD16" s="57"/>
      <c r="FE16" s="57"/>
      <c r="FF16" s="57"/>
      <c r="FG16" s="57"/>
      <c r="FH16" s="57"/>
      <c r="FI16" s="57"/>
      <c r="FJ16" s="4"/>
      <c r="FK16" s="4" t="s">
        <v>32</v>
      </c>
      <c r="FL16" s="56">
        <f>SUMIFS(tblActuals35415192327[Team 2 Goals],tblActuals35415192327[Team 2],$CU16,tblActuals35415192327[Team 1],FL$3)+SUMIFS(tblActuals35415192327[Team 1 Goals],tblActuals35415192327[Team 1],$CU16,tblActuals35415192327[Team 2],FL$3)</f>
        <v>0</v>
      </c>
      <c r="FM16" s="56">
        <f>SUMIFS(tblActuals35415192327[Team 2 Goals],tblActuals35415192327[Team 2],$CU16,tblActuals35415192327[Team 1],FM$3)+SUMIFS(tblActuals35415192327[Team 1 Goals],tblActuals35415192327[Team 1],$CU16,tblActuals35415192327[Team 2],FM$3)</f>
        <v>0</v>
      </c>
      <c r="FN16" s="56">
        <f>SUMIFS(tblActuals35415192327[Team 2 Goals],tblActuals35415192327[Team 2],$CU16,tblActuals35415192327[Team 1],FN$3)+SUMIFS(tblActuals35415192327[Team 1 Goals],tblActuals35415192327[Team 1],$CU16,tblActuals35415192327[Team 2],FN$3)</f>
        <v>0</v>
      </c>
      <c r="FO16" s="56">
        <f>SUMIFS(tblActuals35415192327[Team 2 Goals],tblActuals35415192327[Team 2],$CU16,tblActuals35415192327[Team 1],FO$3)+SUMIFS(tblActuals35415192327[Team 1 Goals],tblActuals35415192327[Team 1],$CU16,tblActuals35415192327[Team 2],FO$3)</f>
        <v>0</v>
      </c>
      <c r="FP16" s="56">
        <f>SUMIFS(tblActuals35415192327[Team 2 Goals],tblActuals35415192327[Team 2],$CU16,tblActuals35415192327[Team 1],FP$3)+SUMIFS(tblActuals35415192327[Team 1 Goals],tblActuals35415192327[Team 1],$CU16,tblActuals35415192327[Team 2],FP$3)</f>
        <v>0</v>
      </c>
      <c r="FQ16" s="56">
        <f>SUMIFS(tblActuals35415192327[Team 2 Goals],tblActuals35415192327[Team 2],$CU16,tblActuals35415192327[Team 1],FQ$3)+SUMIFS(tblActuals35415192327[Team 1 Goals],tblActuals35415192327[Team 1],$CU16,tblActuals35415192327[Team 2],FQ$3)</f>
        <v>0</v>
      </c>
      <c r="FR16" s="56">
        <f>SUMIFS(tblActuals35415192327[Team 2 Goals],tblActuals35415192327[Team 2],$CU16,tblActuals35415192327[Team 1],FR$3)+SUMIFS(tblActuals35415192327[Team 1 Goals],tblActuals35415192327[Team 1],$CU16,tblActuals35415192327[Team 2],FR$3)</f>
        <v>0</v>
      </c>
      <c r="FS16" s="56">
        <f>SUMIFS(tblActuals35415192327[Team 2 Goals],tblActuals35415192327[Team 2],$CU16,tblActuals35415192327[Team 1],FS$3)+SUMIFS(tblActuals35415192327[Team 1 Goals],tblActuals35415192327[Team 1],$CU16,tblActuals35415192327[Team 2],FS$3)</f>
        <v>0</v>
      </c>
      <c r="FT16" s="56">
        <f>SUMIFS(tblActuals35415192327[Team 2 Goals],tblActuals35415192327[Team 2],$CU16,tblActuals35415192327[Team 1],FT$3)+SUMIFS(tblActuals35415192327[Team 1 Goals],tblActuals35415192327[Team 1],$CU16,tblActuals35415192327[Team 2],FT$3)</f>
        <v>0</v>
      </c>
      <c r="FU16" s="56">
        <f>SUMIFS(tblActuals35415192327[Team 2 Goals],tblActuals35415192327[Team 2],$CU16,tblActuals35415192327[Team 1],FU$3)+SUMIFS(tblActuals35415192327[Team 1 Goals],tblActuals35415192327[Team 1],$CU16,tblActuals35415192327[Team 2],FU$3)</f>
        <v>0</v>
      </c>
      <c r="FV16" s="56">
        <f>SUMIFS(tblActuals35415192327[Team 2 Goals],tblActuals35415192327[Team 2],$CU16,tblActuals35415192327[Team 1],FV$3)+SUMIFS(tblActuals35415192327[Team 1 Goals],tblActuals35415192327[Team 1],$CU16,tblActuals35415192327[Team 2],FV$3)</f>
        <v>0</v>
      </c>
      <c r="FW16" s="56">
        <f>SUMIFS(tblActuals35415192327[Team 2 Goals],tblActuals35415192327[Team 2],$CU16,tblActuals35415192327[Team 1],FW$3)+SUMIFS(tblActuals35415192327[Team 1 Goals],tblActuals35415192327[Team 1],$CU16,tblActuals35415192327[Team 2],FW$3)</f>
        <v>0</v>
      </c>
      <c r="FX16" s="56">
        <f>SUMIFS(tblActuals35415192327[Team 2 Goals],tblActuals35415192327[Team 2],$CU16,tblActuals35415192327[Team 1],FX$3)+SUMIFS(tblActuals35415192327[Team 1 Goals],tblActuals35415192327[Team 1],$CU16,tblActuals35415192327[Team 2],FX$3)</f>
        <v>0</v>
      </c>
      <c r="FY16" s="56">
        <f>SUMIFS(tblActuals35415192327[Team 2 Goals],tblActuals35415192327[Team 2],$CU16,tblActuals35415192327[Team 1],FY$3)+SUMIFS(tblActuals35415192327[Team 1 Goals],tblActuals35415192327[Team 1],$CU16,tblActuals35415192327[Team 2],FY$3)</f>
        <v>0</v>
      </c>
      <c r="FZ16" s="56">
        <f>SUMIFS(tblActuals35415192327[Team 2 Goals],tblActuals35415192327[Team 2],$CU16,tblActuals35415192327[Team 1],FZ$3)+SUMIFS(tblActuals35415192327[Team 1 Goals],tblActuals35415192327[Team 1],$CU16,tblActuals35415192327[Team 2],FZ$3)</f>
        <v>0</v>
      </c>
      <c r="GA16" s="56">
        <f>SUMIFS(tblActuals35415192327[Team 2 Goals],tblActuals35415192327[Team 2],$CU16,tblActuals35415192327[Team 1],GA$3)+SUMIFS(tblActuals35415192327[Team 1 Goals],tblActuals35415192327[Team 1],$CU16,tblActuals35415192327[Team 2],GA$3)</f>
        <v>0</v>
      </c>
      <c r="GB16" s="56">
        <f>SUMIFS(tblActuals35415192327[Team 2 Goals],tblActuals35415192327[Team 2],$CU16,tblActuals35415192327[Team 1],GB$3)+SUMIFS(tblActuals35415192327[Team 1 Goals],tblActuals35415192327[Team 1],$CU16,tblActuals35415192327[Team 2],GB$3)</f>
        <v>0</v>
      </c>
      <c r="GC16" s="56">
        <f>SUMIFS(tblActuals35415192327[Team 2 Goals],tblActuals35415192327[Team 2],$CU16,tblActuals35415192327[Team 1],GC$3)+SUMIFS(tblActuals35415192327[Team 1 Goals],tblActuals35415192327[Team 1],$CU16,tblActuals35415192327[Team 2],GC$3)</f>
        <v>0</v>
      </c>
      <c r="GD16" s="56">
        <f>SUMIFS(tblActuals35415192327[Team 2 Goals],tblActuals35415192327[Team 2],$CU16,tblActuals35415192327[Team 1],GD$3)+SUMIFS(tblActuals35415192327[Team 1 Goals],tblActuals35415192327[Team 1],$CU16,tblActuals35415192327[Team 2],GD$3)</f>
        <v>0</v>
      </c>
      <c r="GE16" s="56">
        <f>SUMIFS(tblActuals35415192327[Team 2 Goals],tblActuals35415192327[Team 2],$CU16,tblActuals35415192327[Team 1],GE$3)+SUMIFS(tblActuals35415192327[Team 1 Goals],tblActuals35415192327[Team 1],$CU16,tblActuals35415192327[Team 2],GE$3)</f>
        <v>0</v>
      </c>
      <c r="GF16" s="56">
        <f>SUMIFS(tblActuals35415192327[Team 2 Goals],tblActuals35415192327[Team 2],$CU16,tblActuals35415192327[Team 1],GF$3)+SUMIFS(tblActuals35415192327[Team 1 Goals],tblActuals35415192327[Team 1],$CU16,tblActuals35415192327[Team 2],GF$3)</f>
        <v>0</v>
      </c>
      <c r="GG16" s="56">
        <f>SUMIFS(tblActuals35415192327[Team 2 Goals],tblActuals35415192327[Team 2],$CU16,tblActuals35415192327[Team 1],GG$3)+SUMIFS(tblActuals35415192327[Team 1 Goals],tblActuals35415192327[Team 1],$CU16,tblActuals35415192327[Team 2],GG$3)</f>
        <v>0</v>
      </c>
      <c r="GH16" s="56">
        <f>SUMIFS(tblActuals35415192327[Team 2 Goals],tblActuals35415192327[Team 2],$CU16,tblActuals35415192327[Team 1],GH$3)+SUMIFS(tblActuals35415192327[Team 1 Goals],tblActuals35415192327[Team 1],$CU16,tblActuals35415192327[Team 2],GH$3)</f>
        <v>0</v>
      </c>
      <c r="GI16" s="56">
        <f>SUMIFS(tblActuals35415192327[Team 2 Goals],tblActuals35415192327[Team 2],$CU16,tblActuals35415192327[Team 1],GI$3)+SUMIFS(tblActuals35415192327[Team 1 Goals],tblActuals35415192327[Team 1],$CU16,tblActuals35415192327[Team 2],GI$3)</f>
        <v>0</v>
      </c>
      <c r="GJ16" s="57"/>
      <c r="GK16" s="57"/>
      <c r="GL16" s="37"/>
      <c r="GM16" s="37"/>
      <c r="GN16" s="37"/>
      <c r="GO16" s="37"/>
      <c r="GP16" s="37"/>
      <c r="GQ16" s="37"/>
      <c r="GR16" s="75"/>
      <c r="GS16" s="156"/>
      <c r="GT16" s="156"/>
      <c r="GU16" s="75"/>
      <c r="GV16" s="75"/>
      <c r="GW16" s="75"/>
      <c r="GX16" s="75"/>
      <c r="GY16" s="75"/>
      <c r="GZ16" s="75"/>
      <c r="HB16" s="4" t="str">
        <f t="shared" si="12"/>
        <v>BCDF</v>
      </c>
      <c r="HC16" s="45"/>
      <c r="HD16" s="44" t="s">
        <v>5</v>
      </c>
      <c r="HE16" s="44" t="s">
        <v>6</v>
      </c>
      <c r="HF16" s="44" t="s">
        <v>7</v>
      </c>
      <c r="HG16" s="45"/>
      <c r="HH16" s="44" t="s">
        <v>45</v>
      </c>
      <c r="HI16" s="178"/>
      <c r="HJ16" s="45" t="s">
        <v>154</v>
      </c>
      <c r="HK16" s="45" t="s">
        <v>150</v>
      </c>
      <c r="HL16" s="45" t="s">
        <v>152</v>
      </c>
      <c r="HM16" s="45" t="s">
        <v>151</v>
      </c>
    </row>
    <row r="17" spans="1:221" s="11" customFormat="1" ht="30" customHeight="1" thickBot="1" x14ac:dyDescent="0.3">
      <c r="A17" s="20"/>
      <c r="B17" s="122">
        <v>14</v>
      </c>
      <c r="C17" s="122" t="s">
        <v>1</v>
      </c>
      <c r="D17" s="123">
        <v>45462</v>
      </c>
      <c r="E17" s="122" t="s">
        <v>83</v>
      </c>
      <c r="F17" s="124">
        <v>0.75</v>
      </c>
      <c r="G17" s="125">
        <f t="shared" si="11"/>
        <v>45462.5</v>
      </c>
      <c r="H17" s="122" t="s">
        <v>102</v>
      </c>
      <c r="I17" s="126"/>
      <c r="J17" s="118"/>
      <c r="K17" s="118"/>
      <c r="L17" s="174">
        <f>IF(I17="",0,IFERROR(IF(SCORING.RULES!$C$8="No",1,((VLOOKUP($B17,ACTUALS!$B$4:$L$100,7,FALSE)=$H17)+(VLOOKUP($B17,ACTUALS!$B$4:$L$100,7,FALSE)=S17)))*(M17+N17+O17+P17+Q17),0))+$R17</f>
        <v>0</v>
      </c>
      <c r="M17" s="168">
        <f>IFERROR(IF($B17="","",IF(U17=INDEX(ACTUALS!$AA$4:$AA$100,MATCH($B17,ACTUALS!$B$4:$B$100,0),1),CorrectScore,0)),0)</f>
        <v>0</v>
      </c>
      <c r="N17" s="157" t="str">
        <f>IFERROR(IF(I17="","",IF(INDEX(ACTUALS!$AB$4:$AB$100,MATCH($B17,ACTUALS!$B$4:$B$100,0),1)=(AB17+AC17+AH17+AI17),CorrectNumberofGoals,0)),0)</f>
        <v/>
      </c>
      <c r="O17" s="157"/>
      <c r="P17" s="157">
        <f>IFERROR(IF(B17="","",IF(INDEX(ACTUALS!$L$4:$L$100,MATCH($B17,ACTUALS!$B$4:$B$100,0),1)=W17,CorrectResult,0)),0)</f>
        <v>3</v>
      </c>
      <c r="Q17" s="157"/>
      <c r="R17" s="157"/>
      <c r="S17" s="157" t="str">
        <f t="shared" si="0"/>
        <v/>
      </c>
      <c r="T17" s="157"/>
      <c r="U17" s="157" t="str">
        <f t="shared" si="1"/>
        <v/>
      </c>
      <c r="V17" s="157" t="str">
        <f t="shared" si="2"/>
        <v/>
      </c>
      <c r="W17" s="119" t="str">
        <f>IF(tblActuals35415192327[[#This Row],[SCORE]]="","",IF(AB17=AC17,"Draw",IF(AB17&gt;AC17,X17,Y17)))</f>
        <v/>
      </c>
      <c r="X17" s="120" t="str">
        <f>IF(tblActuals35415192327[[#This Row],[TEAMS]]="","",LEFT(H17,FIND(" -",H17,1)-1))</f>
        <v>Germany</v>
      </c>
      <c r="Y17" s="120" t="str">
        <f>IF(tblActuals35415192327[[#This Row],[TEAMS]]="","",MID(H17,FIND("-",H17,1)+2,LEN(H17)-FIND("-",H17,1)+2))</f>
        <v>Hungary</v>
      </c>
      <c r="Z17" s="120" t="str">
        <f>IF(tblActuals35415192327[[#This Row],[Team 1 Goals]]&gt;tblActuals35415192327[[#This Row],[Team 2 Goals]],tblActuals35415192327[[#This Row],[Team 1]],IF(tblActuals35415192327[[#This Row],[Team 2 Goals]]&gt;tblActuals35415192327[[#This Row],[Team 1 Goals]],tblActuals35415192327[[#This Row],[Team 2]],""))</f>
        <v/>
      </c>
      <c r="AA17" s="120" t="str">
        <f>IF(tblActuals35415192327[[#This Row],[Winner]]=tblActuals35415192327[[#This Row],[Team 1]],tblActuals35415192327[[#This Row],[Team 2]],IF(tblActuals35415192327[[#This Row],[Winner]]=tblActuals35415192327[[#This Row],[Team 2]],tblActuals35415192327[[#This Row],[Team 1]],""))</f>
        <v/>
      </c>
      <c r="AB17" s="120" t="str">
        <f>IF(tblActuals35415192327[[#This Row],[SCORE]]="","",LEFT(I17,FIND(":",I17,1)-1)*1)</f>
        <v/>
      </c>
      <c r="AC17" s="120" t="str">
        <f>IF(tblActuals35415192327[[#This Row],[SCORE]]="","",MID(I17,FIND(":",I17,1)+1,LEN(I17)-FIND(":",I17,1)+1)*1)</f>
        <v/>
      </c>
      <c r="AD17" s="120" t="str">
        <f>IF(OR(tblActuals35415192327[[#This Row],[Team 1 Goals]]="",tblActuals35415192327[[#This Row],[Team 2 Goals]]=""),"",tblActuals35415192327[[#This Row],[Team 1 Goals]]-tblActuals35415192327[[#This Row],[Team 2 Goals]])</f>
        <v/>
      </c>
      <c r="AE17" s="120" t="str">
        <f>IF(OR(tblActuals35415192327[[#This Row],[Team 1 Goals]]="",tblActuals35415192327[[#This Row],[Team 2 Goals]]=""),"",tblActuals35415192327[[#This Row],[Team 2 Goals]]-tblActuals35415192327[[#This Row],[Team 1 Goals]])</f>
        <v/>
      </c>
      <c r="AF17" s="120" t="str">
        <f>IF(tblActuals35415192327[[#This Row],[SCORE]]="","",IF(tblActuals35415192327[[#This Row],[WINNER / RESULT]]="Draw",1,IF(tblActuals35415192327[[#This Row],[WINNER / RESULT]]=tblActuals35415192327[[#This Row],[Team 1]],3,0)))</f>
        <v/>
      </c>
      <c r="AG17" s="120" t="str">
        <f>IF(tblActuals35415192327[[#This Row],[SCORE]]="","",IF(tblActuals35415192327[[#This Row],[WINNER / RESULT]]="Draw",1,IF(tblActuals35415192327[[#This Row],[WINNER / RESULT]]=tblActuals35415192327[[#This Row],[Team 2]],3,0)))</f>
        <v/>
      </c>
      <c r="AH17" s="121"/>
      <c r="AI17" s="121"/>
      <c r="AJ17" s="121"/>
      <c r="AK17" s="121"/>
      <c r="AL17" s="120" t="e">
        <f>tblActuals35415192327[[#This Row],[Team 1 Goals]]+tblActuals35415192327[[#This Row],[Team 1 ET Goals]]&amp;":"&amp;tblActuals35415192327[[#This Row],[Team 2 Goals]]+tblActuals35415192327[[#This Row],[Team 2 ET Goals]]</f>
        <v>#VALUE!</v>
      </c>
      <c r="AM17" s="120" t="e">
        <f>+tblActuals35415192327[[#This Row],[Team 1 Goals]]+tblActuals35415192327[[#This Row],[Team 2 Goals]]</f>
        <v>#VALUE!</v>
      </c>
      <c r="AN17" s="161">
        <f t="shared" si="3"/>
        <v>45462</v>
      </c>
      <c r="AT17" s="78"/>
      <c r="AU17" s="179" t="s">
        <v>53</v>
      </c>
      <c r="AV17" s="180"/>
      <c r="AW17" s="133" t="s">
        <v>46</v>
      </c>
      <c r="AX17" s="134" t="s">
        <v>57</v>
      </c>
      <c r="AY17" s="135" t="s">
        <v>11</v>
      </c>
      <c r="AZ17" s="75"/>
      <c r="BA17" s="4"/>
      <c r="BB17" s="4"/>
      <c r="BC17" s="4" t="s">
        <v>6</v>
      </c>
      <c r="BD17" s="4" t="s">
        <v>128</v>
      </c>
      <c r="BE17" s="4">
        <f>COUNTIF(tblActuals35415192327[Winner],BD17)</f>
        <v>0</v>
      </c>
      <c r="BF17" s="4">
        <f>COUNTIFS(tblActuals35415192327[Team 2],BD17,tblActuals35415192327[WINNER / RESULT],"Draw")+COUNTIFS(tblActuals35415192327[Team 1],BD17,tblActuals35415192327[WINNER / RESULT],"Draw")</f>
        <v>0</v>
      </c>
      <c r="BG17" s="4">
        <f>COUNTIF(tblActuals35415192327[Loser],BD17)</f>
        <v>0</v>
      </c>
      <c r="BH17" s="4">
        <f>BF17+(3*BE17)</f>
        <v>0</v>
      </c>
      <c r="BI17" s="4">
        <f>SUMIFS(tblActuals35415192327[Team 1 Goals],tblActuals35415192327[Team 1],BD17)+SUMIFS(tblActuals35415192327[Team 2 Goals],tblActuals35415192327[Team 2],BD17)</f>
        <v>0</v>
      </c>
      <c r="BJ17" s="4">
        <f>SUMIFS(tblActuals35415192327[Team 2 Goals],tblActuals35415192327[Team 1],BD17)+SUMIFS(tblActuals35415192327[Team 1 Goals],tblActuals35415192327[Team 2],BD17)</f>
        <v>0</v>
      </c>
      <c r="BK17" s="4">
        <f>BI17-BJ17</f>
        <v>0</v>
      </c>
      <c r="BL17" s="4">
        <f ca="1">RANK(BY17,$BY$14:$BY$17,1)</f>
        <v>4</v>
      </c>
      <c r="BM17" s="4" t="str">
        <f t="shared" si="4"/>
        <v/>
      </c>
      <c r="BN17" s="4" t="str">
        <f ca="1">IF(BM17="",BL17&amp;BC17,BM17&amp;BC17)</f>
        <v>4C</v>
      </c>
      <c r="BO17" s="4">
        <f>RANK(BH17,$BH$14:$BH$17,0)</f>
        <v>1</v>
      </c>
      <c r="BP17" s="4" cm="1">
        <f t="array" aca="1" ref="BP17" ca="1">SUMPRODUCT((OFFSET($CV$3:$EA$3,MATCH($BD17,$CU$4:$CU$35,0),0))*((IF($BO15=$BO17,$CV$3:$EA$3=$BD15,0))+(IF($BO14=$BO17,$CV$3:$EA$3=$BD14,0))+(IF($BO16=$BO17,$CV$3:$EA$3=$BD16,0))))</f>
        <v>0</v>
      </c>
      <c r="BQ17" s="4" cm="1">
        <f t="array" aca="1" ref="BQ17" ca="1">SUMPRODUCT((OFFSET($ED$3:$FI$3,MATCH($BD17,$EC$4:$EC$35,0),0))*((IF($BO15=$BO17,$ED$3:$FI$3=$BD15,0))+(IF($BO14=$BO17,$ED$3:$FI$3=$BD14,0))+(IF($BO16=$BO17,$ED$3:$FI$3=$BD16,0))))</f>
        <v>0</v>
      </c>
      <c r="BR17" s="4" cm="1">
        <f t="array" aca="1" ref="BR17" ca="1">SUMPRODUCT((OFFSET($FL$3:$GQ$3,MATCH($BD17,$FK$4:$FK$35,0),0))*((IF($BO15=$BO17,$FL$3:$GQ$3=$BD15,0))+(IF($BO14=$BO17,$FL$3:$GQ$3=$BD14,0))+(IF($BO16=$BO17,$FL$3:$GQ$3=$BD16,0))))</f>
        <v>0</v>
      </c>
      <c r="BS17" s="4" cm="1">
        <f t="array" aca="1" ref="BS17" ca="1">SUMPRODUCT((OFFSET($CV$3:$EA$3,MATCH($BD17,$CU$4:$CU$35,0),0))*((IF($BO15&lt;&gt;$BO17,$CV$3:$EA$3=$BD15,0))+(IF($BO14&lt;&gt;$BO17,$CV$3:$EA$3=$BD14,0))+(IF($BO16&lt;&gt;$BO17,$CV$3:$EA$3=$BD16,0))))</f>
        <v>0</v>
      </c>
      <c r="BT17" s="4" cm="1">
        <f t="array" aca="1" ref="BT17" ca="1">SUMPRODUCT((OFFSET($ED$3:$FI$3,MATCH($BD17,$EC$4:$EC$35,0),0))*((IF($BO15&lt;&gt;$BO17,$ED$3:$FI$3=$BD15,0))+(IF($BO14&lt;&gt;$BO17,$ED$3:$FI$3=$BD14,0))+(IF($BO16&lt;&gt;$BO17,$ED$3:$FI$3=$BD16,0))))</f>
        <v>0</v>
      </c>
      <c r="BU17" s="4" cm="1">
        <f t="array" aca="1" ref="BU17" ca="1">SUMPRODUCT((OFFSET($FL$3:$GQ$3,MATCH($BD17,$FK$4:$FK$35,0),0))*((IF($BO15&lt;&gt;$BO17,$FL$3:$GQ$3=$BD15,0))+(IF($BO14&lt;&gt;$BO17,$FL$3:$GQ$3=$BD14,0))+(IF($BO16&lt;&gt;$BO17,$FL$3:$GQ$3=$BD16,0))))</f>
        <v>0</v>
      </c>
      <c r="BV17" s="4">
        <f>BK17</f>
        <v>0</v>
      </c>
      <c r="BW17" s="4">
        <f>BI17</f>
        <v>0</v>
      </c>
      <c r="BX17" s="4">
        <f ca="1">(BP17/10)+(BQ17/100)+(BR17/1000)+(BT17/10000)+(BU17/100000)+(BV17/1000000)+(BW17/10000000)+(ROW(BS14)/100000000)</f>
        <v>1.4000000000000001E-7</v>
      </c>
      <c r="BY17" s="4">
        <f ca="1">+BO17-BX17</f>
        <v>0.99999985999999996</v>
      </c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U17" s="4" t="s">
        <v>8</v>
      </c>
      <c r="CV17" s="56">
        <f>SUMIFS(tblActuals35415192327[Team 2 Points],tblActuals35415192327[Team 2],$CU17,tblActuals35415192327[Team 1],CV$3)+SUMIFS(tblActuals35415192327[Team 1 Points],tblActuals35415192327[Team 1],$CU17,tblActuals35415192327[Team 2],CV$3)</f>
        <v>0</v>
      </c>
      <c r="CW17" s="56">
        <f>SUMIFS(tblActuals35415192327[Team 2 Points],tblActuals35415192327[Team 2],$CU17,tblActuals35415192327[Team 1],CW$3)+SUMIFS(tblActuals35415192327[Team 1 Points],tblActuals35415192327[Team 1],$CU17,tblActuals35415192327[Team 2],CW$3)</f>
        <v>0</v>
      </c>
      <c r="CX17" s="56">
        <f>SUMIFS(tblActuals35415192327[Team 2 Points],tblActuals35415192327[Team 2],$CU17,tblActuals35415192327[Team 1],CX$3)+SUMIFS(tblActuals35415192327[Team 1 Points],tblActuals35415192327[Team 1],$CU17,tblActuals35415192327[Team 2],CX$3)</f>
        <v>0</v>
      </c>
      <c r="CY17" s="56">
        <f>SUMIFS(tblActuals35415192327[Team 2 Points],tblActuals35415192327[Team 2],$CU17,tblActuals35415192327[Team 1],CY$3)+SUMIFS(tblActuals35415192327[Team 1 Points],tblActuals35415192327[Team 1],$CU17,tblActuals35415192327[Team 2],CY$3)</f>
        <v>0</v>
      </c>
      <c r="CZ17" s="56">
        <f>SUMIFS(tblActuals35415192327[Team 2 Points],tblActuals35415192327[Team 2],$CU17,tblActuals35415192327[Team 1],CZ$3)+SUMIFS(tblActuals35415192327[Team 1 Points],tblActuals35415192327[Team 1],$CU17,tblActuals35415192327[Team 2],CZ$3)</f>
        <v>0</v>
      </c>
      <c r="DA17" s="56">
        <f>SUMIFS(tblActuals35415192327[Team 2 Points],tblActuals35415192327[Team 2],$CU17,tblActuals35415192327[Team 1],DA$3)+SUMIFS(tblActuals35415192327[Team 1 Points],tblActuals35415192327[Team 1],$CU17,tblActuals35415192327[Team 2],DA$3)</f>
        <v>0</v>
      </c>
      <c r="DB17" s="56">
        <f>SUMIFS(tblActuals35415192327[Team 2 Points],tblActuals35415192327[Team 2],$CU17,tblActuals35415192327[Team 1],DB$3)+SUMIFS(tblActuals35415192327[Team 1 Points],tblActuals35415192327[Team 1],$CU17,tblActuals35415192327[Team 2],DB$3)</f>
        <v>0</v>
      </c>
      <c r="DC17" s="56">
        <f>SUMIFS(tblActuals35415192327[Team 2 Points],tblActuals35415192327[Team 2],$CU17,tblActuals35415192327[Team 1],DC$3)+SUMIFS(tblActuals35415192327[Team 1 Points],tblActuals35415192327[Team 1],$CU17,tblActuals35415192327[Team 2],DC$3)</f>
        <v>0</v>
      </c>
      <c r="DD17" s="56">
        <f>SUMIFS(tblActuals35415192327[Team 2 Points],tblActuals35415192327[Team 2],$CU17,tblActuals35415192327[Team 1],DD$3)+SUMIFS(tblActuals35415192327[Team 1 Points],tblActuals35415192327[Team 1],$CU17,tblActuals35415192327[Team 2],DD$3)</f>
        <v>0</v>
      </c>
      <c r="DE17" s="56">
        <f>SUMIFS(tblActuals35415192327[Team 2 Points],tblActuals35415192327[Team 2],$CU17,tblActuals35415192327[Team 1],DE$3)+SUMIFS(tblActuals35415192327[Team 1 Points],tblActuals35415192327[Team 1],$CU17,tblActuals35415192327[Team 2],DE$3)</f>
        <v>0</v>
      </c>
      <c r="DF17" s="56">
        <f>SUMIFS(tblActuals35415192327[Team 2 Points],tblActuals35415192327[Team 2],$CU17,tblActuals35415192327[Team 1],DF$3)+SUMIFS(tblActuals35415192327[Team 1 Points],tblActuals35415192327[Team 1],$CU17,tblActuals35415192327[Team 2],DF$3)</f>
        <v>0</v>
      </c>
      <c r="DG17" s="56">
        <f>SUMIFS(tblActuals35415192327[Team 2 Points],tblActuals35415192327[Team 2],$CU17,tblActuals35415192327[Team 1],DG$3)+SUMIFS(tblActuals35415192327[Team 1 Points],tblActuals35415192327[Team 1],$CU17,tblActuals35415192327[Team 2],DG$3)</f>
        <v>0</v>
      </c>
      <c r="DH17" s="56">
        <f>SUMIFS(tblActuals35415192327[Team 2 Points],tblActuals35415192327[Team 2],$CU17,tblActuals35415192327[Team 1],DH$3)+SUMIFS(tblActuals35415192327[Team 1 Points],tblActuals35415192327[Team 1],$CU17,tblActuals35415192327[Team 2],DH$3)</f>
        <v>0</v>
      </c>
      <c r="DI17" s="56">
        <f>SUMIFS(tblActuals35415192327[Team 2 Points],tblActuals35415192327[Team 2],$CU17,tblActuals35415192327[Team 1],DI$3)+SUMIFS(tblActuals35415192327[Team 1 Points],tblActuals35415192327[Team 1],$CU17,tblActuals35415192327[Team 2],DI$3)</f>
        <v>0</v>
      </c>
      <c r="DJ17" s="56">
        <f>SUMIFS(tblActuals35415192327[Team 2 Points],tblActuals35415192327[Team 2],$CU17,tblActuals35415192327[Team 1],DJ$3)+SUMIFS(tblActuals35415192327[Team 1 Points],tblActuals35415192327[Team 1],$CU17,tblActuals35415192327[Team 2],DJ$3)</f>
        <v>0</v>
      </c>
      <c r="DK17" s="56">
        <f>SUMIFS(tblActuals35415192327[Team 2 Points],tblActuals35415192327[Team 2],$CU17,tblActuals35415192327[Team 1],DK$3)+SUMIFS(tblActuals35415192327[Team 1 Points],tblActuals35415192327[Team 1],$CU17,tblActuals35415192327[Team 2],DK$3)</f>
        <v>0</v>
      </c>
      <c r="DL17" s="56">
        <f>SUMIFS(tblActuals35415192327[Team 2 Points],tblActuals35415192327[Team 2],$CU17,tblActuals35415192327[Team 1],DL$3)+SUMIFS(tblActuals35415192327[Team 1 Points],tblActuals35415192327[Team 1],$CU17,tblActuals35415192327[Team 2],DL$3)</f>
        <v>0</v>
      </c>
      <c r="DM17" s="56">
        <f>SUMIFS(tblActuals35415192327[Team 2 Points],tblActuals35415192327[Team 2],$CU17,tblActuals35415192327[Team 1],DM$3)+SUMIFS(tblActuals35415192327[Team 1 Points],tblActuals35415192327[Team 1],$CU17,tblActuals35415192327[Team 2],DM$3)</f>
        <v>0</v>
      </c>
      <c r="DN17" s="56">
        <f>SUMIFS(tblActuals35415192327[Team 2 Points],tblActuals35415192327[Team 2],$CU17,tblActuals35415192327[Team 1],DN$3)+SUMIFS(tblActuals35415192327[Team 1 Points],tblActuals35415192327[Team 1],$CU17,tblActuals35415192327[Team 2],DN$3)</f>
        <v>0</v>
      </c>
      <c r="DO17" s="56">
        <f>SUMIFS(tblActuals35415192327[Team 2 Points],tblActuals35415192327[Team 2],$CU17,tblActuals35415192327[Team 1],DO$3)+SUMIFS(tblActuals35415192327[Team 1 Points],tblActuals35415192327[Team 1],$CU17,tblActuals35415192327[Team 2],DO$3)</f>
        <v>0</v>
      </c>
      <c r="DP17" s="56">
        <f>SUMIFS(tblActuals35415192327[Team 2 Points],tblActuals35415192327[Team 2],$CU17,tblActuals35415192327[Team 1],DP$3)+SUMIFS(tblActuals35415192327[Team 1 Points],tblActuals35415192327[Team 1],$CU17,tblActuals35415192327[Team 2],DP$3)</f>
        <v>0</v>
      </c>
      <c r="DQ17" s="56">
        <f>SUMIFS(tblActuals35415192327[Team 2 Points],tblActuals35415192327[Team 2],$CU17,tblActuals35415192327[Team 1],DQ$3)+SUMIFS(tblActuals35415192327[Team 1 Points],tblActuals35415192327[Team 1],$CU17,tblActuals35415192327[Team 2],DQ$3)</f>
        <v>0</v>
      </c>
      <c r="DR17" s="56">
        <f>SUMIFS(tblActuals35415192327[Team 2 Points],tblActuals35415192327[Team 2],$CU17,tblActuals35415192327[Team 1],DR$3)+SUMIFS(tblActuals35415192327[Team 1 Points],tblActuals35415192327[Team 1],$CU17,tblActuals35415192327[Team 2],DR$3)</f>
        <v>0</v>
      </c>
      <c r="DS17" s="56">
        <f>SUMIFS(tblActuals35415192327[Team 2 Points],tblActuals35415192327[Team 2],$CU17,tblActuals35415192327[Team 1],DS$3)+SUMIFS(tblActuals35415192327[Team 1 Points],tblActuals35415192327[Team 1],$CU17,tblActuals35415192327[Team 2],DS$3)</f>
        <v>0</v>
      </c>
      <c r="DT17" s="57"/>
      <c r="DU17" s="57"/>
      <c r="DV17" s="57"/>
      <c r="DW17" s="57"/>
      <c r="DX17" s="57"/>
      <c r="DY17" s="57"/>
      <c r="DZ17" s="57"/>
      <c r="EA17" s="57"/>
      <c r="EB17" s="4"/>
      <c r="EC17" s="4" t="s">
        <v>8</v>
      </c>
      <c r="ED17" s="56">
        <f>SUMIFS(tblActuals35415192327[Team 2 GD],tblActuals35415192327[Team 2],$CU17,tblActuals35415192327[Team 1],ED$3)+SUMIFS(tblActuals35415192327[Team 1 GD],tblActuals35415192327[Team 1],$CU17,tblActuals35415192327[Team 2],ED$3)</f>
        <v>0</v>
      </c>
      <c r="EE17" s="56">
        <f>SUMIFS(tblActuals35415192327[Team 2 GD],tblActuals35415192327[Team 2],$CU17,tblActuals35415192327[Team 1],EE$3)+SUMIFS(tblActuals35415192327[Team 1 GD],tblActuals35415192327[Team 1],$CU17,tblActuals35415192327[Team 2],EE$3)</f>
        <v>0</v>
      </c>
      <c r="EF17" s="56">
        <f>SUMIFS(tblActuals35415192327[Team 2 GD],tblActuals35415192327[Team 2],$CU17,tblActuals35415192327[Team 1],EF$3)+SUMIFS(tblActuals35415192327[Team 1 GD],tblActuals35415192327[Team 1],$CU17,tblActuals35415192327[Team 2],EF$3)</f>
        <v>0</v>
      </c>
      <c r="EG17" s="56">
        <f>SUMIFS(tblActuals35415192327[Team 2 GD],tblActuals35415192327[Team 2],$CU17,tblActuals35415192327[Team 1],EG$3)+SUMIFS(tblActuals35415192327[Team 1 GD],tblActuals35415192327[Team 1],$CU17,tblActuals35415192327[Team 2],EG$3)</f>
        <v>0</v>
      </c>
      <c r="EH17" s="56">
        <f>SUMIFS(tblActuals35415192327[Team 2 GD],tblActuals35415192327[Team 2],$CU17,tblActuals35415192327[Team 1],EH$3)+SUMIFS(tblActuals35415192327[Team 1 GD],tblActuals35415192327[Team 1],$CU17,tblActuals35415192327[Team 2],EH$3)</f>
        <v>0</v>
      </c>
      <c r="EI17" s="56">
        <f>SUMIFS(tblActuals35415192327[Team 2 GD],tblActuals35415192327[Team 2],$CU17,tblActuals35415192327[Team 1],EI$3)+SUMIFS(tblActuals35415192327[Team 1 GD],tblActuals35415192327[Team 1],$CU17,tblActuals35415192327[Team 2],EI$3)</f>
        <v>0</v>
      </c>
      <c r="EJ17" s="56">
        <f>SUMIFS(tblActuals35415192327[Team 2 GD],tblActuals35415192327[Team 2],$CU17,tblActuals35415192327[Team 1],EJ$3)+SUMIFS(tblActuals35415192327[Team 1 GD],tblActuals35415192327[Team 1],$CU17,tblActuals35415192327[Team 2],EJ$3)</f>
        <v>0</v>
      </c>
      <c r="EK17" s="56">
        <f>SUMIFS(tblActuals35415192327[Team 2 GD],tblActuals35415192327[Team 2],$CU17,tblActuals35415192327[Team 1],EK$3)+SUMIFS(tblActuals35415192327[Team 1 GD],tblActuals35415192327[Team 1],$CU17,tblActuals35415192327[Team 2],EK$3)</f>
        <v>0</v>
      </c>
      <c r="EL17" s="56">
        <f>SUMIFS(tblActuals35415192327[Team 2 GD],tblActuals35415192327[Team 2],$CU17,tblActuals35415192327[Team 1],EL$3)+SUMIFS(tblActuals35415192327[Team 1 GD],tblActuals35415192327[Team 1],$CU17,tblActuals35415192327[Team 2],EL$3)</f>
        <v>0</v>
      </c>
      <c r="EM17" s="56">
        <f>SUMIFS(tblActuals35415192327[Team 2 GD],tblActuals35415192327[Team 2],$CU17,tblActuals35415192327[Team 1],EM$3)+SUMIFS(tblActuals35415192327[Team 1 GD],tblActuals35415192327[Team 1],$CU17,tblActuals35415192327[Team 2],EM$3)</f>
        <v>0</v>
      </c>
      <c r="EN17" s="56">
        <f>SUMIFS(tblActuals35415192327[Team 2 GD],tblActuals35415192327[Team 2],$CU17,tblActuals35415192327[Team 1],EN$3)+SUMIFS(tblActuals35415192327[Team 1 GD],tblActuals35415192327[Team 1],$CU17,tblActuals35415192327[Team 2],EN$3)</f>
        <v>0</v>
      </c>
      <c r="EO17" s="56">
        <f>SUMIFS(tblActuals35415192327[Team 2 GD],tblActuals35415192327[Team 2],$CU17,tblActuals35415192327[Team 1],EO$3)+SUMIFS(tblActuals35415192327[Team 1 GD],tblActuals35415192327[Team 1],$CU17,tblActuals35415192327[Team 2],EO$3)</f>
        <v>0</v>
      </c>
      <c r="EP17" s="56">
        <f>SUMIFS(tblActuals35415192327[Team 2 GD],tblActuals35415192327[Team 2],$CU17,tblActuals35415192327[Team 1],EP$3)+SUMIFS(tblActuals35415192327[Team 1 GD],tblActuals35415192327[Team 1],$CU17,tblActuals35415192327[Team 2],EP$3)</f>
        <v>0</v>
      </c>
      <c r="EQ17" s="56">
        <f>SUMIFS(tblActuals35415192327[Team 2 GD],tblActuals35415192327[Team 2],$CU17,tblActuals35415192327[Team 1],EQ$3)+SUMIFS(tblActuals35415192327[Team 1 GD],tblActuals35415192327[Team 1],$CU17,tblActuals35415192327[Team 2],EQ$3)</f>
        <v>0</v>
      </c>
      <c r="ER17" s="56">
        <f>SUMIFS(tblActuals35415192327[Team 2 GD],tblActuals35415192327[Team 2],$CU17,tblActuals35415192327[Team 1],ER$3)+SUMIFS(tblActuals35415192327[Team 1 GD],tblActuals35415192327[Team 1],$CU17,tblActuals35415192327[Team 2],ER$3)</f>
        <v>0</v>
      </c>
      <c r="ES17" s="56">
        <f>SUMIFS(tblActuals35415192327[Team 2 GD],tblActuals35415192327[Team 2],$CU17,tblActuals35415192327[Team 1],ES$3)+SUMIFS(tblActuals35415192327[Team 1 GD],tblActuals35415192327[Team 1],$CU17,tblActuals35415192327[Team 2],ES$3)</f>
        <v>0</v>
      </c>
      <c r="ET17" s="56">
        <f>SUMIFS(tblActuals35415192327[Team 2 GD],tblActuals35415192327[Team 2],$CU17,tblActuals35415192327[Team 1],ET$3)+SUMIFS(tblActuals35415192327[Team 1 GD],tblActuals35415192327[Team 1],$CU17,tblActuals35415192327[Team 2],ET$3)</f>
        <v>0</v>
      </c>
      <c r="EU17" s="56">
        <f>SUMIFS(tblActuals35415192327[Team 2 GD],tblActuals35415192327[Team 2],$CU17,tblActuals35415192327[Team 1],EU$3)+SUMIFS(tblActuals35415192327[Team 1 GD],tblActuals35415192327[Team 1],$CU17,tblActuals35415192327[Team 2],EU$3)</f>
        <v>0</v>
      </c>
      <c r="EV17" s="56">
        <f>SUMIFS(tblActuals35415192327[Team 2 GD],tblActuals35415192327[Team 2],$CU17,tblActuals35415192327[Team 1],EV$3)+SUMIFS(tblActuals35415192327[Team 1 GD],tblActuals35415192327[Team 1],$CU17,tblActuals35415192327[Team 2],EV$3)</f>
        <v>0</v>
      </c>
      <c r="EW17" s="56">
        <f>SUMIFS(tblActuals35415192327[Team 2 GD],tblActuals35415192327[Team 2],$CU17,tblActuals35415192327[Team 1],EW$3)+SUMIFS(tblActuals35415192327[Team 1 GD],tblActuals35415192327[Team 1],$CU17,tblActuals35415192327[Team 2],EW$3)</f>
        <v>0</v>
      </c>
      <c r="EX17" s="56">
        <f>SUMIFS(tblActuals35415192327[Team 2 GD],tblActuals35415192327[Team 2],$CU17,tblActuals35415192327[Team 1],EX$3)+SUMIFS(tblActuals35415192327[Team 1 GD],tblActuals35415192327[Team 1],$CU17,tblActuals35415192327[Team 2],EX$3)</f>
        <v>0</v>
      </c>
      <c r="EY17" s="56">
        <f>SUMIFS(tblActuals35415192327[Team 2 GD],tblActuals35415192327[Team 2],$CU17,tblActuals35415192327[Team 1],EY$3)+SUMIFS(tblActuals35415192327[Team 1 GD],tblActuals35415192327[Team 1],$CU17,tblActuals35415192327[Team 2],EY$3)</f>
        <v>0</v>
      </c>
      <c r="EZ17" s="56">
        <f>SUMIFS(tblActuals35415192327[Team 2 GD],tblActuals35415192327[Team 2],$CU17,tblActuals35415192327[Team 1],EZ$3)+SUMIFS(tblActuals35415192327[Team 1 GD],tblActuals35415192327[Team 1],$CU17,tblActuals35415192327[Team 2],EZ$3)</f>
        <v>0</v>
      </c>
      <c r="FA17" s="56">
        <f>SUMIFS(tblActuals35415192327[Team 2 GD],tblActuals35415192327[Team 2],$CU17,tblActuals35415192327[Team 1],FA$3)+SUMIFS(tblActuals35415192327[Team 1 GD],tblActuals35415192327[Team 1],$CU17,tblActuals35415192327[Team 2],FA$3)</f>
        <v>0</v>
      </c>
      <c r="FB17" s="57"/>
      <c r="FC17" s="57"/>
      <c r="FD17" s="57"/>
      <c r="FE17" s="57"/>
      <c r="FF17" s="57"/>
      <c r="FG17" s="57"/>
      <c r="FH17" s="57"/>
      <c r="FI17" s="57"/>
      <c r="FJ17" s="4"/>
      <c r="FK17" s="4" t="s">
        <v>8</v>
      </c>
      <c r="FL17" s="56">
        <f>SUMIFS(tblActuals35415192327[Team 2 Goals],tblActuals35415192327[Team 2],$CU17,tblActuals35415192327[Team 1],FL$3)+SUMIFS(tblActuals35415192327[Team 1 Goals],tblActuals35415192327[Team 1],$CU17,tblActuals35415192327[Team 2],FL$3)</f>
        <v>0</v>
      </c>
      <c r="FM17" s="56">
        <f>SUMIFS(tblActuals35415192327[Team 2 Goals],tblActuals35415192327[Team 2],$CU17,tblActuals35415192327[Team 1],FM$3)+SUMIFS(tblActuals35415192327[Team 1 Goals],tblActuals35415192327[Team 1],$CU17,tblActuals35415192327[Team 2],FM$3)</f>
        <v>0</v>
      </c>
      <c r="FN17" s="56">
        <f>SUMIFS(tblActuals35415192327[Team 2 Goals],tblActuals35415192327[Team 2],$CU17,tblActuals35415192327[Team 1],FN$3)+SUMIFS(tblActuals35415192327[Team 1 Goals],tblActuals35415192327[Team 1],$CU17,tblActuals35415192327[Team 2],FN$3)</f>
        <v>0</v>
      </c>
      <c r="FO17" s="56">
        <f>SUMIFS(tblActuals35415192327[Team 2 Goals],tblActuals35415192327[Team 2],$CU17,tblActuals35415192327[Team 1],FO$3)+SUMIFS(tblActuals35415192327[Team 1 Goals],tblActuals35415192327[Team 1],$CU17,tblActuals35415192327[Team 2],FO$3)</f>
        <v>0</v>
      </c>
      <c r="FP17" s="56">
        <f>SUMIFS(tblActuals35415192327[Team 2 Goals],tblActuals35415192327[Team 2],$CU17,tblActuals35415192327[Team 1],FP$3)+SUMIFS(tblActuals35415192327[Team 1 Goals],tblActuals35415192327[Team 1],$CU17,tblActuals35415192327[Team 2],FP$3)</f>
        <v>0</v>
      </c>
      <c r="FQ17" s="56">
        <f>SUMIFS(tblActuals35415192327[Team 2 Goals],tblActuals35415192327[Team 2],$CU17,tblActuals35415192327[Team 1],FQ$3)+SUMIFS(tblActuals35415192327[Team 1 Goals],tblActuals35415192327[Team 1],$CU17,tblActuals35415192327[Team 2],FQ$3)</f>
        <v>0</v>
      </c>
      <c r="FR17" s="56">
        <f>SUMIFS(tblActuals35415192327[Team 2 Goals],tblActuals35415192327[Team 2],$CU17,tblActuals35415192327[Team 1],FR$3)+SUMIFS(tblActuals35415192327[Team 1 Goals],tblActuals35415192327[Team 1],$CU17,tblActuals35415192327[Team 2],FR$3)</f>
        <v>0</v>
      </c>
      <c r="FS17" s="56">
        <f>SUMIFS(tblActuals35415192327[Team 2 Goals],tblActuals35415192327[Team 2],$CU17,tblActuals35415192327[Team 1],FS$3)+SUMIFS(tblActuals35415192327[Team 1 Goals],tblActuals35415192327[Team 1],$CU17,tblActuals35415192327[Team 2],FS$3)</f>
        <v>0</v>
      </c>
      <c r="FT17" s="56">
        <f>SUMIFS(tblActuals35415192327[Team 2 Goals],tblActuals35415192327[Team 2],$CU17,tblActuals35415192327[Team 1],FT$3)+SUMIFS(tblActuals35415192327[Team 1 Goals],tblActuals35415192327[Team 1],$CU17,tblActuals35415192327[Team 2],FT$3)</f>
        <v>0</v>
      </c>
      <c r="FU17" s="56">
        <f>SUMIFS(tblActuals35415192327[Team 2 Goals],tblActuals35415192327[Team 2],$CU17,tblActuals35415192327[Team 1],FU$3)+SUMIFS(tblActuals35415192327[Team 1 Goals],tblActuals35415192327[Team 1],$CU17,tblActuals35415192327[Team 2],FU$3)</f>
        <v>0</v>
      </c>
      <c r="FV17" s="56">
        <f>SUMIFS(tblActuals35415192327[Team 2 Goals],tblActuals35415192327[Team 2],$CU17,tblActuals35415192327[Team 1],FV$3)+SUMIFS(tblActuals35415192327[Team 1 Goals],tblActuals35415192327[Team 1],$CU17,tblActuals35415192327[Team 2],FV$3)</f>
        <v>0</v>
      </c>
      <c r="FW17" s="56">
        <f>SUMIFS(tblActuals35415192327[Team 2 Goals],tblActuals35415192327[Team 2],$CU17,tblActuals35415192327[Team 1],FW$3)+SUMIFS(tblActuals35415192327[Team 1 Goals],tblActuals35415192327[Team 1],$CU17,tblActuals35415192327[Team 2],FW$3)</f>
        <v>0</v>
      </c>
      <c r="FX17" s="56">
        <f>SUMIFS(tblActuals35415192327[Team 2 Goals],tblActuals35415192327[Team 2],$CU17,tblActuals35415192327[Team 1],FX$3)+SUMIFS(tblActuals35415192327[Team 1 Goals],tblActuals35415192327[Team 1],$CU17,tblActuals35415192327[Team 2],FX$3)</f>
        <v>0</v>
      </c>
      <c r="FY17" s="56">
        <f>SUMIFS(tblActuals35415192327[Team 2 Goals],tblActuals35415192327[Team 2],$CU17,tblActuals35415192327[Team 1],FY$3)+SUMIFS(tblActuals35415192327[Team 1 Goals],tblActuals35415192327[Team 1],$CU17,tblActuals35415192327[Team 2],FY$3)</f>
        <v>0</v>
      </c>
      <c r="FZ17" s="56">
        <f>SUMIFS(tblActuals35415192327[Team 2 Goals],tblActuals35415192327[Team 2],$CU17,tblActuals35415192327[Team 1],FZ$3)+SUMIFS(tblActuals35415192327[Team 1 Goals],tblActuals35415192327[Team 1],$CU17,tblActuals35415192327[Team 2],FZ$3)</f>
        <v>0</v>
      </c>
      <c r="GA17" s="56">
        <f>SUMIFS(tblActuals35415192327[Team 2 Goals],tblActuals35415192327[Team 2],$CU17,tblActuals35415192327[Team 1],GA$3)+SUMIFS(tblActuals35415192327[Team 1 Goals],tblActuals35415192327[Team 1],$CU17,tblActuals35415192327[Team 2],GA$3)</f>
        <v>0</v>
      </c>
      <c r="GB17" s="56">
        <f>SUMIFS(tblActuals35415192327[Team 2 Goals],tblActuals35415192327[Team 2],$CU17,tblActuals35415192327[Team 1],GB$3)+SUMIFS(tblActuals35415192327[Team 1 Goals],tblActuals35415192327[Team 1],$CU17,tblActuals35415192327[Team 2],GB$3)</f>
        <v>0</v>
      </c>
      <c r="GC17" s="56">
        <f>SUMIFS(tblActuals35415192327[Team 2 Goals],tblActuals35415192327[Team 2],$CU17,tblActuals35415192327[Team 1],GC$3)+SUMIFS(tblActuals35415192327[Team 1 Goals],tblActuals35415192327[Team 1],$CU17,tblActuals35415192327[Team 2],GC$3)</f>
        <v>0</v>
      </c>
      <c r="GD17" s="56">
        <f>SUMIFS(tblActuals35415192327[Team 2 Goals],tblActuals35415192327[Team 2],$CU17,tblActuals35415192327[Team 1],GD$3)+SUMIFS(tblActuals35415192327[Team 1 Goals],tblActuals35415192327[Team 1],$CU17,tblActuals35415192327[Team 2],GD$3)</f>
        <v>0</v>
      </c>
      <c r="GE17" s="56">
        <f>SUMIFS(tblActuals35415192327[Team 2 Goals],tblActuals35415192327[Team 2],$CU17,tblActuals35415192327[Team 1],GE$3)+SUMIFS(tblActuals35415192327[Team 1 Goals],tblActuals35415192327[Team 1],$CU17,tblActuals35415192327[Team 2],GE$3)</f>
        <v>0</v>
      </c>
      <c r="GF17" s="56">
        <f>SUMIFS(tblActuals35415192327[Team 2 Goals],tblActuals35415192327[Team 2],$CU17,tblActuals35415192327[Team 1],GF$3)+SUMIFS(tblActuals35415192327[Team 1 Goals],tblActuals35415192327[Team 1],$CU17,tblActuals35415192327[Team 2],GF$3)</f>
        <v>0</v>
      </c>
      <c r="GG17" s="56">
        <f>SUMIFS(tblActuals35415192327[Team 2 Goals],tblActuals35415192327[Team 2],$CU17,tblActuals35415192327[Team 1],GG$3)+SUMIFS(tblActuals35415192327[Team 1 Goals],tblActuals35415192327[Team 1],$CU17,tblActuals35415192327[Team 2],GG$3)</f>
        <v>0</v>
      </c>
      <c r="GH17" s="56">
        <f>SUMIFS(tblActuals35415192327[Team 2 Goals],tblActuals35415192327[Team 2],$CU17,tblActuals35415192327[Team 1],GH$3)+SUMIFS(tblActuals35415192327[Team 1 Goals],tblActuals35415192327[Team 1],$CU17,tblActuals35415192327[Team 2],GH$3)</f>
        <v>0</v>
      </c>
      <c r="GI17" s="56">
        <f>SUMIFS(tblActuals35415192327[Team 2 Goals],tblActuals35415192327[Team 2],$CU17,tblActuals35415192327[Team 1],GI$3)+SUMIFS(tblActuals35415192327[Team 1 Goals],tblActuals35415192327[Team 1],$CU17,tblActuals35415192327[Team 2],GI$3)</f>
        <v>0</v>
      </c>
      <c r="GJ17" s="57"/>
      <c r="GK17" s="57"/>
      <c r="GL17" s="37"/>
      <c r="GM17" s="37"/>
      <c r="GN17" s="37"/>
      <c r="GO17" s="37"/>
      <c r="GP17" s="37"/>
      <c r="GQ17" s="37"/>
      <c r="GR17" s="75"/>
      <c r="GS17" s="156"/>
      <c r="GT17" s="156"/>
      <c r="GU17" s="75"/>
      <c r="GV17" s="75"/>
      <c r="GW17" s="75"/>
      <c r="GX17" s="75"/>
      <c r="GY17" s="75"/>
      <c r="GZ17" s="75"/>
      <c r="HB17" s="4" t="str">
        <f t="shared" si="12"/>
        <v>BCEF</v>
      </c>
      <c r="HC17" s="45"/>
      <c r="HD17" s="44" t="s">
        <v>5</v>
      </c>
      <c r="HE17" s="44" t="s">
        <v>6</v>
      </c>
      <c r="HF17" s="45"/>
      <c r="HG17" s="44" t="s">
        <v>12</v>
      </c>
      <c r="HH17" s="44" t="s">
        <v>45</v>
      </c>
      <c r="HI17" s="178"/>
      <c r="HJ17" s="45" t="s">
        <v>154</v>
      </c>
      <c r="HK17" s="45" t="s">
        <v>153</v>
      </c>
      <c r="HL17" s="45" t="s">
        <v>152</v>
      </c>
      <c r="HM17" s="45" t="s">
        <v>151</v>
      </c>
    </row>
    <row r="18" spans="1:221" s="11" customFormat="1" ht="30" customHeight="1" x14ac:dyDescent="0.25">
      <c r="A18" s="20"/>
      <c r="B18" s="122">
        <v>15</v>
      </c>
      <c r="C18" s="122" t="s">
        <v>5</v>
      </c>
      <c r="D18" s="123">
        <v>45462</v>
      </c>
      <c r="E18" s="122" t="s">
        <v>84</v>
      </c>
      <c r="F18" s="124">
        <v>0.625</v>
      </c>
      <c r="G18" s="125">
        <f t="shared" si="11"/>
        <v>45462.375</v>
      </c>
      <c r="H18" s="122" t="s">
        <v>103</v>
      </c>
      <c r="I18" s="126"/>
      <c r="J18" s="118"/>
      <c r="K18" s="118"/>
      <c r="L18" s="174">
        <f>IF(I18="",0,IFERROR(IF(SCORING.RULES!$C$8="No",1,((VLOOKUP($B18,ACTUALS!$B$4:$L$100,7,FALSE)=$H18)+(VLOOKUP($B18,ACTUALS!$B$4:$L$100,7,FALSE)=S18)))*(M18+N18+O18+P18+Q18),0))+$R18</f>
        <v>0</v>
      </c>
      <c r="M18" s="168">
        <f>IFERROR(IF($B18="","",IF(U18=INDEX(ACTUALS!$AA$4:$AA$100,MATCH($B18,ACTUALS!$B$4:$B$100,0),1),CorrectScore,0)),0)</f>
        <v>0</v>
      </c>
      <c r="N18" s="157" t="str">
        <f>IFERROR(IF(I18="","",IF(INDEX(ACTUALS!$AB$4:$AB$100,MATCH($B18,ACTUALS!$B$4:$B$100,0),1)=(AB18+AC18+AH18+AI18),CorrectNumberofGoals,0)),0)</f>
        <v/>
      </c>
      <c r="O18" s="157"/>
      <c r="P18" s="157">
        <f>IFERROR(IF(B18="","",IF(INDEX(ACTUALS!$L$4:$L$100,MATCH($B18,ACTUALS!$B$4:$B$100,0),1)=W18,CorrectResult,0)),0)</f>
        <v>3</v>
      </c>
      <c r="Q18" s="157"/>
      <c r="R18" s="157"/>
      <c r="S18" s="157" t="str">
        <f t="shared" si="0"/>
        <v/>
      </c>
      <c r="T18" s="157"/>
      <c r="U18" s="157" t="str">
        <f t="shared" si="1"/>
        <v/>
      </c>
      <c r="V18" s="157" t="str">
        <f t="shared" si="2"/>
        <v/>
      </c>
      <c r="W18" s="119" t="str">
        <f>IF(tblActuals35415192327[[#This Row],[SCORE]]="","",IF(AB18=AC18,"Draw",IF(AB18&gt;AC18,X18,Y18)))</f>
        <v/>
      </c>
      <c r="X18" s="120" t="str">
        <f>IF(tblActuals35415192327[[#This Row],[TEAMS]]="","",LEFT(H18,FIND(" -",H18,1)-1))</f>
        <v>Croatia</v>
      </c>
      <c r="Y18" s="120" t="str">
        <f>IF(tblActuals35415192327[[#This Row],[TEAMS]]="","",MID(H18,FIND("-",H18,1)+2,LEN(H18)-FIND("-",H18,1)+2))</f>
        <v>Albania</v>
      </c>
      <c r="Z18" s="120" t="str">
        <f>IF(tblActuals35415192327[[#This Row],[Team 1 Goals]]&gt;tblActuals35415192327[[#This Row],[Team 2 Goals]],tblActuals35415192327[[#This Row],[Team 1]],IF(tblActuals35415192327[[#This Row],[Team 2 Goals]]&gt;tblActuals35415192327[[#This Row],[Team 1 Goals]],tblActuals35415192327[[#This Row],[Team 2]],""))</f>
        <v/>
      </c>
      <c r="AA18" s="120" t="str">
        <f>IF(tblActuals35415192327[[#This Row],[Winner]]=tblActuals35415192327[[#This Row],[Team 1]],tblActuals35415192327[[#This Row],[Team 2]],IF(tblActuals35415192327[[#This Row],[Winner]]=tblActuals35415192327[[#This Row],[Team 2]],tblActuals35415192327[[#This Row],[Team 1]],""))</f>
        <v/>
      </c>
      <c r="AB18" s="120" t="str">
        <f>IF(tblActuals35415192327[[#This Row],[SCORE]]="","",LEFT(I18,FIND(":",I18,1)-1)*1)</f>
        <v/>
      </c>
      <c r="AC18" s="120" t="str">
        <f>IF(tblActuals35415192327[[#This Row],[SCORE]]="","",MID(I18,FIND(":",I18,1)+1,LEN(I18)-FIND(":",I18,1)+1)*1)</f>
        <v/>
      </c>
      <c r="AD18" s="120" t="str">
        <f>IF(OR(tblActuals35415192327[[#This Row],[Team 1 Goals]]="",tblActuals35415192327[[#This Row],[Team 2 Goals]]=""),"",tblActuals35415192327[[#This Row],[Team 1 Goals]]-tblActuals35415192327[[#This Row],[Team 2 Goals]])</f>
        <v/>
      </c>
      <c r="AE18" s="120" t="str">
        <f>IF(OR(tblActuals35415192327[[#This Row],[Team 1 Goals]]="",tblActuals35415192327[[#This Row],[Team 2 Goals]]=""),"",tblActuals35415192327[[#This Row],[Team 2 Goals]]-tblActuals35415192327[[#This Row],[Team 1 Goals]])</f>
        <v/>
      </c>
      <c r="AF18" s="120" t="str">
        <f>IF(tblActuals35415192327[[#This Row],[SCORE]]="","",IF(tblActuals35415192327[[#This Row],[WINNER / RESULT]]="Draw",1,IF(tblActuals35415192327[[#This Row],[WINNER / RESULT]]=tblActuals35415192327[[#This Row],[Team 1]],3,0)))</f>
        <v/>
      </c>
      <c r="AG18" s="120" t="str">
        <f>IF(tblActuals35415192327[[#This Row],[SCORE]]="","",IF(tblActuals35415192327[[#This Row],[WINNER / RESULT]]="Draw",1,IF(tblActuals35415192327[[#This Row],[WINNER / RESULT]]=tblActuals35415192327[[#This Row],[Team 2]],3,0)))</f>
        <v/>
      </c>
      <c r="AH18" s="121"/>
      <c r="AI18" s="121"/>
      <c r="AJ18" s="121"/>
      <c r="AK18" s="121"/>
      <c r="AL18" s="120" t="e">
        <f>tblActuals35415192327[[#This Row],[Team 1 Goals]]+tblActuals35415192327[[#This Row],[Team 1 ET Goals]]&amp;":"&amp;tblActuals35415192327[[#This Row],[Team 2 Goals]]+tblActuals35415192327[[#This Row],[Team 2 ET Goals]]</f>
        <v>#VALUE!</v>
      </c>
      <c r="AM18" s="120" t="e">
        <f>+tblActuals35415192327[[#This Row],[Team 1 Goals]]+tblActuals35415192327[[#This Row],[Team 2 Goals]]</f>
        <v>#VALUE!</v>
      </c>
      <c r="AN18" s="161">
        <f t="shared" si="3"/>
        <v>45462</v>
      </c>
      <c r="AT18" s="77" t="s">
        <v>6</v>
      </c>
      <c r="AU18" s="136">
        <v>1</v>
      </c>
      <c r="AV18" s="137" t="str">
        <f ca="1">IFERROR(INDEX(BD:BD,MATCH("1"&amp;AT18,BN:BN,0),1),"")</f>
        <v>Denmark</v>
      </c>
      <c r="AW18" s="137" t="str">
        <f ca="1">IF(AV18="","",VLOOKUP(AV18,BD:BI,2,FALSE)&amp;"-"&amp;VLOOKUP(AV18,BD:BI,3,FALSE)&amp;"-"&amp;VLOOKUP(AV18,BD:BI,4,FALSE))</f>
        <v>0-0-0</v>
      </c>
      <c r="AX18" s="137">
        <f ca="1">IF(AV18="","",VLOOKUP(AV18,BD:BK,8,FALSE))</f>
        <v>0</v>
      </c>
      <c r="AY18" s="138">
        <f ca="1">IF(AV18="","",VLOOKUP(AV18,BD:BN,5,FALSE))</f>
        <v>0</v>
      </c>
      <c r="AZ18" s="75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 t="str">
        <f t="shared" si="4"/>
        <v/>
      </c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U18" s="4" t="s">
        <v>129</v>
      </c>
      <c r="CV18" s="56">
        <f>SUMIFS(tblActuals35415192327[Team 2 Points],tblActuals35415192327[Team 2],$CU18,tblActuals35415192327[Team 1],CV$3)+SUMIFS(tblActuals35415192327[Team 1 Points],tblActuals35415192327[Team 1],$CU18,tblActuals35415192327[Team 2],CV$3)</f>
        <v>0</v>
      </c>
      <c r="CW18" s="56">
        <f>SUMIFS(tblActuals35415192327[Team 2 Points],tblActuals35415192327[Team 2],$CU18,tblActuals35415192327[Team 1],CW$3)+SUMIFS(tblActuals35415192327[Team 1 Points],tblActuals35415192327[Team 1],$CU18,tblActuals35415192327[Team 2],CW$3)</f>
        <v>0</v>
      </c>
      <c r="CX18" s="56">
        <f>SUMIFS(tblActuals35415192327[Team 2 Points],tblActuals35415192327[Team 2],$CU18,tblActuals35415192327[Team 1],CX$3)+SUMIFS(tblActuals35415192327[Team 1 Points],tblActuals35415192327[Team 1],$CU18,tblActuals35415192327[Team 2],CX$3)</f>
        <v>0</v>
      </c>
      <c r="CY18" s="56">
        <f>SUMIFS(tblActuals35415192327[Team 2 Points],tblActuals35415192327[Team 2],$CU18,tblActuals35415192327[Team 1],CY$3)+SUMIFS(tblActuals35415192327[Team 1 Points],tblActuals35415192327[Team 1],$CU18,tblActuals35415192327[Team 2],CY$3)</f>
        <v>0</v>
      </c>
      <c r="CZ18" s="56">
        <f>SUMIFS(tblActuals35415192327[Team 2 Points],tblActuals35415192327[Team 2],$CU18,tblActuals35415192327[Team 1],CZ$3)+SUMIFS(tblActuals35415192327[Team 1 Points],tblActuals35415192327[Team 1],$CU18,tblActuals35415192327[Team 2],CZ$3)</f>
        <v>0</v>
      </c>
      <c r="DA18" s="56">
        <f>SUMIFS(tblActuals35415192327[Team 2 Points],tblActuals35415192327[Team 2],$CU18,tblActuals35415192327[Team 1],DA$3)+SUMIFS(tblActuals35415192327[Team 1 Points],tblActuals35415192327[Team 1],$CU18,tblActuals35415192327[Team 2],DA$3)</f>
        <v>0</v>
      </c>
      <c r="DB18" s="56">
        <f>SUMIFS(tblActuals35415192327[Team 2 Points],tblActuals35415192327[Team 2],$CU18,tblActuals35415192327[Team 1],DB$3)+SUMIFS(tblActuals35415192327[Team 1 Points],tblActuals35415192327[Team 1],$CU18,tblActuals35415192327[Team 2],DB$3)</f>
        <v>0</v>
      </c>
      <c r="DC18" s="56">
        <f>SUMIFS(tblActuals35415192327[Team 2 Points],tblActuals35415192327[Team 2],$CU18,tblActuals35415192327[Team 1],DC$3)+SUMIFS(tblActuals35415192327[Team 1 Points],tblActuals35415192327[Team 1],$CU18,tblActuals35415192327[Team 2],DC$3)</f>
        <v>0</v>
      </c>
      <c r="DD18" s="56">
        <f>SUMIFS(tblActuals35415192327[Team 2 Points],tblActuals35415192327[Team 2],$CU18,tblActuals35415192327[Team 1],DD$3)+SUMIFS(tblActuals35415192327[Team 1 Points],tblActuals35415192327[Team 1],$CU18,tblActuals35415192327[Team 2],DD$3)</f>
        <v>0</v>
      </c>
      <c r="DE18" s="56">
        <f>SUMIFS(tblActuals35415192327[Team 2 Points],tblActuals35415192327[Team 2],$CU18,tblActuals35415192327[Team 1],DE$3)+SUMIFS(tblActuals35415192327[Team 1 Points],tblActuals35415192327[Team 1],$CU18,tblActuals35415192327[Team 2],DE$3)</f>
        <v>0</v>
      </c>
      <c r="DF18" s="56">
        <f>SUMIFS(tblActuals35415192327[Team 2 Points],tblActuals35415192327[Team 2],$CU18,tblActuals35415192327[Team 1],DF$3)+SUMIFS(tblActuals35415192327[Team 1 Points],tblActuals35415192327[Team 1],$CU18,tblActuals35415192327[Team 2],DF$3)</f>
        <v>0</v>
      </c>
      <c r="DG18" s="56">
        <f>SUMIFS(tblActuals35415192327[Team 2 Points],tblActuals35415192327[Team 2],$CU18,tblActuals35415192327[Team 1],DG$3)+SUMIFS(tblActuals35415192327[Team 1 Points],tblActuals35415192327[Team 1],$CU18,tblActuals35415192327[Team 2],DG$3)</f>
        <v>0</v>
      </c>
      <c r="DH18" s="56">
        <f>SUMIFS(tblActuals35415192327[Team 2 Points],tblActuals35415192327[Team 2],$CU18,tblActuals35415192327[Team 1],DH$3)+SUMIFS(tblActuals35415192327[Team 1 Points],tblActuals35415192327[Team 1],$CU18,tblActuals35415192327[Team 2],DH$3)</f>
        <v>0</v>
      </c>
      <c r="DI18" s="56">
        <f>SUMIFS(tblActuals35415192327[Team 2 Points],tblActuals35415192327[Team 2],$CU18,tblActuals35415192327[Team 1],DI$3)+SUMIFS(tblActuals35415192327[Team 1 Points],tblActuals35415192327[Team 1],$CU18,tblActuals35415192327[Team 2],DI$3)</f>
        <v>0</v>
      </c>
      <c r="DJ18" s="56">
        <f>SUMIFS(tblActuals35415192327[Team 2 Points],tblActuals35415192327[Team 2],$CU18,tblActuals35415192327[Team 1],DJ$3)+SUMIFS(tblActuals35415192327[Team 1 Points],tblActuals35415192327[Team 1],$CU18,tblActuals35415192327[Team 2],DJ$3)</f>
        <v>0</v>
      </c>
      <c r="DK18" s="56">
        <f>SUMIFS(tblActuals35415192327[Team 2 Points],tblActuals35415192327[Team 2],$CU18,tblActuals35415192327[Team 1],DK$3)+SUMIFS(tblActuals35415192327[Team 1 Points],tblActuals35415192327[Team 1],$CU18,tblActuals35415192327[Team 2],DK$3)</f>
        <v>0</v>
      </c>
      <c r="DL18" s="56">
        <f>SUMIFS(tblActuals35415192327[Team 2 Points],tblActuals35415192327[Team 2],$CU18,tblActuals35415192327[Team 1],DL$3)+SUMIFS(tblActuals35415192327[Team 1 Points],tblActuals35415192327[Team 1],$CU18,tblActuals35415192327[Team 2],DL$3)</f>
        <v>0</v>
      </c>
      <c r="DM18" s="56">
        <f>SUMIFS(tblActuals35415192327[Team 2 Points],tblActuals35415192327[Team 2],$CU18,tblActuals35415192327[Team 1],DM$3)+SUMIFS(tblActuals35415192327[Team 1 Points],tblActuals35415192327[Team 1],$CU18,tblActuals35415192327[Team 2],DM$3)</f>
        <v>0</v>
      </c>
      <c r="DN18" s="56">
        <f>SUMIFS(tblActuals35415192327[Team 2 Points],tblActuals35415192327[Team 2],$CU18,tblActuals35415192327[Team 1],DN$3)+SUMIFS(tblActuals35415192327[Team 1 Points],tblActuals35415192327[Team 1],$CU18,tblActuals35415192327[Team 2],DN$3)</f>
        <v>0</v>
      </c>
      <c r="DO18" s="56">
        <f>SUMIFS(tblActuals35415192327[Team 2 Points],tblActuals35415192327[Team 2],$CU18,tblActuals35415192327[Team 1],DO$3)+SUMIFS(tblActuals35415192327[Team 1 Points],tblActuals35415192327[Team 1],$CU18,tblActuals35415192327[Team 2],DO$3)</f>
        <v>0</v>
      </c>
      <c r="DP18" s="56">
        <f>SUMIFS(tblActuals35415192327[Team 2 Points],tblActuals35415192327[Team 2],$CU18,tblActuals35415192327[Team 1],DP$3)+SUMIFS(tblActuals35415192327[Team 1 Points],tblActuals35415192327[Team 1],$CU18,tblActuals35415192327[Team 2],DP$3)</f>
        <v>0</v>
      </c>
      <c r="DQ18" s="56">
        <f>SUMIFS(tblActuals35415192327[Team 2 Points],tblActuals35415192327[Team 2],$CU18,tblActuals35415192327[Team 1],DQ$3)+SUMIFS(tblActuals35415192327[Team 1 Points],tblActuals35415192327[Team 1],$CU18,tblActuals35415192327[Team 2],DQ$3)</f>
        <v>0</v>
      </c>
      <c r="DR18" s="56">
        <f>SUMIFS(tblActuals35415192327[Team 2 Points],tblActuals35415192327[Team 2],$CU18,tblActuals35415192327[Team 1],DR$3)+SUMIFS(tblActuals35415192327[Team 1 Points],tblActuals35415192327[Team 1],$CU18,tblActuals35415192327[Team 2],DR$3)</f>
        <v>0</v>
      </c>
      <c r="DS18" s="56">
        <f>SUMIFS(tblActuals35415192327[Team 2 Points],tblActuals35415192327[Team 2],$CU18,tblActuals35415192327[Team 1],DS$3)+SUMIFS(tblActuals35415192327[Team 1 Points],tblActuals35415192327[Team 1],$CU18,tblActuals35415192327[Team 2],DS$3)</f>
        <v>0</v>
      </c>
      <c r="DT18" s="57"/>
      <c r="DU18" s="57"/>
      <c r="DV18" s="57"/>
      <c r="DW18" s="57"/>
      <c r="DX18" s="57"/>
      <c r="DY18" s="57"/>
      <c r="DZ18" s="57"/>
      <c r="EA18" s="57"/>
      <c r="EB18" s="4"/>
      <c r="EC18" s="4" t="s">
        <v>129</v>
      </c>
      <c r="ED18" s="56">
        <f>SUMIFS(tblActuals35415192327[Team 2 GD],tblActuals35415192327[Team 2],$CU18,tblActuals35415192327[Team 1],ED$3)+SUMIFS(tblActuals35415192327[Team 1 GD],tblActuals35415192327[Team 1],$CU18,tblActuals35415192327[Team 2],ED$3)</f>
        <v>0</v>
      </c>
      <c r="EE18" s="56">
        <f>SUMIFS(tblActuals35415192327[Team 2 GD],tblActuals35415192327[Team 2],$CU18,tblActuals35415192327[Team 1],EE$3)+SUMIFS(tblActuals35415192327[Team 1 GD],tblActuals35415192327[Team 1],$CU18,tblActuals35415192327[Team 2],EE$3)</f>
        <v>0</v>
      </c>
      <c r="EF18" s="56">
        <f>SUMIFS(tblActuals35415192327[Team 2 GD],tblActuals35415192327[Team 2],$CU18,tblActuals35415192327[Team 1],EF$3)+SUMIFS(tblActuals35415192327[Team 1 GD],tblActuals35415192327[Team 1],$CU18,tblActuals35415192327[Team 2],EF$3)</f>
        <v>0</v>
      </c>
      <c r="EG18" s="56">
        <f>SUMIFS(tblActuals35415192327[Team 2 GD],tblActuals35415192327[Team 2],$CU18,tblActuals35415192327[Team 1],EG$3)+SUMIFS(tblActuals35415192327[Team 1 GD],tblActuals35415192327[Team 1],$CU18,tblActuals35415192327[Team 2],EG$3)</f>
        <v>0</v>
      </c>
      <c r="EH18" s="56">
        <f>SUMIFS(tblActuals35415192327[Team 2 GD],tblActuals35415192327[Team 2],$CU18,tblActuals35415192327[Team 1],EH$3)+SUMIFS(tblActuals35415192327[Team 1 GD],tblActuals35415192327[Team 1],$CU18,tblActuals35415192327[Team 2],EH$3)</f>
        <v>0</v>
      </c>
      <c r="EI18" s="56">
        <f>SUMIFS(tblActuals35415192327[Team 2 GD],tblActuals35415192327[Team 2],$CU18,tblActuals35415192327[Team 1],EI$3)+SUMIFS(tblActuals35415192327[Team 1 GD],tblActuals35415192327[Team 1],$CU18,tblActuals35415192327[Team 2],EI$3)</f>
        <v>0</v>
      </c>
      <c r="EJ18" s="56">
        <f>SUMIFS(tblActuals35415192327[Team 2 GD],tblActuals35415192327[Team 2],$CU18,tblActuals35415192327[Team 1],EJ$3)+SUMIFS(tblActuals35415192327[Team 1 GD],tblActuals35415192327[Team 1],$CU18,tblActuals35415192327[Team 2],EJ$3)</f>
        <v>0</v>
      </c>
      <c r="EK18" s="56">
        <f>SUMIFS(tblActuals35415192327[Team 2 GD],tblActuals35415192327[Team 2],$CU18,tblActuals35415192327[Team 1],EK$3)+SUMIFS(tblActuals35415192327[Team 1 GD],tblActuals35415192327[Team 1],$CU18,tblActuals35415192327[Team 2],EK$3)</f>
        <v>0</v>
      </c>
      <c r="EL18" s="56">
        <f>SUMIFS(tblActuals35415192327[Team 2 GD],tblActuals35415192327[Team 2],$CU18,tblActuals35415192327[Team 1],EL$3)+SUMIFS(tblActuals35415192327[Team 1 GD],tblActuals35415192327[Team 1],$CU18,tblActuals35415192327[Team 2],EL$3)</f>
        <v>0</v>
      </c>
      <c r="EM18" s="56">
        <f>SUMIFS(tblActuals35415192327[Team 2 GD],tblActuals35415192327[Team 2],$CU18,tblActuals35415192327[Team 1],EM$3)+SUMIFS(tblActuals35415192327[Team 1 GD],tblActuals35415192327[Team 1],$CU18,tblActuals35415192327[Team 2],EM$3)</f>
        <v>0</v>
      </c>
      <c r="EN18" s="56">
        <f>SUMIFS(tblActuals35415192327[Team 2 GD],tblActuals35415192327[Team 2],$CU18,tblActuals35415192327[Team 1],EN$3)+SUMIFS(tblActuals35415192327[Team 1 GD],tblActuals35415192327[Team 1],$CU18,tblActuals35415192327[Team 2],EN$3)</f>
        <v>0</v>
      </c>
      <c r="EO18" s="56">
        <f>SUMIFS(tblActuals35415192327[Team 2 GD],tblActuals35415192327[Team 2],$CU18,tblActuals35415192327[Team 1],EO$3)+SUMIFS(tblActuals35415192327[Team 1 GD],tblActuals35415192327[Team 1],$CU18,tblActuals35415192327[Team 2],EO$3)</f>
        <v>0</v>
      </c>
      <c r="EP18" s="56">
        <f>SUMIFS(tblActuals35415192327[Team 2 GD],tblActuals35415192327[Team 2],$CU18,tblActuals35415192327[Team 1],EP$3)+SUMIFS(tblActuals35415192327[Team 1 GD],tblActuals35415192327[Team 1],$CU18,tblActuals35415192327[Team 2],EP$3)</f>
        <v>0</v>
      </c>
      <c r="EQ18" s="56">
        <f>SUMIFS(tblActuals35415192327[Team 2 GD],tblActuals35415192327[Team 2],$CU18,tblActuals35415192327[Team 1],EQ$3)+SUMIFS(tblActuals35415192327[Team 1 GD],tblActuals35415192327[Team 1],$CU18,tblActuals35415192327[Team 2],EQ$3)</f>
        <v>0</v>
      </c>
      <c r="ER18" s="56">
        <f>SUMIFS(tblActuals35415192327[Team 2 GD],tblActuals35415192327[Team 2],$CU18,tblActuals35415192327[Team 1],ER$3)+SUMIFS(tblActuals35415192327[Team 1 GD],tblActuals35415192327[Team 1],$CU18,tblActuals35415192327[Team 2],ER$3)</f>
        <v>0</v>
      </c>
      <c r="ES18" s="56">
        <f>SUMIFS(tblActuals35415192327[Team 2 GD],tblActuals35415192327[Team 2],$CU18,tblActuals35415192327[Team 1],ES$3)+SUMIFS(tblActuals35415192327[Team 1 GD],tblActuals35415192327[Team 1],$CU18,tblActuals35415192327[Team 2],ES$3)</f>
        <v>0</v>
      </c>
      <c r="ET18" s="56">
        <f>SUMIFS(tblActuals35415192327[Team 2 GD],tblActuals35415192327[Team 2],$CU18,tblActuals35415192327[Team 1],ET$3)+SUMIFS(tblActuals35415192327[Team 1 GD],tblActuals35415192327[Team 1],$CU18,tblActuals35415192327[Team 2],ET$3)</f>
        <v>0</v>
      </c>
      <c r="EU18" s="56">
        <f>SUMIFS(tblActuals35415192327[Team 2 GD],tblActuals35415192327[Team 2],$CU18,tblActuals35415192327[Team 1],EU$3)+SUMIFS(tblActuals35415192327[Team 1 GD],tblActuals35415192327[Team 1],$CU18,tblActuals35415192327[Team 2],EU$3)</f>
        <v>0</v>
      </c>
      <c r="EV18" s="56">
        <f>SUMIFS(tblActuals35415192327[Team 2 GD],tblActuals35415192327[Team 2],$CU18,tblActuals35415192327[Team 1],EV$3)+SUMIFS(tblActuals35415192327[Team 1 GD],tblActuals35415192327[Team 1],$CU18,tblActuals35415192327[Team 2],EV$3)</f>
        <v>0</v>
      </c>
      <c r="EW18" s="56">
        <f>SUMIFS(tblActuals35415192327[Team 2 GD],tblActuals35415192327[Team 2],$CU18,tblActuals35415192327[Team 1],EW$3)+SUMIFS(tblActuals35415192327[Team 1 GD],tblActuals35415192327[Team 1],$CU18,tblActuals35415192327[Team 2],EW$3)</f>
        <v>0</v>
      </c>
      <c r="EX18" s="56">
        <f>SUMIFS(tblActuals35415192327[Team 2 GD],tblActuals35415192327[Team 2],$CU18,tblActuals35415192327[Team 1],EX$3)+SUMIFS(tblActuals35415192327[Team 1 GD],tblActuals35415192327[Team 1],$CU18,tblActuals35415192327[Team 2],EX$3)</f>
        <v>0</v>
      </c>
      <c r="EY18" s="56">
        <f>SUMIFS(tblActuals35415192327[Team 2 GD],tblActuals35415192327[Team 2],$CU18,tblActuals35415192327[Team 1],EY$3)+SUMIFS(tblActuals35415192327[Team 1 GD],tblActuals35415192327[Team 1],$CU18,tblActuals35415192327[Team 2],EY$3)</f>
        <v>0</v>
      </c>
      <c r="EZ18" s="56">
        <f>SUMIFS(tblActuals35415192327[Team 2 GD],tblActuals35415192327[Team 2],$CU18,tblActuals35415192327[Team 1],EZ$3)+SUMIFS(tblActuals35415192327[Team 1 GD],tblActuals35415192327[Team 1],$CU18,tblActuals35415192327[Team 2],EZ$3)</f>
        <v>0</v>
      </c>
      <c r="FA18" s="56">
        <f>SUMIFS(tblActuals35415192327[Team 2 GD],tblActuals35415192327[Team 2],$CU18,tblActuals35415192327[Team 1],FA$3)+SUMIFS(tblActuals35415192327[Team 1 GD],tblActuals35415192327[Team 1],$CU18,tblActuals35415192327[Team 2],FA$3)</f>
        <v>0</v>
      </c>
      <c r="FB18" s="57"/>
      <c r="FC18" s="57"/>
      <c r="FD18" s="57"/>
      <c r="FE18" s="57"/>
      <c r="FF18" s="57"/>
      <c r="FG18" s="57"/>
      <c r="FH18" s="57"/>
      <c r="FI18" s="57"/>
      <c r="FJ18" s="4"/>
      <c r="FK18" s="4" t="s">
        <v>129</v>
      </c>
      <c r="FL18" s="56">
        <f>SUMIFS(tblActuals35415192327[Team 2 Goals],tblActuals35415192327[Team 2],$CU18,tblActuals35415192327[Team 1],FL$3)+SUMIFS(tblActuals35415192327[Team 1 Goals],tblActuals35415192327[Team 1],$CU18,tblActuals35415192327[Team 2],FL$3)</f>
        <v>0</v>
      </c>
      <c r="FM18" s="56">
        <f>SUMIFS(tblActuals35415192327[Team 2 Goals],tblActuals35415192327[Team 2],$CU18,tblActuals35415192327[Team 1],FM$3)+SUMIFS(tblActuals35415192327[Team 1 Goals],tblActuals35415192327[Team 1],$CU18,tblActuals35415192327[Team 2],FM$3)</f>
        <v>0</v>
      </c>
      <c r="FN18" s="56">
        <f>SUMIFS(tblActuals35415192327[Team 2 Goals],tblActuals35415192327[Team 2],$CU18,tblActuals35415192327[Team 1],FN$3)+SUMIFS(tblActuals35415192327[Team 1 Goals],tblActuals35415192327[Team 1],$CU18,tblActuals35415192327[Team 2],FN$3)</f>
        <v>0</v>
      </c>
      <c r="FO18" s="56">
        <f>SUMIFS(tblActuals35415192327[Team 2 Goals],tblActuals35415192327[Team 2],$CU18,tblActuals35415192327[Team 1],FO$3)+SUMIFS(tblActuals35415192327[Team 1 Goals],tblActuals35415192327[Team 1],$CU18,tblActuals35415192327[Team 2],FO$3)</f>
        <v>0</v>
      </c>
      <c r="FP18" s="56">
        <f>SUMIFS(tblActuals35415192327[Team 2 Goals],tblActuals35415192327[Team 2],$CU18,tblActuals35415192327[Team 1],FP$3)+SUMIFS(tblActuals35415192327[Team 1 Goals],tblActuals35415192327[Team 1],$CU18,tblActuals35415192327[Team 2],FP$3)</f>
        <v>0</v>
      </c>
      <c r="FQ18" s="56">
        <f>SUMIFS(tblActuals35415192327[Team 2 Goals],tblActuals35415192327[Team 2],$CU18,tblActuals35415192327[Team 1],FQ$3)+SUMIFS(tblActuals35415192327[Team 1 Goals],tblActuals35415192327[Team 1],$CU18,tblActuals35415192327[Team 2],FQ$3)</f>
        <v>0</v>
      </c>
      <c r="FR18" s="56">
        <f>SUMIFS(tblActuals35415192327[Team 2 Goals],tblActuals35415192327[Team 2],$CU18,tblActuals35415192327[Team 1],FR$3)+SUMIFS(tblActuals35415192327[Team 1 Goals],tblActuals35415192327[Team 1],$CU18,tblActuals35415192327[Team 2],FR$3)</f>
        <v>0</v>
      </c>
      <c r="FS18" s="56">
        <f>SUMIFS(tblActuals35415192327[Team 2 Goals],tblActuals35415192327[Team 2],$CU18,tblActuals35415192327[Team 1],FS$3)+SUMIFS(tblActuals35415192327[Team 1 Goals],tblActuals35415192327[Team 1],$CU18,tblActuals35415192327[Team 2],FS$3)</f>
        <v>0</v>
      </c>
      <c r="FT18" s="56">
        <f>SUMIFS(tblActuals35415192327[Team 2 Goals],tblActuals35415192327[Team 2],$CU18,tblActuals35415192327[Team 1],FT$3)+SUMIFS(tblActuals35415192327[Team 1 Goals],tblActuals35415192327[Team 1],$CU18,tblActuals35415192327[Team 2],FT$3)</f>
        <v>0</v>
      </c>
      <c r="FU18" s="56">
        <f>SUMIFS(tblActuals35415192327[Team 2 Goals],tblActuals35415192327[Team 2],$CU18,tblActuals35415192327[Team 1],FU$3)+SUMIFS(tblActuals35415192327[Team 1 Goals],tblActuals35415192327[Team 1],$CU18,tblActuals35415192327[Team 2],FU$3)</f>
        <v>0</v>
      </c>
      <c r="FV18" s="56">
        <f>SUMIFS(tblActuals35415192327[Team 2 Goals],tblActuals35415192327[Team 2],$CU18,tblActuals35415192327[Team 1],FV$3)+SUMIFS(tblActuals35415192327[Team 1 Goals],tblActuals35415192327[Team 1],$CU18,tblActuals35415192327[Team 2],FV$3)</f>
        <v>0</v>
      </c>
      <c r="FW18" s="56">
        <f>SUMIFS(tblActuals35415192327[Team 2 Goals],tblActuals35415192327[Team 2],$CU18,tblActuals35415192327[Team 1],FW$3)+SUMIFS(tblActuals35415192327[Team 1 Goals],tblActuals35415192327[Team 1],$CU18,tblActuals35415192327[Team 2],FW$3)</f>
        <v>0</v>
      </c>
      <c r="FX18" s="56">
        <f>SUMIFS(tblActuals35415192327[Team 2 Goals],tblActuals35415192327[Team 2],$CU18,tblActuals35415192327[Team 1],FX$3)+SUMIFS(tblActuals35415192327[Team 1 Goals],tblActuals35415192327[Team 1],$CU18,tblActuals35415192327[Team 2],FX$3)</f>
        <v>0</v>
      </c>
      <c r="FY18" s="56">
        <f>SUMIFS(tblActuals35415192327[Team 2 Goals],tblActuals35415192327[Team 2],$CU18,tblActuals35415192327[Team 1],FY$3)+SUMIFS(tblActuals35415192327[Team 1 Goals],tblActuals35415192327[Team 1],$CU18,tblActuals35415192327[Team 2],FY$3)</f>
        <v>0</v>
      </c>
      <c r="FZ18" s="56">
        <f>SUMIFS(tblActuals35415192327[Team 2 Goals],tblActuals35415192327[Team 2],$CU18,tblActuals35415192327[Team 1],FZ$3)+SUMIFS(tblActuals35415192327[Team 1 Goals],tblActuals35415192327[Team 1],$CU18,tblActuals35415192327[Team 2],FZ$3)</f>
        <v>0</v>
      </c>
      <c r="GA18" s="56">
        <f>SUMIFS(tblActuals35415192327[Team 2 Goals],tblActuals35415192327[Team 2],$CU18,tblActuals35415192327[Team 1],GA$3)+SUMIFS(tblActuals35415192327[Team 1 Goals],tblActuals35415192327[Team 1],$CU18,tblActuals35415192327[Team 2],GA$3)</f>
        <v>0</v>
      </c>
      <c r="GB18" s="56">
        <f>SUMIFS(tblActuals35415192327[Team 2 Goals],tblActuals35415192327[Team 2],$CU18,tblActuals35415192327[Team 1],GB$3)+SUMIFS(tblActuals35415192327[Team 1 Goals],tblActuals35415192327[Team 1],$CU18,tblActuals35415192327[Team 2],GB$3)</f>
        <v>0</v>
      </c>
      <c r="GC18" s="56">
        <f>SUMIFS(tblActuals35415192327[Team 2 Goals],tblActuals35415192327[Team 2],$CU18,tblActuals35415192327[Team 1],GC$3)+SUMIFS(tblActuals35415192327[Team 1 Goals],tblActuals35415192327[Team 1],$CU18,tblActuals35415192327[Team 2],GC$3)</f>
        <v>0</v>
      </c>
      <c r="GD18" s="56">
        <f>SUMIFS(tblActuals35415192327[Team 2 Goals],tblActuals35415192327[Team 2],$CU18,tblActuals35415192327[Team 1],GD$3)+SUMIFS(tblActuals35415192327[Team 1 Goals],tblActuals35415192327[Team 1],$CU18,tblActuals35415192327[Team 2],GD$3)</f>
        <v>0</v>
      </c>
      <c r="GE18" s="56">
        <f>SUMIFS(tblActuals35415192327[Team 2 Goals],tblActuals35415192327[Team 2],$CU18,tblActuals35415192327[Team 1],GE$3)+SUMIFS(tblActuals35415192327[Team 1 Goals],tblActuals35415192327[Team 1],$CU18,tblActuals35415192327[Team 2],GE$3)</f>
        <v>0</v>
      </c>
      <c r="GF18" s="56">
        <f>SUMIFS(tblActuals35415192327[Team 2 Goals],tblActuals35415192327[Team 2],$CU18,tblActuals35415192327[Team 1],GF$3)+SUMIFS(tblActuals35415192327[Team 1 Goals],tblActuals35415192327[Team 1],$CU18,tblActuals35415192327[Team 2],GF$3)</f>
        <v>0</v>
      </c>
      <c r="GG18" s="56">
        <f>SUMIFS(tblActuals35415192327[Team 2 Goals],tblActuals35415192327[Team 2],$CU18,tblActuals35415192327[Team 1],GG$3)+SUMIFS(tblActuals35415192327[Team 1 Goals],tblActuals35415192327[Team 1],$CU18,tblActuals35415192327[Team 2],GG$3)</f>
        <v>0</v>
      </c>
      <c r="GH18" s="56">
        <f>SUMIFS(tblActuals35415192327[Team 2 Goals],tblActuals35415192327[Team 2],$CU18,tblActuals35415192327[Team 1],GH$3)+SUMIFS(tblActuals35415192327[Team 1 Goals],tblActuals35415192327[Team 1],$CU18,tblActuals35415192327[Team 2],GH$3)</f>
        <v>0</v>
      </c>
      <c r="GI18" s="56">
        <f>SUMIFS(tblActuals35415192327[Team 2 Goals],tblActuals35415192327[Team 2],$CU18,tblActuals35415192327[Team 1],GI$3)+SUMIFS(tblActuals35415192327[Team 1 Goals],tblActuals35415192327[Team 1],$CU18,tblActuals35415192327[Team 2],GI$3)</f>
        <v>0</v>
      </c>
      <c r="GJ18" s="57"/>
      <c r="GK18" s="57"/>
      <c r="GL18" s="37"/>
      <c r="GM18" s="37"/>
      <c r="GN18" s="37"/>
      <c r="GO18" s="37"/>
      <c r="GP18" s="37"/>
      <c r="GQ18" s="37"/>
      <c r="GR18" s="75"/>
      <c r="GS18" s="156"/>
      <c r="GT18" s="156"/>
      <c r="GU18" s="75"/>
      <c r="GV18" s="75"/>
      <c r="GW18" s="75"/>
      <c r="GX18" s="75"/>
      <c r="GY18" s="75"/>
      <c r="GZ18" s="75"/>
      <c r="HB18" s="4" t="str">
        <f t="shared" si="12"/>
        <v>BDEF</v>
      </c>
      <c r="HC18" s="45"/>
      <c r="HD18" s="44" t="s">
        <v>5</v>
      </c>
      <c r="HE18" s="45"/>
      <c r="HF18" s="44" t="s">
        <v>7</v>
      </c>
      <c r="HG18" s="44" t="s">
        <v>12</v>
      </c>
      <c r="HH18" s="44" t="s">
        <v>45</v>
      </c>
      <c r="HI18" s="178"/>
      <c r="HJ18" s="45" t="s">
        <v>154</v>
      </c>
      <c r="HK18" s="45" t="s">
        <v>153</v>
      </c>
      <c r="HL18" s="45" t="s">
        <v>150</v>
      </c>
      <c r="HM18" s="45" t="s">
        <v>151</v>
      </c>
    </row>
    <row r="19" spans="1:221" s="11" customFormat="1" ht="30" customHeight="1" x14ac:dyDescent="0.25">
      <c r="A19" s="20"/>
      <c r="B19" s="122">
        <v>16</v>
      </c>
      <c r="C19" s="122" t="s">
        <v>5</v>
      </c>
      <c r="D19" s="123">
        <v>45463</v>
      </c>
      <c r="E19" s="122" t="s">
        <v>82</v>
      </c>
      <c r="F19" s="124">
        <v>0.875</v>
      </c>
      <c r="G19" s="125">
        <f t="shared" si="11"/>
        <v>45463.625</v>
      </c>
      <c r="H19" s="124" t="s">
        <v>104</v>
      </c>
      <c r="I19" s="126"/>
      <c r="J19" s="118"/>
      <c r="K19" s="118"/>
      <c r="L19" s="174">
        <f>IF(I19="",0,IFERROR(IF(SCORING.RULES!$C$8="No",1,((VLOOKUP($B19,ACTUALS!$B$4:$L$100,7,FALSE)=$H19)+(VLOOKUP($B19,ACTUALS!$B$4:$L$100,7,FALSE)=S19)))*(M19+N19+O19+P19+Q19),0))+$R19</f>
        <v>0</v>
      </c>
      <c r="M19" s="168">
        <f>IFERROR(IF($B19="","",IF(U19=INDEX(ACTUALS!$AA$4:$AA$100,MATCH($B19,ACTUALS!$B$4:$B$100,0),1),CorrectScore,0)),0)</f>
        <v>0</v>
      </c>
      <c r="N19" s="157" t="str">
        <f>IFERROR(IF(I19="","",IF(INDEX(ACTUALS!$AB$4:$AB$100,MATCH($B19,ACTUALS!$B$4:$B$100,0),1)=(AB19+AC19+AH19+AI19),CorrectNumberofGoals,0)),0)</f>
        <v/>
      </c>
      <c r="O19" s="157"/>
      <c r="P19" s="157">
        <f>IFERROR(IF(B19="","",IF(INDEX(ACTUALS!$L$4:$L$100,MATCH($B19,ACTUALS!$B$4:$B$100,0),1)=W19,CorrectResult,0)),0)</f>
        <v>3</v>
      </c>
      <c r="Q19" s="157"/>
      <c r="R19" s="157"/>
      <c r="S19" s="157" t="str">
        <f t="shared" si="0"/>
        <v/>
      </c>
      <c r="T19" s="157"/>
      <c r="U19" s="157" t="str">
        <f t="shared" si="1"/>
        <v/>
      </c>
      <c r="V19" s="157" t="str">
        <f t="shared" si="2"/>
        <v/>
      </c>
      <c r="W19" s="119" t="str">
        <f>IF(tblActuals35415192327[[#This Row],[SCORE]]="","",IF(AB19=AC19,"Draw",IF(AB19&gt;AC19,X19,Y19)))</f>
        <v/>
      </c>
      <c r="X19" s="120" t="str">
        <f>IF(tblActuals35415192327[[#This Row],[TEAMS]]="","",LEFT(H19,FIND(" -",H19,1)-1))</f>
        <v>Spain</v>
      </c>
      <c r="Y19" s="120" t="str">
        <f>IF(tblActuals35415192327[[#This Row],[TEAMS]]="","",MID(H19,FIND("-",H19,1)+2,LEN(H19)-FIND("-",H19,1)+2))</f>
        <v>Italy</v>
      </c>
      <c r="Z19" s="120" t="str">
        <f>IF(tblActuals35415192327[[#This Row],[Team 1 Goals]]&gt;tblActuals35415192327[[#This Row],[Team 2 Goals]],tblActuals35415192327[[#This Row],[Team 1]],IF(tblActuals35415192327[[#This Row],[Team 2 Goals]]&gt;tblActuals35415192327[[#This Row],[Team 1 Goals]],tblActuals35415192327[[#This Row],[Team 2]],""))</f>
        <v/>
      </c>
      <c r="AA19" s="120" t="str">
        <f>IF(tblActuals35415192327[[#This Row],[Winner]]=tblActuals35415192327[[#This Row],[Team 1]],tblActuals35415192327[[#This Row],[Team 2]],IF(tblActuals35415192327[[#This Row],[Winner]]=tblActuals35415192327[[#This Row],[Team 2]],tblActuals35415192327[[#This Row],[Team 1]],""))</f>
        <v/>
      </c>
      <c r="AB19" s="120" t="str">
        <f>IF(tblActuals35415192327[[#This Row],[SCORE]]="","",LEFT(I19,FIND(":",I19,1)-1)*1)</f>
        <v/>
      </c>
      <c r="AC19" s="120" t="str">
        <f>IF(tblActuals35415192327[[#This Row],[SCORE]]="","",MID(I19,FIND(":",I19,1)+1,LEN(I19)-FIND(":",I19,1)+1)*1)</f>
        <v/>
      </c>
      <c r="AD19" s="120" t="str">
        <f>IF(OR(tblActuals35415192327[[#This Row],[Team 1 Goals]]="",tblActuals35415192327[[#This Row],[Team 2 Goals]]=""),"",tblActuals35415192327[[#This Row],[Team 1 Goals]]-tblActuals35415192327[[#This Row],[Team 2 Goals]])</f>
        <v/>
      </c>
      <c r="AE19" s="120" t="str">
        <f>IF(OR(tblActuals35415192327[[#This Row],[Team 1 Goals]]="",tblActuals35415192327[[#This Row],[Team 2 Goals]]=""),"",tblActuals35415192327[[#This Row],[Team 2 Goals]]-tblActuals35415192327[[#This Row],[Team 1 Goals]])</f>
        <v/>
      </c>
      <c r="AF19" s="120" t="str">
        <f>IF(tblActuals35415192327[[#This Row],[SCORE]]="","",IF(tblActuals35415192327[[#This Row],[WINNER / RESULT]]="Draw",1,IF(tblActuals35415192327[[#This Row],[WINNER / RESULT]]=tblActuals35415192327[[#This Row],[Team 1]],3,0)))</f>
        <v/>
      </c>
      <c r="AG19" s="120" t="str">
        <f>IF(tblActuals35415192327[[#This Row],[SCORE]]="","",IF(tblActuals35415192327[[#This Row],[WINNER / RESULT]]="Draw",1,IF(tblActuals35415192327[[#This Row],[WINNER / RESULT]]=tblActuals35415192327[[#This Row],[Team 2]],3,0)))</f>
        <v/>
      </c>
      <c r="AH19" s="121"/>
      <c r="AI19" s="121"/>
      <c r="AJ19" s="121"/>
      <c r="AK19" s="121"/>
      <c r="AL19" s="120" t="e">
        <f>tblActuals35415192327[[#This Row],[Team 1 Goals]]+tblActuals35415192327[[#This Row],[Team 1 ET Goals]]&amp;":"&amp;tblActuals35415192327[[#This Row],[Team 2 Goals]]+tblActuals35415192327[[#This Row],[Team 2 ET Goals]]</f>
        <v>#VALUE!</v>
      </c>
      <c r="AM19" s="120" t="e">
        <f>+tblActuals35415192327[[#This Row],[Team 1 Goals]]+tblActuals35415192327[[#This Row],[Team 2 Goals]]</f>
        <v>#VALUE!</v>
      </c>
      <c r="AN19" s="161">
        <f t="shared" si="3"/>
        <v>45463</v>
      </c>
      <c r="AT19" s="77" t="s">
        <v>6</v>
      </c>
      <c r="AU19" s="139">
        <v>2</v>
      </c>
      <c r="AV19" s="140" t="str">
        <f ca="1">IFERROR(INDEX(BD:BD,MATCH("2"&amp;AT19,BN:BN,0),1),"")</f>
        <v>England</v>
      </c>
      <c r="AW19" s="140" t="str">
        <f ca="1">IF(AV19="","",VLOOKUP(AV19,BD:BI,2,FALSE)&amp;"-"&amp;VLOOKUP(AV19,BD:BI,3,FALSE)&amp;"-"&amp;VLOOKUP(AV19,BD:BI,4,FALSE))</f>
        <v>0-0-0</v>
      </c>
      <c r="AX19" s="140">
        <f ca="1">IF(AV19="","",VLOOKUP(AV19,BD:BK,8,FALSE))</f>
        <v>0</v>
      </c>
      <c r="AY19" s="141">
        <f ca="1">IF(AV19="","",VLOOKUP(AV19,BD:BN,5,FALSE))</f>
        <v>0</v>
      </c>
      <c r="AZ19" s="75"/>
      <c r="BA19" s="4"/>
      <c r="BB19" s="4"/>
      <c r="BC19" s="4" t="s">
        <v>7</v>
      </c>
      <c r="BD19" s="4" t="s">
        <v>129</v>
      </c>
      <c r="BE19" s="4">
        <f>COUNTIF(tblActuals35415192327[Winner],BD19)</f>
        <v>0</v>
      </c>
      <c r="BF19" s="4">
        <f>COUNTIFS(tblActuals35415192327[Team 2],BD19,tblActuals35415192327[WINNER / RESULT],"Draw")+COUNTIFS(tblActuals35415192327[Team 1],BD19,tblActuals35415192327[WINNER / RESULT],"Draw")</f>
        <v>0</v>
      </c>
      <c r="BG19" s="4">
        <f>COUNTIF(tblActuals35415192327[Loser],BD19)</f>
        <v>0</v>
      </c>
      <c r="BH19" s="4">
        <f>BF19+(3*BE19)</f>
        <v>0</v>
      </c>
      <c r="BI19" s="4">
        <f>SUMIFS(tblActuals35415192327[Team 1 Goals],tblActuals35415192327[Team 1],BD19)+SUMIFS(tblActuals35415192327[Team 2 Goals],tblActuals35415192327[Team 2],BD19)</f>
        <v>0</v>
      </c>
      <c r="BJ19" s="4">
        <f>SUMIFS(tblActuals35415192327[Team 2 Goals],tblActuals35415192327[Team 1],BD19)+SUMIFS(tblActuals35415192327[Team 1 Goals],tblActuals35415192327[Team 2],BD19)</f>
        <v>0</v>
      </c>
      <c r="BK19" s="4">
        <f>BI19-BJ19</f>
        <v>0</v>
      </c>
      <c r="BL19" s="4">
        <f ca="1">RANK(BY19,$BY$19:$BY$22,1)</f>
        <v>1</v>
      </c>
      <c r="BM19" s="4" t="str">
        <f t="shared" si="4"/>
        <v/>
      </c>
      <c r="BN19" s="4" t="str">
        <f ca="1">IF(BM19="",BL19&amp;BC19,BM19&amp;BC19)</f>
        <v>1D</v>
      </c>
      <c r="BO19" s="4">
        <f>RANK(BH19,$BH$19:$BH$22,0)</f>
        <v>1</v>
      </c>
      <c r="BP19" s="4" cm="1">
        <f t="array" aca="1" ref="BP19" ca="1">SUMPRODUCT((OFFSET($CV$3:$EA$3,MATCH($BD19,$CU$4:$CU$35,0),0))*((IF($BO21=$BO19,$CV$3:$EA$3=$BD21,0))+(IF($BO22=$BO19,$CV$3:$EA$3=$BD22,0))+(IF($BO20=$BO19,$CV$3:$EA$3=$BD20,0))))</f>
        <v>0</v>
      </c>
      <c r="BQ19" s="4" cm="1">
        <f t="array" aca="1" ref="BQ19" ca="1">SUMPRODUCT((OFFSET($ED$3:$FI$3,MATCH($BD19,$EC$4:$EC$35,0),0))*((IF($BO21=$BO19,$ED$3:$FI$3=$BD21,0))+(IF($BO22=$BO19,$ED$3:$FI$3=$BD22,0))+(IF($BO20=$BO19,$ED$3:$FI$3=$BD20,0))))</f>
        <v>0</v>
      </c>
      <c r="BR19" s="4" cm="1">
        <f t="array" aca="1" ref="BR19" ca="1">SUMPRODUCT((OFFSET($FL$3:$GQ$3,MATCH($BD19,$FK$4:$FK$35,0),0))*((IF($BO21=$BO19,$FL$3:$GQ$3=$BD21,0))+(IF($BO22=$BO19,$FL$3:$GQ$3=$BD22,0))+(IF($BO20=$BO19,$FL$3:$GQ$3=$BD20,0))))</f>
        <v>0</v>
      </c>
      <c r="BS19" s="4" cm="1">
        <f t="array" aca="1" ref="BS19" ca="1">SUMPRODUCT((OFFSET($CV$3:$EA$3,MATCH($BD19,$CU$4:$CU$35,0),0))*((IF($BO21&lt;&gt;$BO19,$CV$3:$EA$3=$BD21,0))+(IF($BO22&lt;&gt;$BO19,$CV$3:$EA$3=$BD22,0))+(IF($BO20&lt;&gt;$BO19,$CV$3:$EA$3=$BD20,0))))</f>
        <v>0</v>
      </c>
      <c r="BT19" s="4" cm="1">
        <f t="array" aca="1" ref="BT19" ca="1">SUMPRODUCT((OFFSET($ED$3:$FI$3,MATCH($BD19,$EC$4:$EC$35,0),0))*((IF($BO21&lt;&gt;$BO19,$ED$3:$FI$3=$BD21,0))+(IF($BO22&lt;&gt;$BO19,$ED$3:$FI$3=$BD22,0))+(IF($BO20&lt;&gt;$BO19,$ED$3:$FI$3=$BD20,0))))</f>
        <v>0</v>
      </c>
      <c r="BU19" s="4" cm="1">
        <f t="array" aca="1" ref="BU19" ca="1">SUMPRODUCT((OFFSET($FL$3:$GQ$3,MATCH($BD19,$FK$4:$FK$35,0),0))*((IF($BO21&lt;&gt;$BO19,$FL$3:$GQ$3=$BD21,0))+(IF($BO22&lt;&gt;$BO19,$FL$3:$GQ$3=$BD22,0))+(IF($BO20&lt;&gt;$BO19,$FL$3:$GQ$3=$BD20,0))))</f>
        <v>0</v>
      </c>
      <c r="BV19" s="4">
        <f>BK19</f>
        <v>0</v>
      </c>
      <c r="BW19" s="4">
        <f>BI19</f>
        <v>0</v>
      </c>
      <c r="BX19" s="4">
        <f ca="1">(BP19/10)+(BQ19/100)+(BR19/1000)+(BT19/10000)+(BU19/100000)+(BV19/1000000)+(BW19/10000000)+(ROW(BS22)/100000000)</f>
        <v>2.2000000000000001E-7</v>
      </c>
      <c r="BY19" s="4">
        <f ca="1">+BO19-BX19</f>
        <v>0.99999978</v>
      </c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U19" s="4" t="s">
        <v>26</v>
      </c>
      <c r="CV19" s="56">
        <f>SUMIFS(tblActuals35415192327[Team 2 Points],tblActuals35415192327[Team 2],$CU19,tblActuals35415192327[Team 1],CV$3)+SUMIFS(tblActuals35415192327[Team 1 Points],tblActuals35415192327[Team 1],$CU19,tblActuals35415192327[Team 2],CV$3)</f>
        <v>0</v>
      </c>
      <c r="CW19" s="56">
        <f>SUMIFS(tblActuals35415192327[Team 2 Points],tblActuals35415192327[Team 2],$CU19,tblActuals35415192327[Team 1],CW$3)+SUMIFS(tblActuals35415192327[Team 1 Points],tblActuals35415192327[Team 1],$CU19,tblActuals35415192327[Team 2],CW$3)</f>
        <v>0</v>
      </c>
      <c r="CX19" s="56">
        <f>SUMIFS(tblActuals35415192327[Team 2 Points],tblActuals35415192327[Team 2],$CU19,tblActuals35415192327[Team 1],CX$3)+SUMIFS(tblActuals35415192327[Team 1 Points],tblActuals35415192327[Team 1],$CU19,tblActuals35415192327[Team 2],CX$3)</f>
        <v>0</v>
      </c>
      <c r="CY19" s="56">
        <f>SUMIFS(tblActuals35415192327[Team 2 Points],tblActuals35415192327[Team 2],$CU19,tblActuals35415192327[Team 1],CY$3)+SUMIFS(tblActuals35415192327[Team 1 Points],tblActuals35415192327[Team 1],$CU19,tblActuals35415192327[Team 2],CY$3)</f>
        <v>0</v>
      </c>
      <c r="CZ19" s="56">
        <f>SUMIFS(tblActuals35415192327[Team 2 Points],tblActuals35415192327[Team 2],$CU19,tblActuals35415192327[Team 1],CZ$3)+SUMIFS(tblActuals35415192327[Team 1 Points],tblActuals35415192327[Team 1],$CU19,tblActuals35415192327[Team 2],CZ$3)</f>
        <v>0</v>
      </c>
      <c r="DA19" s="56">
        <f>SUMIFS(tblActuals35415192327[Team 2 Points],tblActuals35415192327[Team 2],$CU19,tblActuals35415192327[Team 1],DA$3)+SUMIFS(tblActuals35415192327[Team 1 Points],tblActuals35415192327[Team 1],$CU19,tblActuals35415192327[Team 2],DA$3)</f>
        <v>0</v>
      </c>
      <c r="DB19" s="56">
        <f>SUMIFS(tblActuals35415192327[Team 2 Points],tblActuals35415192327[Team 2],$CU19,tblActuals35415192327[Team 1],DB$3)+SUMIFS(tblActuals35415192327[Team 1 Points],tblActuals35415192327[Team 1],$CU19,tblActuals35415192327[Team 2],DB$3)</f>
        <v>0</v>
      </c>
      <c r="DC19" s="56">
        <f>SUMIFS(tblActuals35415192327[Team 2 Points],tblActuals35415192327[Team 2],$CU19,tblActuals35415192327[Team 1],DC$3)+SUMIFS(tblActuals35415192327[Team 1 Points],tblActuals35415192327[Team 1],$CU19,tblActuals35415192327[Team 2],DC$3)</f>
        <v>0</v>
      </c>
      <c r="DD19" s="56">
        <f>SUMIFS(tblActuals35415192327[Team 2 Points],tblActuals35415192327[Team 2],$CU19,tblActuals35415192327[Team 1],DD$3)+SUMIFS(tblActuals35415192327[Team 1 Points],tblActuals35415192327[Team 1],$CU19,tblActuals35415192327[Team 2],DD$3)</f>
        <v>0</v>
      </c>
      <c r="DE19" s="56">
        <f>SUMIFS(tblActuals35415192327[Team 2 Points],tblActuals35415192327[Team 2],$CU19,tblActuals35415192327[Team 1],DE$3)+SUMIFS(tblActuals35415192327[Team 1 Points],tblActuals35415192327[Team 1],$CU19,tblActuals35415192327[Team 2],DE$3)</f>
        <v>0</v>
      </c>
      <c r="DF19" s="56">
        <f>SUMIFS(tblActuals35415192327[Team 2 Points],tblActuals35415192327[Team 2],$CU19,tblActuals35415192327[Team 1],DF$3)+SUMIFS(tblActuals35415192327[Team 1 Points],tblActuals35415192327[Team 1],$CU19,tblActuals35415192327[Team 2],DF$3)</f>
        <v>0</v>
      </c>
      <c r="DG19" s="56">
        <f>SUMIFS(tblActuals35415192327[Team 2 Points],tblActuals35415192327[Team 2],$CU19,tblActuals35415192327[Team 1],DG$3)+SUMIFS(tblActuals35415192327[Team 1 Points],tblActuals35415192327[Team 1],$CU19,tblActuals35415192327[Team 2],DG$3)</f>
        <v>0</v>
      </c>
      <c r="DH19" s="56">
        <f>SUMIFS(tblActuals35415192327[Team 2 Points],tblActuals35415192327[Team 2],$CU19,tblActuals35415192327[Team 1],DH$3)+SUMIFS(tblActuals35415192327[Team 1 Points],tblActuals35415192327[Team 1],$CU19,tblActuals35415192327[Team 2],DH$3)</f>
        <v>0</v>
      </c>
      <c r="DI19" s="56">
        <f>SUMIFS(tblActuals35415192327[Team 2 Points],tblActuals35415192327[Team 2],$CU19,tblActuals35415192327[Team 1],DI$3)+SUMIFS(tblActuals35415192327[Team 1 Points],tblActuals35415192327[Team 1],$CU19,tblActuals35415192327[Team 2],DI$3)</f>
        <v>0</v>
      </c>
      <c r="DJ19" s="56">
        <f>SUMIFS(tblActuals35415192327[Team 2 Points],tblActuals35415192327[Team 2],$CU19,tblActuals35415192327[Team 1],DJ$3)+SUMIFS(tblActuals35415192327[Team 1 Points],tblActuals35415192327[Team 1],$CU19,tblActuals35415192327[Team 2],DJ$3)</f>
        <v>0</v>
      </c>
      <c r="DK19" s="56">
        <f>SUMIFS(tblActuals35415192327[Team 2 Points],tblActuals35415192327[Team 2],$CU19,tblActuals35415192327[Team 1],DK$3)+SUMIFS(tblActuals35415192327[Team 1 Points],tblActuals35415192327[Team 1],$CU19,tblActuals35415192327[Team 2],DK$3)</f>
        <v>0</v>
      </c>
      <c r="DL19" s="56">
        <f>SUMIFS(tblActuals35415192327[Team 2 Points],tblActuals35415192327[Team 2],$CU19,tblActuals35415192327[Team 1],DL$3)+SUMIFS(tblActuals35415192327[Team 1 Points],tblActuals35415192327[Team 1],$CU19,tblActuals35415192327[Team 2],DL$3)</f>
        <v>0</v>
      </c>
      <c r="DM19" s="56">
        <f>SUMIFS(tblActuals35415192327[Team 2 Points],tblActuals35415192327[Team 2],$CU19,tblActuals35415192327[Team 1],DM$3)+SUMIFS(tblActuals35415192327[Team 1 Points],tblActuals35415192327[Team 1],$CU19,tblActuals35415192327[Team 2],DM$3)</f>
        <v>0</v>
      </c>
      <c r="DN19" s="56">
        <f>SUMIFS(tblActuals35415192327[Team 2 Points],tblActuals35415192327[Team 2],$CU19,tblActuals35415192327[Team 1],DN$3)+SUMIFS(tblActuals35415192327[Team 1 Points],tblActuals35415192327[Team 1],$CU19,tblActuals35415192327[Team 2],DN$3)</f>
        <v>0</v>
      </c>
      <c r="DO19" s="56">
        <f>SUMIFS(tblActuals35415192327[Team 2 Points],tblActuals35415192327[Team 2],$CU19,tblActuals35415192327[Team 1],DO$3)+SUMIFS(tblActuals35415192327[Team 1 Points],tblActuals35415192327[Team 1],$CU19,tblActuals35415192327[Team 2],DO$3)</f>
        <v>0</v>
      </c>
      <c r="DP19" s="56">
        <f>SUMIFS(tblActuals35415192327[Team 2 Points],tblActuals35415192327[Team 2],$CU19,tblActuals35415192327[Team 1],DP$3)+SUMIFS(tblActuals35415192327[Team 1 Points],tblActuals35415192327[Team 1],$CU19,tblActuals35415192327[Team 2],DP$3)</f>
        <v>0</v>
      </c>
      <c r="DQ19" s="56">
        <f>SUMIFS(tblActuals35415192327[Team 2 Points],tblActuals35415192327[Team 2],$CU19,tblActuals35415192327[Team 1],DQ$3)+SUMIFS(tblActuals35415192327[Team 1 Points],tblActuals35415192327[Team 1],$CU19,tblActuals35415192327[Team 2],DQ$3)</f>
        <v>0</v>
      </c>
      <c r="DR19" s="56">
        <f>SUMIFS(tblActuals35415192327[Team 2 Points],tblActuals35415192327[Team 2],$CU19,tblActuals35415192327[Team 1],DR$3)+SUMIFS(tblActuals35415192327[Team 1 Points],tblActuals35415192327[Team 1],$CU19,tblActuals35415192327[Team 2],DR$3)</f>
        <v>0</v>
      </c>
      <c r="DS19" s="56">
        <f>SUMIFS(tblActuals35415192327[Team 2 Points],tblActuals35415192327[Team 2],$CU19,tblActuals35415192327[Team 1],DS$3)+SUMIFS(tblActuals35415192327[Team 1 Points],tblActuals35415192327[Team 1],$CU19,tblActuals35415192327[Team 2],DS$3)</f>
        <v>0</v>
      </c>
      <c r="DT19" s="57"/>
      <c r="DU19" s="57"/>
      <c r="DV19" s="57"/>
      <c r="DW19" s="57"/>
      <c r="DX19" s="57"/>
      <c r="DY19" s="57"/>
      <c r="DZ19" s="57"/>
      <c r="EA19" s="57"/>
      <c r="EB19" s="4"/>
      <c r="EC19" s="4" t="s">
        <v>26</v>
      </c>
      <c r="ED19" s="56">
        <f>SUMIFS(tblActuals35415192327[Team 2 GD],tblActuals35415192327[Team 2],$CU19,tblActuals35415192327[Team 1],ED$3)+SUMIFS(tblActuals35415192327[Team 1 GD],tblActuals35415192327[Team 1],$CU19,tblActuals35415192327[Team 2],ED$3)</f>
        <v>0</v>
      </c>
      <c r="EE19" s="56">
        <f>SUMIFS(tblActuals35415192327[Team 2 GD],tblActuals35415192327[Team 2],$CU19,tblActuals35415192327[Team 1],EE$3)+SUMIFS(tblActuals35415192327[Team 1 GD],tblActuals35415192327[Team 1],$CU19,tblActuals35415192327[Team 2],EE$3)</f>
        <v>0</v>
      </c>
      <c r="EF19" s="56">
        <f>SUMIFS(tblActuals35415192327[Team 2 GD],tblActuals35415192327[Team 2],$CU19,tblActuals35415192327[Team 1],EF$3)+SUMIFS(tblActuals35415192327[Team 1 GD],tblActuals35415192327[Team 1],$CU19,tblActuals35415192327[Team 2],EF$3)</f>
        <v>0</v>
      </c>
      <c r="EG19" s="56">
        <f>SUMIFS(tblActuals35415192327[Team 2 GD],tblActuals35415192327[Team 2],$CU19,tblActuals35415192327[Team 1],EG$3)+SUMIFS(tblActuals35415192327[Team 1 GD],tblActuals35415192327[Team 1],$CU19,tblActuals35415192327[Team 2],EG$3)</f>
        <v>0</v>
      </c>
      <c r="EH19" s="56">
        <f>SUMIFS(tblActuals35415192327[Team 2 GD],tblActuals35415192327[Team 2],$CU19,tblActuals35415192327[Team 1],EH$3)+SUMIFS(tblActuals35415192327[Team 1 GD],tblActuals35415192327[Team 1],$CU19,tblActuals35415192327[Team 2],EH$3)</f>
        <v>0</v>
      </c>
      <c r="EI19" s="56">
        <f>SUMIFS(tblActuals35415192327[Team 2 GD],tblActuals35415192327[Team 2],$CU19,tblActuals35415192327[Team 1],EI$3)+SUMIFS(tblActuals35415192327[Team 1 GD],tblActuals35415192327[Team 1],$CU19,tblActuals35415192327[Team 2],EI$3)</f>
        <v>0</v>
      </c>
      <c r="EJ19" s="56">
        <f>SUMIFS(tblActuals35415192327[Team 2 GD],tblActuals35415192327[Team 2],$CU19,tblActuals35415192327[Team 1],EJ$3)+SUMIFS(tblActuals35415192327[Team 1 GD],tblActuals35415192327[Team 1],$CU19,tblActuals35415192327[Team 2],EJ$3)</f>
        <v>0</v>
      </c>
      <c r="EK19" s="56">
        <f>SUMIFS(tblActuals35415192327[Team 2 GD],tblActuals35415192327[Team 2],$CU19,tblActuals35415192327[Team 1],EK$3)+SUMIFS(tblActuals35415192327[Team 1 GD],tblActuals35415192327[Team 1],$CU19,tblActuals35415192327[Team 2],EK$3)</f>
        <v>0</v>
      </c>
      <c r="EL19" s="56">
        <f>SUMIFS(tblActuals35415192327[Team 2 GD],tblActuals35415192327[Team 2],$CU19,tblActuals35415192327[Team 1],EL$3)+SUMIFS(tblActuals35415192327[Team 1 GD],tblActuals35415192327[Team 1],$CU19,tblActuals35415192327[Team 2],EL$3)</f>
        <v>0</v>
      </c>
      <c r="EM19" s="56">
        <f>SUMIFS(tblActuals35415192327[Team 2 GD],tblActuals35415192327[Team 2],$CU19,tblActuals35415192327[Team 1],EM$3)+SUMIFS(tblActuals35415192327[Team 1 GD],tblActuals35415192327[Team 1],$CU19,tblActuals35415192327[Team 2],EM$3)</f>
        <v>0</v>
      </c>
      <c r="EN19" s="56">
        <f>SUMIFS(tblActuals35415192327[Team 2 GD],tblActuals35415192327[Team 2],$CU19,tblActuals35415192327[Team 1],EN$3)+SUMIFS(tblActuals35415192327[Team 1 GD],tblActuals35415192327[Team 1],$CU19,tblActuals35415192327[Team 2],EN$3)</f>
        <v>0</v>
      </c>
      <c r="EO19" s="56">
        <f>SUMIFS(tblActuals35415192327[Team 2 GD],tblActuals35415192327[Team 2],$CU19,tblActuals35415192327[Team 1],EO$3)+SUMIFS(tblActuals35415192327[Team 1 GD],tblActuals35415192327[Team 1],$CU19,tblActuals35415192327[Team 2],EO$3)</f>
        <v>0</v>
      </c>
      <c r="EP19" s="56">
        <f>SUMIFS(tblActuals35415192327[Team 2 GD],tblActuals35415192327[Team 2],$CU19,tblActuals35415192327[Team 1],EP$3)+SUMIFS(tblActuals35415192327[Team 1 GD],tblActuals35415192327[Team 1],$CU19,tblActuals35415192327[Team 2],EP$3)</f>
        <v>0</v>
      </c>
      <c r="EQ19" s="56">
        <f>SUMIFS(tblActuals35415192327[Team 2 GD],tblActuals35415192327[Team 2],$CU19,tblActuals35415192327[Team 1],EQ$3)+SUMIFS(tblActuals35415192327[Team 1 GD],tblActuals35415192327[Team 1],$CU19,tblActuals35415192327[Team 2],EQ$3)</f>
        <v>0</v>
      </c>
      <c r="ER19" s="56">
        <f>SUMIFS(tblActuals35415192327[Team 2 GD],tblActuals35415192327[Team 2],$CU19,tblActuals35415192327[Team 1],ER$3)+SUMIFS(tblActuals35415192327[Team 1 GD],tblActuals35415192327[Team 1],$CU19,tblActuals35415192327[Team 2],ER$3)</f>
        <v>0</v>
      </c>
      <c r="ES19" s="56">
        <f>SUMIFS(tblActuals35415192327[Team 2 GD],tblActuals35415192327[Team 2],$CU19,tblActuals35415192327[Team 1],ES$3)+SUMIFS(tblActuals35415192327[Team 1 GD],tblActuals35415192327[Team 1],$CU19,tblActuals35415192327[Team 2],ES$3)</f>
        <v>0</v>
      </c>
      <c r="ET19" s="56">
        <f>SUMIFS(tblActuals35415192327[Team 2 GD],tblActuals35415192327[Team 2],$CU19,tblActuals35415192327[Team 1],ET$3)+SUMIFS(tblActuals35415192327[Team 1 GD],tblActuals35415192327[Team 1],$CU19,tblActuals35415192327[Team 2],ET$3)</f>
        <v>0</v>
      </c>
      <c r="EU19" s="56">
        <f>SUMIFS(tblActuals35415192327[Team 2 GD],tblActuals35415192327[Team 2],$CU19,tblActuals35415192327[Team 1],EU$3)+SUMIFS(tblActuals35415192327[Team 1 GD],tblActuals35415192327[Team 1],$CU19,tblActuals35415192327[Team 2],EU$3)</f>
        <v>0</v>
      </c>
      <c r="EV19" s="56">
        <f>SUMIFS(tblActuals35415192327[Team 2 GD],tblActuals35415192327[Team 2],$CU19,tblActuals35415192327[Team 1],EV$3)+SUMIFS(tblActuals35415192327[Team 1 GD],tblActuals35415192327[Team 1],$CU19,tblActuals35415192327[Team 2],EV$3)</f>
        <v>0</v>
      </c>
      <c r="EW19" s="56">
        <f>SUMIFS(tblActuals35415192327[Team 2 GD],tblActuals35415192327[Team 2],$CU19,tblActuals35415192327[Team 1],EW$3)+SUMIFS(tblActuals35415192327[Team 1 GD],tblActuals35415192327[Team 1],$CU19,tblActuals35415192327[Team 2],EW$3)</f>
        <v>0</v>
      </c>
      <c r="EX19" s="56">
        <f>SUMIFS(tblActuals35415192327[Team 2 GD],tblActuals35415192327[Team 2],$CU19,tblActuals35415192327[Team 1],EX$3)+SUMIFS(tblActuals35415192327[Team 1 GD],tblActuals35415192327[Team 1],$CU19,tblActuals35415192327[Team 2],EX$3)</f>
        <v>0</v>
      </c>
      <c r="EY19" s="56">
        <f>SUMIFS(tblActuals35415192327[Team 2 GD],tblActuals35415192327[Team 2],$CU19,tblActuals35415192327[Team 1],EY$3)+SUMIFS(tblActuals35415192327[Team 1 GD],tblActuals35415192327[Team 1],$CU19,tblActuals35415192327[Team 2],EY$3)</f>
        <v>0</v>
      </c>
      <c r="EZ19" s="56">
        <f>SUMIFS(tblActuals35415192327[Team 2 GD],tblActuals35415192327[Team 2],$CU19,tblActuals35415192327[Team 1],EZ$3)+SUMIFS(tblActuals35415192327[Team 1 GD],tblActuals35415192327[Team 1],$CU19,tblActuals35415192327[Team 2],EZ$3)</f>
        <v>0</v>
      </c>
      <c r="FA19" s="56">
        <f>SUMIFS(tblActuals35415192327[Team 2 GD],tblActuals35415192327[Team 2],$CU19,tblActuals35415192327[Team 1],FA$3)+SUMIFS(tblActuals35415192327[Team 1 GD],tblActuals35415192327[Team 1],$CU19,tblActuals35415192327[Team 2],FA$3)</f>
        <v>0</v>
      </c>
      <c r="FB19" s="57"/>
      <c r="FC19" s="57"/>
      <c r="FD19" s="57"/>
      <c r="FE19" s="57"/>
      <c r="FF19" s="57"/>
      <c r="FG19" s="57"/>
      <c r="FH19" s="57"/>
      <c r="FI19" s="57"/>
      <c r="FJ19" s="4"/>
      <c r="FK19" s="4" t="s">
        <v>26</v>
      </c>
      <c r="FL19" s="56">
        <f>SUMIFS(tblActuals35415192327[Team 2 Goals],tblActuals35415192327[Team 2],$CU19,tblActuals35415192327[Team 1],FL$3)+SUMIFS(tblActuals35415192327[Team 1 Goals],tblActuals35415192327[Team 1],$CU19,tblActuals35415192327[Team 2],FL$3)</f>
        <v>0</v>
      </c>
      <c r="FM19" s="56">
        <f>SUMIFS(tblActuals35415192327[Team 2 Goals],tblActuals35415192327[Team 2],$CU19,tblActuals35415192327[Team 1],FM$3)+SUMIFS(tblActuals35415192327[Team 1 Goals],tblActuals35415192327[Team 1],$CU19,tblActuals35415192327[Team 2],FM$3)</f>
        <v>0</v>
      </c>
      <c r="FN19" s="56">
        <f>SUMIFS(tblActuals35415192327[Team 2 Goals],tblActuals35415192327[Team 2],$CU19,tblActuals35415192327[Team 1],FN$3)+SUMIFS(tblActuals35415192327[Team 1 Goals],tblActuals35415192327[Team 1],$CU19,tblActuals35415192327[Team 2],FN$3)</f>
        <v>0</v>
      </c>
      <c r="FO19" s="56">
        <f>SUMIFS(tblActuals35415192327[Team 2 Goals],tblActuals35415192327[Team 2],$CU19,tblActuals35415192327[Team 1],FO$3)+SUMIFS(tblActuals35415192327[Team 1 Goals],tblActuals35415192327[Team 1],$CU19,tblActuals35415192327[Team 2],FO$3)</f>
        <v>0</v>
      </c>
      <c r="FP19" s="56">
        <f>SUMIFS(tblActuals35415192327[Team 2 Goals],tblActuals35415192327[Team 2],$CU19,tblActuals35415192327[Team 1],FP$3)+SUMIFS(tblActuals35415192327[Team 1 Goals],tblActuals35415192327[Team 1],$CU19,tblActuals35415192327[Team 2],FP$3)</f>
        <v>0</v>
      </c>
      <c r="FQ19" s="56">
        <f>SUMIFS(tblActuals35415192327[Team 2 Goals],tblActuals35415192327[Team 2],$CU19,tblActuals35415192327[Team 1],FQ$3)+SUMIFS(tblActuals35415192327[Team 1 Goals],tblActuals35415192327[Team 1],$CU19,tblActuals35415192327[Team 2],FQ$3)</f>
        <v>0</v>
      </c>
      <c r="FR19" s="56">
        <f>SUMIFS(tblActuals35415192327[Team 2 Goals],tblActuals35415192327[Team 2],$CU19,tblActuals35415192327[Team 1],FR$3)+SUMIFS(tblActuals35415192327[Team 1 Goals],tblActuals35415192327[Team 1],$CU19,tblActuals35415192327[Team 2],FR$3)</f>
        <v>0</v>
      </c>
      <c r="FS19" s="56">
        <f>SUMIFS(tblActuals35415192327[Team 2 Goals],tblActuals35415192327[Team 2],$CU19,tblActuals35415192327[Team 1],FS$3)+SUMIFS(tblActuals35415192327[Team 1 Goals],tblActuals35415192327[Team 1],$CU19,tblActuals35415192327[Team 2],FS$3)</f>
        <v>0</v>
      </c>
      <c r="FT19" s="56">
        <f>SUMIFS(tblActuals35415192327[Team 2 Goals],tblActuals35415192327[Team 2],$CU19,tblActuals35415192327[Team 1],FT$3)+SUMIFS(tblActuals35415192327[Team 1 Goals],tblActuals35415192327[Team 1],$CU19,tblActuals35415192327[Team 2],FT$3)</f>
        <v>0</v>
      </c>
      <c r="FU19" s="56">
        <f>SUMIFS(tblActuals35415192327[Team 2 Goals],tblActuals35415192327[Team 2],$CU19,tblActuals35415192327[Team 1],FU$3)+SUMIFS(tblActuals35415192327[Team 1 Goals],tblActuals35415192327[Team 1],$CU19,tblActuals35415192327[Team 2],FU$3)</f>
        <v>0</v>
      </c>
      <c r="FV19" s="56">
        <f>SUMIFS(tblActuals35415192327[Team 2 Goals],tblActuals35415192327[Team 2],$CU19,tblActuals35415192327[Team 1],FV$3)+SUMIFS(tblActuals35415192327[Team 1 Goals],tblActuals35415192327[Team 1],$CU19,tblActuals35415192327[Team 2],FV$3)</f>
        <v>0</v>
      </c>
      <c r="FW19" s="56">
        <f>SUMIFS(tblActuals35415192327[Team 2 Goals],tblActuals35415192327[Team 2],$CU19,tblActuals35415192327[Team 1],FW$3)+SUMIFS(tblActuals35415192327[Team 1 Goals],tblActuals35415192327[Team 1],$CU19,tblActuals35415192327[Team 2],FW$3)</f>
        <v>0</v>
      </c>
      <c r="FX19" s="56">
        <f>SUMIFS(tblActuals35415192327[Team 2 Goals],tblActuals35415192327[Team 2],$CU19,tblActuals35415192327[Team 1],FX$3)+SUMIFS(tblActuals35415192327[Team 1 Goals],tblActuals35415192327[Team 1],$CU19,tblActuals35415192327[Team 2],FX$3)</f>
        <v>0</v>
      </c>
      <c r="FY19" s="56">
        <f>SUMIFS(tblActuals35415192327[Team 2 Goals],tblActuals35415192327[Team 2],$CU19,tblActuals35415192327[Team 1],FY$3)+SUMIFS(tblActuals35415192327[Team 1 Goals],tblActuals35415192327[Team 1],$CU19,tblActuals35415192327[Team 2],FY$3)</f>
        <v>0</v>
      </c>
      <c r="FZ19" s="56">
        <f>SUMIFS(tblActuals35415192327[Team 2 Goals],tblActuals35415192327[Team 2],$CU19,tblActuals35415192327[Team 1],FZ$3)+SUMIFS(tblActuals35415192327[Team 1 Goals],tblActuals35415192327[Team 1],$CU19,tblActuals35415192327[Team 2],FZ$3)</f>
        <v>0</v>
      </c>
      <c r="GA19" s="56">
        <f>SUMIFS(tblActuals35415192327[Team 2 Goals],tblActuals35415192327[Team 2],$CU19,tblActuals35415192327[Team 1],GA$3)+SUMIFS(tblActuals35415192327[Team 1 Goals],tblActuals35415192327[Team 1],$CU19,tblActuals35415192327[Team 2],GA$3)</f>
        <v>0</v>
      </c>
      <c r="GB19" s="56">
        <f>SUMIFS(tblActuals35415192327[Team 2 Goals],tblActuals35415192327[Team 2],$CU19,tblActuals35415192327[Team 1],GB$3)+SUMIFS(tblActuals35415192327[Team 1 Goals],tblActuals35415192327[Team 1],$CU19,tblActuals35415192327[Team 2],GB$3)</f>
        <v>0</v>
      </c>
      <c r="GC19" s="56">
        <f>SUMIFS(tblActuals35415192327[Team 2 Goals],tblActuals35415192327[Team 2],$CU19,tblActuals35415192327[Team 1],GC$3)+SUMIFS(tblActuals35415192327[Team 1 Goals],tblActuals35415192327[Team 1],$CU19,tblActuals35415192327[Team 2],GC$3)</f>
        <v>0</v>
      </c>
      <c r="GD19" s="56">
        <f>SUMIFS(tblActuals35415192327[Team 2 Goals],tblActuals35415192327[Team 2],$CU19,tblActuals35415192327[Team 1],GD$3)+SUMIFS(tblActuals35415192327[Team 1 Goals],tblActuals35415192327[Team 1],$CU19,tblActuals35415192327[Team 2],GD$3)</f>
        <v>0</v>
      </c>
      <c r="GE19" s="56">
        <f>SUMIFS(tblActuals35415192327[Team 2 Goals],tblActuals35415192327[Team 2],$CU19,tblActuals35415192327[Team 1],GE$3)+SUMIFS(tblActuals35415192327[Team 1 Goals],tblActuals35415192327[Team 1],$CU19,tblActuals35415192327[Team 2],GE$3)</f>
        <v>0</v>
      </c>
      <c r="GF19" s="56">
        <f>SUMIFS(tblActuals35415192327[Team 2 Goals],tblActuals35415192327[Team 2],$CU19,tblActuals35415192327[Team 1],GF$3)+SUMIFS(tblActuals35415192327[Team 1 Goals],tblActuals35415192327[Team 1],$CU19,tblActuals35415192327[Team 2],GF$3)</f>
        <v>0</v>
      </c>
      <c r="GG19" s="56">
        <f>SUMIFS(tblActuals35415192327[Team 2 Goals],tblActuals35415192327[Team 2],$CU19,tblActuals35415192327[Team 1],GG$3)+SUMIFS(tblActuals35415192327[Team 1 Goals],tblActuals35415192327[Team 1],$CU19,tblActuals35415192327[Team 2],GG$3)</f>
        <v>0</v>
      </c>
      <c r="GH19" s="56">
        <f>SUMIFS(tblActuals35415192327[Team 2 Goals],tblActuals35415192327[Team 2],$CU19,tblActuals35415192327[Team 1],GH$3)+SUMIFS(tblActuals35415192327[Team 1 Goals],tblActuals35415192327[Team 1],$CU19,tblActuals35415192327[Team 2],GH$3)</f>
        <v>0</v>
      </c>
      <c r="GI19" s="56">
        <f>SUMIFS(tblActuals35415192327[Team 2 Goals],tblActuals35415192327[Team 2],$CU19,tblActuals35415192327[Team 1],GI$3)+SUMIFS(tblActuals35415192327[Team 1 Goals],tblActuals35415192327[Team 1],$CU19,tblActuals35415192327[Team 2],GI$3)</f>
        <v>0</v>
      </c>
      <c r="GJ19" s="57"/>
      <c r="GK19" s="57"/>
      <c r="GL19" s="37"/>
      <c r="GM19" s="37"/>
      <c r="GN19" s="37"/>
      <c r="GO19" s="37"/>
      <c r="GP19" s="37"/>
      <c r="GQ19" s="37"/>
      <c r="GR19" s="75"/>
      <c r="GS19" s="156"/>
      <c r="GT19" s="156"/>
      <c r="GU19" s="75"/>
      <c r="GV19" s="75"/>
      <c r="GW19" s="75"/>
      <c r="GX19" s="75"/>
      <c r="GY19" s="75"/>
      <c r="GZ19" s="75"/>
      <c r="HB19" s="4" t="str">
        <f t="shared" si="12"/>
        <v>CDEF</v>
      </c>
      <c r="HC19" s="45"/>
      <c r="HD19" s="45"/>
      <c r="HE19" s="44" t="s">
        <v>6</v>
      </c>
      <c r="HF19" s="44" t="s">
        <v>7</v>
      </c>
      <c r="HG19" s="44" t="s">
        <v>12</v>
      </c>
      <c r="HH19" s="44" t="s">
        <v>45</v>
      </c>
      <c r="HI19" s="178"/>
      <c r="HJ19" s="45" t="s">
        <v>154</v>
      </c>
      <c r="HK19" s="45" t="s">
        <v>153</v>
      </c>
      <c r="HL19" s="45" t="s">
        <v>150</v>
      </c>
      <c r="HM19" s="45" t="s">
        <v>152</v>
      </c>
    </row>
    <row r="20" spans="1:221" s="11" customFormat="1" ht="30" customHeight="1" x14ac:dyDescent="0.25">
      <c r="A20" s="20"/>
      <c r="B20" s="122">
        <v>17</v>
      </c>
      <c r="C20" s="122" t="s">
        <v>6</v>
      </c>
      <c r="D20" s="123">
        <v>45463</v>
      </c>
      <c r="E20" s="122" t="s">
        <v>86</v>
      </c>
      <c r="F20" s="124">
        <v>0.75</v>
      </c>
      <c r="G20" s="125">
        <f t="shared" si="11"/>
        <v>45463.5</v>
      </c>
      <c r="H20" s="122" t="s">
        <v>105</v>
      </c>
      <c r="I20" s="126"/>
      <c r="J20" s="118"/>
      <c r="K20" s="118"/>
      <c r="L20" s="174">
        <f>IF(I20="",0,IFERROR(IF(SCORING.RULES!$C$8="No",1,((VLOOKUP($B20,ACTUALS!$B$4:$L$100,7,FALSE)=$H20)+(VLOOKUP($B20,ACTUALS!$B$4:$L$100,7,FALSE)=S20)))*(M20+N20+O20+P20+Q20),0))+$R20</f>
        <v>0</v>
      </c>
      <c r="M20" s="168">
        <f>IFERROR(IF($B20="","",IF(U20=INDEX(ACTUALS!$AA$4:$AA$100,MATCH($B20,ACTUALS!$B$4:$B$100,0),1),CorrectScore,0)),0)</f>
        <v>0</v>
      </c>
      <c r="N20" s="157" t="str">
        <f>IFERROR(IF(I20="","",IF(INDEX(ACTUALS!$AB$4:$AB$100,MATCH($B20,ACTUALS!$B$4:$B$100,0),1)=(AB20+AC20+AH20+AI20),CorrectNumberofGoals,0)),0)</f>
        <v/>
      </c>
      <c r="O20" s="157"/>
      <c r="P20" s="157">
        <f>IFERROR(IF(B20="","",IF(INDEX(ACTUALS!$L$4:$L$100,MATCH($B20,ACTUALS!$B$4:$B$100,0),1)=W20,CorrectResult,0)),0)</f>
        <v>3</v>
      </c>
      <c r="Q20" s="157"/>
      <c r="R20" s="157"/>
      <c r="S20" s="157" t="str">
        <f t="shared" si="0"/>
        <v/>
      </c>
      <c r="T20" s="157"/>
      <c r="U20" s="157" t="str">
        <f t="shared" si="1"/>
        <v/>
      </c>
      <c r="V20" s="157" t="str">
        <f t="shared" si="2"/>
        <v/>
      </c>
      <c r="W20" s="119" t="str">
        <f>IF(tblActuals35415192327[[#This Row],[SCORE]]="","",IF(AB20=AC20,"Draw",IF(AB20&gt;AC20,X20,Y20)))</f>
        <v/>
      </c>
      <c r="X20" s="120" t="str">
        <f>IF(tblActuals35415192327[[#This Row],[TEAMS]]="","",LEFT(H20,FIND(" -",H20,1)-1))</f>
        <v>Denmark</v>
      </c>
      <c r="Y20" s="120" t="str">
        <f>IF(tblActuals35415192327[[#This Row],[TEAMS]]="","",MID(H20,FIND("-",H20,1)+2,LEN(H20)-FIND("-",H20,1)+2))</f>
        <v>England</v>
      </c>
      <c r="Z20" s="120" t="str">
        <f>IF(tblActuals35415192327[[#This Row],[Team 1 Goals]]&gt;tblActuals35415192327[[#This Row],[Team 2 Goals]],tblActuals35415192327[[#This Row],[Team 1]],IF(tblActuals35415192327[[#This Row],[Team 2 Goals]]&gt;tblActuals35415192327[[#This Row],[Team 1 Goals]],tblActuals35415192327[[#This Row],[Team 2]],""))</f>
        <v/>
      </c>
      <c r="AA20" s="120" t="str">
        <f>IF(tblActuals35415192327[[#This Row],[Winner]]=tblActuals35415192327[[#This Row],[Team 1]],tblActuals35415192327[[#This Row],[Team 2]],IF(tblActuals35415192327[[#This Row],[Winner]]=tblActuals35415192327[[#This Row],[Team 2]],tblActuals35415192327[[#This Row],[Team 1]],""))</f>
        <v/>
      </c>
      <c r="AB20" s="120" t="str">
        <f>IF(tblActuals35415192327[[#This Row],[SCORE]]="","",LEFT(I20,FIND(":",I20,1)-1)*1)</f>
        <v/>
      </c>
      <c r="AC20" s="120" t="str">
        <f>IF(tblActuals35415192327[[#This Row],[SCORE]]="","",MID(I20,FIND(":",I20,1)+1,LEN(I20)-FIND(":",I20,1)+1)*1)</f>
        <v/>
      </c>
      <c r="AD20" s="120" t="str">
        <f>IF(OR(tblActuals35415192327[[#This Row],[Team 1 Goals]]="",tblActuals35415192327[[#This Row],[Team 2 Goals]]=""),"",tblActuals35415192327[[#This Row],[Team 1 Goals]]-tblActuals35415192327[[#This Row],[Team 2 Goals]])</f>
        <v/>
      </c>
      <c r="AE20" s="120" t="str">
        <f>IF(OR(tblActuals35415192327[[#This Row],[Team 1 Goals]]="",tblActuals35415192327[[#This Row],[Team 2 Goals]]=""),"",tblActuals35415192327[[#This Row],[Team 2 Goals]]-tblActuals35415192327[[#This Row],[Team 1 Goals]])</f>
        <v/>
      </c>
      <c r="AF20" s="120" t="str">
        <f>IF(tblActuals35415192327[[#This Row],[SCORE]]="","",IF(tblActuals35415192327[[#This Row],[WINNER / RESULT]]="Draw",1,IF(tblActuals35415192327[[#This Row],[WINNER / RESULT]]=tblActuals35415192327[[#This Row],[Team 1]],3,0)))</f>
        <v/>
      </c>
      <c r="AG20" s="120" t="str">
        <f>IF(tblActuals35415192327[[#This Row],[SCORE]]="","",IF(tblActuals35415192327[[#This Row],[WINNER / RESULT]]="Draw",1,IF(tblActuals35415192327[[#This Row],[WINNER / RESULT]]=tblActuals35415192327[[#This Row],[Team 2]],3,0)))</f>
        <v/>
      </c>
      <c r="AH20" s="121"/>
      <c r="AI20" s="121"/>
      <c r="AJ20" s="121"/>
      <c r="AK20" s="121"/>
      <c r="AL20" s="120" t="e">
        <f>tblActuals35415192327[[#This Row],[Team 1 Goals]]+tblActuals35415192327[[#This Row],[Team 1 ET Goals]]&amp;":"&amp;tblActuals35415192327[[#This Row],[Team 2 Goals]]+tblActuals35415192327[[#This Row],[Team 2 ET Goals]]</f>
        <v>#VALUE!</v>
      </c>
      <c r="AM20" s="120" t="e">
        <f>+tblActuals35415192327[[#This Row],[Team 1 Goals]]+tblActuals35415192327[[#This Row],[Team 2 Goals]]</f>
        <v>#VALUE!</v>
      </c>
      <c r="AN20" s="161">
        <f t="shared" si="3"/>
        <v>45463</v>
      </c>
      <c r="AT20" s="77" t="s">
        <v>6</v>
      </c>
      <c r="AU20" s="142">
        <v>3</v>
      </c>
      <c r="AV20" s="143" t="str">
        <f ca="1">IFERROR(INDEX(BD:BD,MATCH("3"&amp;AT20,BN:BN,0),1),"")</f>
        <v>Serbia</v>
      </c>
      <c r="AW20" s="143" t="str">
        <f ca="1">IF(AV20="","",VLOOKUP(AV20,BD:BI,2,FALSE)&amp;"-"&amp;VLOOKUP(AV20,BD:BI,3,FALSE)&amp;"-"&amp;VLOOKUP(AV20,BD:BI,4,FALSE))</f>
        <v>0-0-0</v>
      </c>
      <c r="AX20" s="143">
        <f ca="1">IF(AV20="","",VLOOKUP(AV20,BD:BK,8,FALSE))</f>
        <v>0</v>
      </c>
      <c r="AY20" s="144">
        <f ca="1">IF(AV20="","",VLOOKUP(AV20,BD:BN,5,FALSE))</f>
        <v>0</v>
      </c>
      <c r="AZ20" s="75" t="str">
        <f ca="1">IF(INDEX($AU$43:$AU$48,MATCH(AV20,$AV$43:$AV$48,0),1)&lt;=4,"X","")</f>
        <v>X</v>
      </c>
      <c r="BA20" s="4"/>
      <c r="BB20" s="4"/>
      <c r="BC20" s="4" t="s">
        <v>7</v>
      </c>
      <c r="BD20" s="4" t="s">
        <v>26</v>
      </c>
      <c r="BE20" s="4">
        <f>COUNTIF(tblActuals35415192327[Winner],BD20)</f>
        <v>0</v>
      </c>
      <c r="BF20" s="4">
        <f>COUNTIFS(tblActuals35415192327[Team 2],BD20,tblActuals35415192327[WINNER / RESULT],"Draw")+COUNTIFS(tblActuals35415192327[Team 1],BD20,tblActuals35415192327[WINNER / RESULT],"Draw")</f>
        <v>0</v>
      </c>
      <c r="BG20" s="4">
        <f>COUNTIF(tblActuals35415192327[Loser],BD20)</f>
        <v>0</v>
      </c>
      <c r="BH20" s="4">
        <f>BF20+(3*BE20)</f>
        <v>0</v>
      </c>
      <c r="BI20" s="4">
        <f>SUMIFS(tblActuals35415192327[Team 1 Goals],tblActuals35415192327[Team 1],BD20)+SUMIFS(tblActuals35415192327[Team 2 Goals],tblActuals35415192327[Team 2],BD20)</f>
        <v>0</v>
      </c>
      <c r="BJ20" s="4">
        <f>SUMIFS(tblActuals35415192327[Team 2 Goals],tblActuals35415192327[Team 1],BD20)+SUMIFS(tblActuals35415192327[Team 1 Goals],tblActuals35415192327[Team 2],BD20)</f>
        <v>0</v>
      </c>
      <c r="BK20" s="4">
        <f>BI20-BJ20</f>
        <v>0</v>
      </c>
      <c r="BL20" s="4">
        <f ca="1">RANK(BY20,$BY$19:$BY$22,1)</f>
        <v>2</v>
      </c>
      <c r="BM20" s="4" t="str">
        <f t="shared" si="4"/>
        <v/>
      </c>
      <c r="BN20" s="4" t="str">
        <f ca="1">IF(BM20="",BL20&amp;BC20,BM20&amp;BC20)</f>
        <v>2D</v>
      </c>
      <c r="BO20" s="4">
        <f>RANK(BH20,$BH$19:$BH$22,0)</f>
        <v>1</v>
      </c>
      <c r="BP20" s="4" cm="1">
        <f t="array" aca="1" ref="BP20" ca="1">SUMPRODUCT((OFFSET($CV$3:$EA$3,MATCH($BD20,$CU$4:$CU$35,0),0))*((IF($BO21=$BO20,$CV$3:$EA$3=$BD21,0))+(IF($BO22=$BO20,$CV$3:$EA$3=$BD22,0))+(IF($BO19=$BO20,$CV$3:$EA$3=$BD19,0))))</f>
        <v>0</v>
      </c>
      <c r="BQ20" s="4" cm="1">
        <f t="array" aca="1" ref="BQ20" ca="1">SUMPRODUCT((OFFSET($ED$3:$FI$3,MATCH($BD20,$EC$4:$EC$35,0),0))*((IF($BO21=$BO20,$ED$3:$FI$3=$BD21,0))+(IF($BO22=$BO20,$ED$3:$FI$3=$BD22,0))+(IF($BO19=$BO20,$ED$3:$FI$3=$BD19,0))))</f>
        <v>0</v>
      </c>
      <c r="BR20" s="4" cm="1">
        <f t="array" aca="1" ref="BR20" ca="1">SUMPRODUCT((OFFSET($FL$3:$GQ$3,MATCH($BD20,$FK$4:$FK$35,0),0))*((IF($BO21=$BO20,$FL$3:$GQ$3=$BD21,0))+(IF($BO22=$BO20,$FL$3:$GQ$3=$BD22,0))+(IF($BO19=$BO20,$FL$3:$GQ$3=$BD19,0))))</f>
        <v>0</v>
      </c>
      <c r="BS20" s="4" cm="1">
        <f t="array" aca="1" ref="BS20" ca="1">SUMPRODUCT((OFFSET($CV$3:$EA$3,MATCH($BD20,$CU$4:$CU$35,0),0))*((IF($BO21&lt;&gt;$BO20,$CV$3:$EA$3=$BD21,0))+(IF($BO22&lt;&gt;$BO20,$CV$3:$EA$3=$BD22,0))+(IF($BO19&lt;&gt;$BO20,$CV$3:$EA$3=$BD19,0))))</f>
        <v>0</v>
      </c>
      <c r="BT20" s="4" cm="1">
        <f t="array" aca="1" ref="BT20" ca="1">SUMPRODUCT((OFFSET($ED$3:$FI$3,MATCH($BD20,$EC$4:$EC$35,0),0))*((IF($BO21&lt;&gt;$BO20,$ED$3:$FI$3=$BD21,0))+(IF($BO22&lt;&gt;$BO20,$ED$3:$FI$3=$BD22,0))+(IF($BO19&lt;&gt;$BO20,$ED$3:$FI$3=$BD19,0))))</f>
        <v>0</v>
      </c>
      <c r="BU20" s="4" cm="1">
        <f t="array" aca="1" ref="BU20" ca="1">SUMPRODUCT((OFFSET($FL$3:$GQ$3,MATCH($BD20,$FK$4:$FK$35,0),0))*((IF($BO21&lt;&gt;$BO20,$FL$3:$GQ$3=$BD21,0))+(IF($BO22&lt;&gt;$BO20,$FL$3:$GQ$3=$BD22,0))+(IF($BO19&lt;&gt;$BO20,$FL$3:$GQ$3=$BD19,0))))</f>
        <v>0</v>
      </c>
      <c r="BV20" s="4">
        <f>BK20</f>
        <v>0</v>
      </c>
      <c r="BW20" s="4">
        <f>BI20</f>
        <v>0</v>
      </c>
      <c r="BX20" s="4">
        <f ca="1">(BP20/10)+(BQ20/100)+(BR20/1000)+(BT20/10000)+(BU20/100000)+(BV20/1000000)+(BW20/10000000)+(ROW(BS21)/100000000)</f>
        <v>2.1E-7</v>
      </c>
      <c r="BY20" s="4">
        <f ca="1">+BO20-BX20</f>
        <v>0.99999979000000006</v>
      </c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U20" s="4" t="s">
        <v>29</v>
      </c>
      <c r="CV20" s="56">
        <f>SUMIFS(tblActuals35415192327[Team 2 Points],tblActuals35415192327[Team 2],$CU20,tblActuals35415192327[Team 1],CV$3)+SUMIFS(tblActuals35415192327[Team 1 Points],tblActuals35415192327[Team 1],$CU20,tblActuals35415192327[Team 2],CV$3)</f>
        <v>0</v>
      </c>
      <c r="CW20" s="56">
        <f>SUMIFS(tblActuals35415192327[Team 2 Points],tblActuals35415192327[Team 2],$CU20,tblActuals35415192327[Team 1],CW$3)+SUMIFS(tblActuals35415192327[Team 1 Points],tblActuals35415192327[Team 1],$CU20,tblActuals35415192327[Team 2],CW$3)</f>
        <v>0</v>
      </c>
      <c r="CX20" s="56">
        <f>SUMIFS(tblActuals35415192327[Team 2 Points],tblActuals35415192327[Team 2],$CU20,tblActuals35415192327[Team 1],CX$3)+SUMIFS(tblActuals35415192327[Team 1 Points],tblActuals35415192327[Team 1],$CU20,tblActuals35415192327[Team 2],CX$3)</f>
        <v>0</v>
      </c>
      <c r="CY20" s="56">
        <f>SUMIFS(tblActuals35415192327[Team 2 Points],tblActuals35415192327[Team 2],$CU20,tblActuals35415192327[Team 1],CY$3)+SUMIFS(tblActuals35415192327[Team 1 Points],tblActuals35415192327[Team 1],$CU20,tblActuals35415192327[Team 2],CY$3)</f>
        <v>0</v>
      </c>
      <c r="CZ20" s="56">
        <f>SUMIFS(tblActuals35415192327[Team 2 Points],tblActuals35415192327[Team 2],$CU20,tblActuals35415192327[Team 1],CZ$3)+SUMIFS(tblActuals35415192327[Team 1 Points],tblActuals35415192327[Team 1],$CU20,tblActuals35415192327[Team 2],CZ$3)</f>
        <v>0</v>
      </c>
      <c r="DA20" s="56">
        <f>SUMIFS(tblActuals35415192327[Team 2 Points],tblActuals35415192327[Team 2],$CU20,tblActuals35415192327[Team 1],DA$3)+SUMIFS(tblActuals35415192327[Team 1 Points],tblActuals35415192327[Team 1],$CU20,tblActuals35415192327[Team 2],DA$3)</f>
        <v>0</v>
      </c>
      <c r="DB20" s="56">
        <f>SUMIFS(tblActuals35415192327[Team 2 Points],tblActuals35415192327[Team 2],$CU20,tblActuals35415192327[Team 1],DB$3)+SUMIFS(tblActuals35415192327[Team 1 Points],tblActuals35415192327[Team 1],$CU20,tblActuals35415192327[Team 2],DB$3)</f>
        <v>0</v>
      </c>
      <c r="DC20" s="56">
        <f>SUMIFS(tblActuals35415192327[Team 2 Points],tblActuals35415192327[Team 2],$CU20,tblActuals35415192327[Team 1],DC$3)+SUMIFS(tblActuals35415192327[Team 1 Points],tblActuals35415192327[Team 1],$CU20,tblActuals35415192327[Team 2],DC$3)</f>
        <v>0</v>
      </c>
      <c r="DD20" s="56">
        <f>SUMIFS(tblActuals35415192327[Team 2 Points],tblActuals35415192327[Team 2],$CU20,tblActuals35415192327[Team 1],DD$3)+SUMIFS(tblActuals35415192327[Team 1 Points],tblActuals35415192327[Team 1],$CU20,tblActuals35415192327[Team 2],DD$3)</f>
        <v>0</v>
      </c>
      <c r="DE20" s="56">
        <f>SUMIFS(tblActuals35415192327[Team 2 Points],tblActuals35415192327[Team 2],$CU20,tblActuals35415192327[Team 1],DE$3)+SUMIFS(tblActuals35415192327[Team 1 Points],tblActuals35415192327[Team 1],$CU20,tblActuals35415192327[Team 2],DE$3)</f>
        <v>0</v>
      </c>
      <c r="DF20" s="56">
        <f>SUMIFS(tblActuals35415192327[Team 2 Points],tblActuals35415192327[Team 2],$CU20,tblActuals35415192327[Team 1],DF$3)+SUMIFS(tblActuals35415192327[Team 1 Points],tblActuals35415192327[Team 1],$CU20,tblActuals35415192327[Team 2],DF$3)</f>
        <v>0</v>
      </c>
      <c r="DG20" s="56">
        <f>SUMIFS(tblActuals35415192327[Team 2 Points],tblActuals35415192327[Team 2],$CU20,tblActuals35415192327[Team 1],DG$3)+SUMIFS(tblActuals35415192327[Team 1 Points],tblActuals35415192327[Team 1],$CU20,tblActuals35415192327[Team 2],DG$3)</f>
        <v>0</v>
      </c>
      <c r="DH20" s="56">
        <f>SUMIFS(tblActuals35415192327[Team 2 Points],tblActuals35415192327[Team 2],$CU20,tblActuals35415192327[Team 1],DH$3)+SUMIFS(tblActuals35415192327[Team 1 Points],tblActuals35415192327[Team 1],$CU20,tblActuals35415192327[Team 2],DH$3)</f>
        <v>0</v>
      </c>
      <c r="DI20" s="56">
        <f>SUMIFS(tblActuals35415192327[Team 2 Points],tblActuals35415192327[Team 2],$CU20,tblActuals35415192327[Team 1],DI$3)+SUMIFS(tblActuals35415192327[Team 1 Points],tblActuals35415192327[Team 1],$CU20,tblActuals35415192327[Team 2],DI$3)</f>
        <v>0</v>
      </c>
      <c r="DJ20" s="56">
        <f>SUMIFS(tblActuals35415192327[Team 2 Points],tblActuals35415192327[Team 2],$CU20,tblActuals35415192327[Team 1],DJ$3)+SUMIFS(tblActuals35415192327[Team 1 Points],tblActuals35415192327[Team 1],$CU20,tblActuals35415192327[Team 2],DJ$3)</f>
        <v>0</v>
      </c>
      <c r="DK20" s="56">
        <f>SUMIFS(tblActuals35415192327[Team 2 Points],tblActuals35415192327[Team 2],$CU20,tblActuals35415192327[Team 1],DK$3)+SUMIFS(tblActuals35415192327[Team 1 Points],tblActuals35415192327[Team 1],$CU20,tblActuals35415192327[Team 2],DK$3)</f>
        <v>0</v>
      </c>
      <c r="DL20" s="56">
        <f>SUMIFS(tblActuals35415192327[Team 2 Points],tblActuals35415192327[Team 2],$CU20,tblActuals35415192327[Team 1],DL$3)+SUMIFS(tblActuals35415192327[Team 1 Points],tblActuals35415192327[Team 1],$CU20,tblActuals35415192327[Team 2],DL$3)</f>
        <v>0</v>
      </c>
      <c r="DM20" s="56">
        <f>SUMIFS(tblActuals35415192327[Team 2 Points],tblActuals35415192327[Team 2],$CU20,tblActuals35415192327[Team 1],DM$3)+SUMIFS(tblActuals35415192327[Team 1 Points],tblActuals35415192327[Team 1],$CU20,tblActuals35415192327[Team 2],DM$3)</f>
        <v>0</v>
      </c>
      <c r="DN20" s="56">
        <f>SUMIFS(tblActuals35415192327[Team 2 Points],tblActuals35415192327[Team 2],$CU20,tblActuals35415192327[Team 1],DN$3)+SUMIFS(tblActuals35415192327[Team 1 Points],tblActuals35415192327[Team 1],$CU20,tblActuals35415192327[Team 2],DN$3)</f>
        <v>0</v>
      </c>
      <c r="DO20" s="56">
        <f>SUMIFS(tblActuals35415192327[Team 2 Points],tblActuals35415192327[Team 2],$CU20,tblActuals35415192327[Team 1],DO$3)+SUMIFS(tblActuals35415192327[Team 1 Points],tblActuals35415192327[Team 1],$CU20,tblActuals35415192327[Team 2],DO$3)</f>
        <v>0</v>
      </c>
      <c r="DP20" s="56">
        <f>SUMIFS(tblActuals35415192327[Team 2 Points],tblActuals35415192327[Team 2],$CU20,tblActuals35415192327[Team 1],DP$3)+SUMIFS(tblActuals35415192327[Team 1 Points],tblActuals35415192327[Team 1],$CU20,tblActuals35415192327[Team 2],DP$3)</f>
        <v>0</v>
      </c>
      <c r="DQ20" s="56">
        <f>SUMIFS(tblActuals35415192327[Team 2 Points],tblActuals35415192327[Team 2],$CU20,tblActuals35415192327[Team 1],DQ$3)+SUMIFS(tblActuals35415192327[Team 1 Points],tblActuals35415192327[Team 1],$CU20,tblActuals35415192327[Team 2],DQ$3)</f>
        <v>0</v>
      </c>
      <c r="DR20" s="56">
        <f>SUMIFS(tblActuals35415192327[Team 2 Points],tblActuals35415192327[Team 2],$CU20,tblActuals35415192327[Team 1],DR$3)+SUMIFS(tblActuals35415192327[Team 1 Points],tblActuals35415192327[Team 1],$CU20,tblActuals35415192327[Team 2],DR$3)</f>
        <v>0</v>
      </c>
      <c r="DS20" s="56">
        <f>SUMIFS(tblActuals35415192327[Team 2 Points],tblActuals35415192327[Team 2],$CU20,tblActuals35415192327[Team 1],DS$3)+SUMIFS(tblActuals35415192327[Team 1 Points],tblActuals35415192327[Team 1],$CU20,tblActuals35415192327[Team 2],DS$3)</f>
        <v>0</v>
      </c>
      <c r="DT20" s="57"/>
      <c r="DU20" s="57"/>
      <c r="DV20" s="57"/>
      <c r="DW20" s="57"/>
      <c r="DX20" s="57"/>
      <c r="DY20" s="57"/>
      <c r="DZ20" s="57"/>
      <c r="EA20" s="57"/>
      <c r="EB20" s="4"/>
      <c r="EC20" s="4" t="s">
        <v>29</v>
      </c>
      <c r="ED20" s="56">
        <f>SUMIFS(tblActuals35415192327[Team 2 GD],tblActuals35415192327[Team 2],$CU20,tblActuals35415192327[Team 1],ED$3)+SUMIFS(tblActuals35415192327[Team 1 GD],tblActuals35415192327[Team 1],$CU20,tblActuals35415192327[Team 2],ED$3)</f>
        <v>0</v>
      </c>
      <c r="EE20" s="56">
        <f>SUMIFS(tblActuals35415192327[Team 2 GD],tblActuals35415192327[Team 2],$CU20,tblActuals35415192327[Team 1],EE$3)+SUMIFS(tblActuals35415192327[Team 1 GD],tblActuals35415192327[Team 1],$CU20,tblActuals35415192327[Team 2],EE$3)</f>
        <v>0</v>
      </c>
      <c r="EF20" s="56">
        <f>SUMIFS(tblActuals35415192327[Team 2 GD],tblActuals35415192327[Team 2],$CU20,tblActuals35415192327[Team 1],EF$3)+SUMIFS(tblActuals35415192327[Team 1 GD],tblActuals35415192327[Team 1],$CU20,tblActuals35415192327[Team 2],EF$3)</f>
        <v>0</v>
      </c>
      <c r="EG20" s="56">
        <f>SUMIFS(tblActuals35415192327[Team 2 GD],tblActuals35415192327[Team 2],$CU20,tblActuals35415192327[Team 1],EG$3)+SUMIFS(tblActuals35415192327[Team 1 GD],tblActuals35415192327[Team 1],$CU20,tblActuals35415192327[Team 2],EG$3)</f>
        <v>0</v>
      </c>
      <c r="EH20" s="56">
        <f>SUMIFS(tblActuals35415192327[Team 2 GD],tblActuals35415192327[Team 2],$CU20,tblActuals35415192327[Team 1],EH$3)+SUMIFS(tblActuals35415192327[Team 1 GD],tblActuals35415192327[Team 1],$CU20,tblActuals35415192327[Team 2],EH$3)</f>
        <v>0</v>
      </c>
      <c r="EI20" s="56">
        <f>SUMIFS(tblActuals35415192327[Team 2 GD],tblActuals35415192327[Team 2],$CU20,tblActuals35415192327[Team 1],EI$3)+SUMIFS(tblActuals35415192327[Team 1 GD],tblActuals35415192327[Team 1],$CU20,tblActuals35415192327[Team 2],EI$3)</f>
        <v>0</v>
      </c>
      <c r="EJ20" s="56">
        <f>SUMIFS(tblActuals35415192327[Team 2 GD],tblActuals35415192327[Team 2],$CU20,tblActuals35415192327[Team 1],EJ$3)+SUMIFS(tblActuals35415192327[Team 1 GD],tblActuals35415192327[Team 1],$CU20,tblActuals35415192327[Team 2],EJ$3)</f>
        <v>0</v>
      </c>
      <c r="EK20" s="56">
        <f>SUMIFS(tblActuals35415192327[Team 2 GD],tblActuals35415192327[Team 2],$CU20,tblActuals35415192327[Team 1],EK$3)+SUMIFS(tblActuals35415192327[Team 1 GD],tblActuals35415192327[Team 1],$CU20,tblActuals35415192327[Team 2],EK$3)</f>
        <v>0</v>
      </c>
      <c r="EL20" s="56">
        <f>SUMIFS(tblActuals35415192327[Team 2 GD],tblActuals35415192327[Team 2],$CU20,tblActuals35415192327[Team 1],EL$3)+SUMIFS(tblActuals35415192327[Team 1 GD],tblActuals35415192327[Team 1],$CU20,tblActuals35415192327[Team 2],EL$3)</f>
        <v>0</v>
      </c>
      <c r="EM20" s="56">
        <f>SUMIFS(tblActuals35415192327[Team 2 GD],tblActuals35415192327[Team 2],$CU20,tblActuals35415192327[Team 1],EM$3)+SUMIFS(tblActuals35415192327[Team 1 GD],tblActuals35415192327[Team 1],$CU20,tblActuals35415192327[Team 2],EM$3)</f>
        <v>0</v>
      </c>
      <c r="EN20" s="56">
        <f>SUMIFS(tblActuals35415192327[Team 2 GD],tblActuals35415192327[Team 2],$CU20,tblActuals35415192327[Team 1],EN$3)+SUMIFS(tblActuals35415192327[Team 1 GD],tblActuals35415192327[Team 1],$CU20,tblActuals35415192327[Team 2],EN$3)</f>
        <v>0</v>
      </c>
      <c r="EO20" s="56">
        <f>SUMIFS(tblActuals35415192327[Team 2 GD],tblActuals35415192327[Team 2],$CU20,tblActuals35415192327[Team 1],EO$3)+SUMIFS(tblActuals35415192327[Team 1 GD],tblActuals35415192327[Team 1],$CU20,tblActuals35415192327[Team 2],EO$3)</f>
        <v>0</v>
      </c>
      <c r="EP20" s="56">
        <f>SUMIFS(tblActuals35415192327[Team 2 GD],tblActuals35415192327[Team 2],$CU20,tblActuals35415192327[Team 1],EP$3)+SUMIFS(tblActuals35415192327[Team 1 GD],tblActuals35415192327[Team 1],$CU20,tblActuals35415192327[Team 2],EP$3)</f>
        <v>0</v>
      </c>
      <c r="EQ20" s="56">
        <f>SUMIFS(tblActuals35415192327[Team 2 GD],tblActuals35415192327[Team 2],$CU20,tblActuals35415192327[Team 1],EQ$3)+SUMIFS(tblActuals35415192327[Team 1 GD],tblActuals35415192327[Team 1],$CU20,tblActuals35415192327[Team 2],EQ$3)</f>
        <v>0</v>
      </c>
      <c r="ER20" s="56">
        <f>SUMIFS(tblActuals35415192327[Team 2 GD],tblActuals35415192327[Team 2],$CU20,tblActuals35415192327[Team 1],ER$3)+SUMIFS(tblActuals35415192327[Team 1 GD],tblActuals35415192327[Team 1],$CU20,tblActuals35415192327[Team 2],ER$3)</f>
        <v>0</v>
      </c>
      <c r="ES20" s="56">
        <f>SUMIFS(tblActuals35415192327[Team 2 GD],tblActuals35415192327[Team 2],$CU20,tblActuals35415192327[Team 1],ES$3)+SUMIFS(tblActuals35415192327[Team 1 GD],tblActuals35415192327[Team 1],$CU20,tblActuals35415192327[Team 2],ES$3)</f>
        <v>0</v>
      </c>
      <c r="ET20" s="56">
        <f>SUMIFS(tblActuals35415192327[Team 2 GD],tblActuals35415192327[Team 2],$CU20,tblActuals35415192327[Team 1],ET$3)+SUMIFS(tblActuals35415192327[Team 1 GD],tblActuals35415192327[Team 1],$CU20,tblActuals35415192327[Team 2],ET$3)</f>
        <v>0</v>
      </c>
      <c r="EU20" s="56">
        <f>SUMIFS(tblActuals35415192327[Team 2 GD],tblActuals35415192327[Team 2],$CU20,tblActuals35415192327[Team 1],EU$3)+SUMIFS(tblActuals35415192327[Team 1 GD],tblActuals35415192327[Team 1],$CU20,tblActuals35415192327[Team 2],EU$3)</f>
        <v>0</v>
      </c>
      <c r="EV20" s="56">
        <f>SUMIFS(tblActuals35415192327[Team 2 GD],tblActuals35415192327[Team 2],$CU20,tblActuals35415192327[Team 1],EV$3)+SUMIFS(tblActuals35415192327[Team 1 GD],tblActuals35415192327[Team 1],$CU20,tblActuals35415192327[Team 2],EV$3)</f>
        <v>0</v>
      </c>
      <c r="EW20" s="56">
        <f>SUMIFS(tblActuals35415192327[Team 2 GD],tblActuals35415192327[Team 2],$CU20,tblActuals35415192327[Team 1],EW$3)+SUMIFS(tblActuals35415192327[Team 1 GD],tblActuals35415192327[Team 1],$CU20,tblActuals35415192327[Team 2],EW$3)</f>
        <v>0</v>
      </c>
      <c r="EX20" s="56">
        <f>SUMIFS(tblActuals35415192327[Team 2 GD],tblActuals35415192327[Team 2],$CU20,tblActuals35415192327[Team 1],EX$3)+SUMIFS(tblActuals35415192327[Team 1 GD],tblActuals35415192327[Team 1],$CU20,tblActuals35415192327[Team 2],EX$3)</f>
        <v>0</v>
      </c>
      <c r="EY20" s="56">
        <f>SUMIFS(tblActuals35415192327[Team 2 GD],tblActuals35415192327[Team 2],$CU20,tblActuals35415192327[Team 1],EY$3)+SUMIFS(tblActuals35415192327[Team 1 GD],tblActuals35415192327[Team 1],$CU20,tblActuals35415192327[Team 2],EY$3)</f>
        <v>0</v>
      </c>
      <c r="EZ20" s="56">
        <f>SUMIFS(tblActuals35415192327[Team 2 GD],tblActuals35415192327[Team 2],$CU20,tblActuals35415192327[Team 1],EZ$3)+SUMIFS(tblActuals35415192327[Team 1 GD],tblActuals35415192327[Team 1],$CU20,tblActuals35415192327[Team 2],EZ$3)</f>
        <v>0</v>
      </c>
      <c r="FA20" s="56">
        <f>SUMIFS(tblActuals35415192327[Team 2 GD],tblActuals35415192327[Team 2],$CU20,tblActuals35415192327[Team 1],FA$3)+SUMIFS(tblActuals35415192327[Team 1 GD],tblActuals35415192327[Team 1],$CU20,tblActuals35415192327[Team 2],FA$3)</f>
        <v>0</v>
      </c>
      <c r="FB20" s="57"/>
      <c r="FC20" s="57"/>
      <c r="FD20" s="57"/>
      <c r="FE20" s="57"/>
      <c r="FF20" s="57"/>
      <c r="FG20" s="57"/>
      <c r="FH20" s="57"/>
      <c r="FI20" s="57"/>
      <c r="FJ20" s="4"/>
      <c r="FK20" s="4" t="s">
        <v>29</v>
      </c>
      <c r="FL20" s="56">
        <f>SUMIFS(tblActuals35415192327[Team 2 Goals],tblActuals35415192327[Team 2],$CU20,tblActuals35415192327[Team 1],FL$3)+SUMIFS(tblActuals35415192327[Team 1 Goals],tblActuals35415192327[Team 1],$CU20,tblActuals35415192327[Team 2],FL$3)</f>
        <v>0</v>
      </c>
      <c r="FM20" s="56">
        <f>SUMIFS(tblActuals35415192327[Team 2 Goals],tblActuals35415192327[Team 2],$CU20,tblActuals35415192327[Team 1],FM$3)+SUMIFS(tblActuals35415192327[Team 1 Goals],tblActuals35415192327[Team 1],$CU20,tblActuals35415192327[Team 2],FM$3)</f>
        <v>0</v>
      </c>
      <c r="FN20" s="56">
        <f>SUMIFS(tblActuals35415192327[Team 2 Goals],tblActuals35415192327[Team 2],$CU20,tblActuals35415192327[Team 1],FN$3)+SUMIFS(tblActuals35415192327[Team 1 Goals],tblActuals35415192327[Team 1],$CU20,tblActuals35415192327[Team 2],FN$3)</f>
        <v>0</v>
      </c>
      <c r="FO20" s="56">
        <f>SUMIFS(tblActuals35415192327[Team 2 Goals],tblActuals35415192327[Team 2],$CU20,tblActuals35415192327[Team 1],FO$3)+SUMIFS(tblActuals35415192327[Team 1 Goals],tblActuals35415192327[Team 1],$CU20,tblActuals35415192327[Team 2],FO$3)</f>
        <v>0</v>
      </c>
      <c r="FP20" s="56">
        <f>SUMIFS(tblActuals35415192327[Team 2 Goals],tblActuals35415192327[Team 2],$CU20,tblActuals35415192327[Team 1],FP$3)+SUMIFS(tblActuals35415192327[Team 1 Goals],tblActuals35415192327[Team 1],$CU20,tblActuals35415192327[Team 2],FP$3)</f>
        <v>0</v>
      </c>
      <c r="FQ20" s="56">
        <f>SUMIFS(tblActuals35415192327[Team 2 Goals],tblActuals35415192327[Team 2],$CU20,tblActuals35415192327[Team 1],FQ$3)+SUMIFS(tblActuals35415192327[Team 1 Goals],tblActuals35415192327[Team 1],$CU20,tblActuals35415192327[Team 2],FQ$3)</f>
        <v>0</v>
      </c>
      <c r="FR20" s="56">
        <f>SUMIFS(tblActuals35415192327[Team 2 Goals],tblActuals35415192327[Team 2],$CU20,tblActuals35415192327[Team 1],FR$3)+SUMIFS(tblActuals35415192327[Team 1 Goals],tblActuals35415192327[Team 1],$CU20,tblActuals35415192327[Team 2],FR$3)</f>
        <v>0</v>
      </c>
      <c r="FS20" s="56">
        <f>SUMIFS(tblActuals35415192327[Team 2 Goals],tblActuals35415192327[Team 2],$CU20,tblActuals35415192327[Team 1],FS$3)+SUMIFS(tblActuals35415192327[Team 1 Goals],tblActuals35415192327[Team 1],$CU20,tblActuals35415192327[Team 2],FS$3)</f>
        <v>0</v>
      </c>
      <c r="FT20" s="56">
        <f>SUMIFS(tblActuals35415192327[Team 2 Goals],tblActuals35415192327[Team 2],$CU20,tblActuals35415192327[Team 1],FT$3)+SUMIFS(tblActuals35415192327[Team 1 Goals],tblActuals35415192327[Team 1],$CU20,tblActuals35415192327[Team 2],FT$3)</f>
        <v>0</v>
      </c>
      <c r="FU20" s="56">
        <f>SUMIFS(tblActuals35415192327[Team 2 Goals],tblActuals35415192327[Team 2],$CU20,tblActuals35415192327[Team 1],FU$3)+SUMIFS(tblActuals35415192327[Team 1 Goals],tblActuals35415192327[Team 1],$CU20,tblActuals35415192327[Team 2],FU$3)</f>
        <v>0</v>
      </c>
      <c r="FV20" s="56">
        <f>SUMIFS(tblActuals35415192327[Team 2 Goals],tblActuals35415192327[Team 2],$CU20,tblActuals35415192327[Team 1],FV$3)+SUMIFS(tblActuals35415192327[Team 1 Goals],tblActuals35415192327[Team 1],$CU20,tblActuals35415192327[Team 2],FV$3)</f>
        <v>0</v>
      </c>
      <c r="FW20" s="56">
        <f>SUMIFS(tblActuals35415192327[Team 2 Goals],tblActuals35415192327[Team 2],$CU20,tblActuals35415192327[Team 1],FW$3)+SUMIFS(tblActuals35415192327[Team 1 Goals],tblActuals35415192327[Team 1],$CU20,tblActuals35415192327[Team 2],FW$3)</f>
        <v>0</v>
      </c>
      <c r="FX20" s="56">
        <f>SUMIFS(tblActuals35415192327[Team 2 Goals],tblActuals35415192327[Team 2],$CU20,tblActuals35415192327[Team 1],FX$3)+SUMIFS(tblActuals35415192327[Team 1 Goals],tblActuals35415192327[Team 1],$CU20,tblActuals35415192327[Team 2],FX$3)</f>
        <v>0</v>
      </c>
      <c r="FY20" s="56">
        <f>SUMIFS(tblActuals35415192327[Team 2 Goals],tblActuals35415192327[Team 2],$CU20,tblActuals35415192327[Team 1],FY$3)+SUMIFS(tblActuals35415192327[Team 1 Goals],tblActuals35415192327[Team 1],$CU20,tblActuals35415192327[Team 2],FY$3)</f>
        <v>0</v>
      </c>
      <c r="FZ20" s="56">
        <f>SUMIFS(tblActuals35415192327[Team 2 Goals],tblActuals35415192327[Team 2],$CU20,tblActuals35415192327[Team 1],FZ$3)+SUMIFS(tblActuals35415192327[Team 1 Goals],tblActuals35415192327[Team 1],$CU20,tblActuals35415192327[Team 2],FZ$3)</f>
        <v>0</v>
      </c>
      <c r="GA20" s="56">
        <f>SUMIFS(tblActuals35415192327[Team 2 Goals],tblActuals35415192327[Team 2],$CU20,tblActuals35415192327[Team 1],GA$3)+SUMIFS(tblActuals35415192327[Team 1 Goals],tblActuals35415192327[Team 1],$CU20,tblActuals35415192327[Team 2],GA$3)</f>
        <v>0</v>
      </c>
      <c r="GB20" s="56">
        <f>SUMIFS(tblActuals35415192327[Team 2 Goals],tblActuals35415192327[Team 2],$CU20,tblActuals35415192327[Team 1],GB$3)+SUMIFS(tblActuals35415192327[Team 1 Goals],tblActuals35415192327[Team 1],$CU20,tblActuals35415192327[Team 2],GB$3)</f>
        <v>0</v>
      </c>
      <c r="GC20" s="56">
        <f>SUMIFS(tblActuals35415192327[Team 2 Goals],tblActuals35415192327[Team 2],$CU20,tblActuals35415192327[Team 1],GC$3)+SUMIFS(tblActuals35415192327[Team 1 Goals],tblActuals35415192327[Team 1],$CU20,tblActuals35415192327[Team 2],GC$3)</f>
        <v>0</v>
      </c>
      <c r="GD20" s="56">
        <f>SUMIFS(tblActuals35415192327[Team 2 Goals],tblActuals35415192327[Team 2],$CU20,tblActuals35415192327[Team 1],GD$3)+SUMIFS(tblActuals35415192327[Team 1 Goals],tblActuals35415192327[Team 1],$CU20,tblActuals35415192327[Team 2],GD$3)</f>
        <v>0</v>
      </c>
      <c r="GE20" s="56">
        <f>SUMIFS(tblActuals35415192327[Team 2 Goals],tblActuals35415192327[Team 2],$CU20,tblActuals35415192327[Team 1],GE$3)+SUMIFS(tblActuals35415192327[Team 1 Goals],tblActuals35415192327[Team 1],$CU20,tblActuals35415192327[Team 2],GE$3)</f>
        <v>0</v>
      </c>
      <c r="GF20" s="56">
        <f>SUMIFS(tblActuals35415192327[Team 2 Goals],tblActuals35415192327[Team 2],$CU20,tblActuals35415192327[Team 1],GF$3)+SUMIFS(tblActuals35415192327[Team 1 Goals],tblActuals35415192327[Team 1],$CU20,tblActuals35415192327[Team 2],GF$3)</f>
        <v>0</v>
      </c>
      <c r="GG20" s="56">
        <f>SUMIFS(tblActuals35415192327[Team 2 Goals],tblActuals35415192327[Team 2],$CU20,tblActuals35415192327[Team 1],GG$3)+SUMIFS(tblActuals35415192327[Team 1 Goals],tblActuals35415192327[Team 1],$CU20,tblActuals35415192327[Team 2],GG$3)</f>
        <v>0</v>
      </c>
      <c r="GH20" s="56">
        <f>SUMIFS(tblActuals35415192327[Team 2 Goals],tblActuals35415192327[Team 2],$CU20,tblActuals35415192327[Team 1],GH$3)+SUMIFS(tblActuals35415192327[Team 1 Goals],tblActuals35415192327[Team 1],$CU20,tblActuals35415192327[Team 2],GH$3)</f>
        <v>0</v>
      </c>
      <c r="GI20" s="56">
        <f>SUMIFS(tblActuals35415192327[Team 2 Goals],tblActuals35415192327[Team 2],$CU20,tblActuals35415192327[Team 1],GI$3)+SUMIFS(tblActuals35415192327[Team 1 Goals],tblActuals35415192327[Team 1],$CU20,tblActuals35415192327[Team 2],GI$3)</f>
        <v>0</v>
      </c>
      <c r="GJ20" s="57"/>
      <c r="GK20" s="57"/>
      <c r="GL20" s="37"/>
      <c r="GM20" s="37"/>
      <c r="GN20" s="37"/>
      <c r="GO20" s="37"/>
      <c r="GP20" s="37"/>
      <c r="GQ20" s="37"/>
      <c r="GR20" s="75"/>
      <c r="GS20" s="156"/>
      <c r="GT20" s="156"/>
      <c r="GU20" s="75"/>
      <c r="GV20" s="75"/>
      <c r="GW20" s="75"/>
      <c r="GX20" s="75"/>
      <c r="GY20" s="75"/>
      <c r="GZ20" s="75"/>
    </row>
    <row r="21" spans="1:221" s="11" customFormat="1" ht="30" customHeight="1" thickBot="1" x14ac:dyDescent="0.3">
      <c r="A21" s="20"/>
      <c r="B21" s="122">
        <v>18</v>
      </c>
      <c r="C21" s="122" t="s">
        <v>6</v>
      </c>
      <c r="D21" s="123">
        <v>45463</v>
      </c>
      <c r="E21" s="122" t="s">
        <v>78</v>
      </c>
      <c r="F21" s="124">
        <v>0.625</v>
      </c>
      <c r="G21" s="125">
        <f t="shared" si="11"/>
        <v>45463.375</v>
      </c>
      <c r="H21" s="122" t="s">
        <v>106</v>
      </c>
      <c r="I21" s="126"/>
      <c r="J21" s="118"/>
      <c r="K21" s="118"/>
      <c r="L21" s="174">
        <f>IF(I21="",0,IFERROR(IF(SCORING.RULES!$C$8="No",1,((VLOOKUP($B21,ACTUALS!$B$4:$L$100,7,FALSE)=$H21)+(VLOOKUP($B21,ACTUALS!$B$4:$L$100,7,FALSE)=S21)))*(M21+N21+O21+P21+Q21),0))+$R21</f>
        <v>0</v>
      </c>
      <c r="M21" s="168">
        <f>IFERROR(IF($B21="","",IF(U21=INDEX(ACTUALS!$AA$4:$AA$100,MATCH($B21,ACTUALS!$B$4:$B$100,0),1),CorrectScore,0)),0)</f>
        <v>0</v>
      </c>
      <c r="N21" s="157" t="str">
        <f>IFERROR(IF(I21="","",IF(INDEX(ACTUALS!$AB$4:$AB$100,MATCH($B21,ACTUALS!$B$4:$B$100,0),1)=(AB21+AC21+AH21+AI21),CorrectNumberofGoals,0)),0)</f>
        <v/>
      </c>
      <c r="O21" s="157"/>
      <c r="P21" s="157">
        <f>IFERROR(IF(B21="","",IF(INDEX(ACTUALS!$L$4:$L$100,MATCH($B21,ACTUALS!$B$4:$B$100,0),1)=W21,CorrectResult,0)),0)</f>
        <v>3</v>
      </c>
      <c r="Q21" s="157"/>
      <c r="R21" s="157"/>
      <c r="S21" s="157" t="str">
        <f t="shared" si="0"/>
        <v/>
      </c>
      <c r="T21" s="157"/>
      <c r="U21" s="157" t="str">
        <f t="shared" si="1"/>
        <v/>
      </c>
      <c r="V21" s="157" t="str">
        <f t="shared" si="2"/>
        <v/>
      </c>
      <c r="W21" s="119" t="str">
        <f>IF(tblActuals35415192327[[#This Row],[SCORE]]="","",IF(AB21=AC21,"Draw",IF(AB21&gt;AC21,X21,Y21)))</f>
        <v/>
      </c>
      <c r="X21" s="120" t="str">
        <f>IF(tblActuals35415192327[[#This Row],[TEAMS]]="","",LEFT(H21,FIND(" -",H21,1)-1))</f>
        <v>Slovenia</v>
      </c>
      <c r="Y21" s="120" t="str">
        <f>IF(tblActuals35415192327[[#This Row],[TEAMS]]="","",MID(H21,FIND("-",H21,1)+2,LEN(H21)-FIND("-",H21,1)+2))</f>
        <v>Serbia</v>
      </c>
      <c r="Z21" s="120" t="str">
        <f>IF(tblActuals35415192327[[#This Row],[Team 1 Goals]]&gt;tblActuals35415192327[[#This Row],[Team 2 Goals]],tblActuals35415192327[[#This Row],[Team 1]],IF(tblActuals35415192327[[#This Row],[Team 2 Goals]]&gt;tblActuals35415192327[[#This Row],[Team 1 Goals]],tblActuals35415192327[[#This Row],[Team 2]],""))</f>
        <v/>
      </c>
      <c r="AA21" s="120" t="str">
        <f>IF(tblActuals35415192327[[#This Row],[Winner]]=tblActuals35415192327[[#This Row],[Team 1]],tblActuals35415192327[[#This Row],[Team 2]],IF(tblActuals35415192327[[#This Row],[Winner]]=tblActuals35415192327[[#This Row],[Team 2]],tblActuals35415192327[[#This Row],[Team 1]],""))</f>
        <v/>
      </c>
      <c r="AB21" s="120" t="str">
        <f>IF(tblActuals35415192327[[#This Row],[SCORE]]="","",LEFT(I21,FIND(":",I21,1)-1)*1)</f>
        <v/>
      </c>
      <c r="AC21" s="120" t="str">
        <f>IF(tblActuals35415192327[[#This Row],[SCORE]]="","",MID(I21,FIND(":",I21,1)+1,LEN(I21)-FIND(":",I21,1)+1)*1)</f>
        <v/>
      </c>
      <c r="AD21" s="120" t="str">
        <f>IF(OR(tblActuals35415192327[[#This Row],[Team 1 Goals]]="",tblActuals35415192327[[#This Row],[Team 2 Goals]]=""),"",tblActuals35415192327[[#This Row],[Team 1 Goals]]-tblActuals35415192327[[#This Row],[Team 2 Goals]])</f>
        <v/>
      </c>
      <c r="AE21" s="120" t="str">
        <f>IF(OR(tblActuals35415192327[[#This Row],[Team 1 Goals]]="",tblActuals35415192327[[#This Row],[Team 2 Goals]]=""),"",tblActuals35415192327[[#This Row],[Team 2 Goals]]-tblActuals35415192327[[#This Row],[Team 1 Goals]])</f>
        <v/>
      </c>
      <c r="AF21" s="120" t="str">
        <f>IF(tblActuals35415192327[[#This Row],[SCORE]]="","",IF(tblActuals35415192327[[#This Row],[WINNER / RESULT]]="Draw",1,IF(tblActuals35415192327[[#This Row],[WINNER / RESULT]]=tblActuals35415192327[[#This Row],[Team 1]],3,0)))</f>
        <v/>
      </c>
      <c r="AG21" s="120" t="str">
        <f>IF(tblActuals35415192327[[#This Row],[SCORE]]="","",IF(tblActuals35415192327[[#This Row],[WINNER / RESULT]]="Draw",1,IF(tblActuals35415192327[[#This Row],[WINNER / RESULT]]=tblActuals35415192327[[#This Row],[Team 2]],3,0)))</f>
        <v/>
      </c>
      <c r="AH21" s="121"/>
      <c r="AI21" s="121"/>
      <c r="AJ21" s="121"/>
      <c r="AK21" s="121"/>
      <c r="AL21" s="120" t="e">
        <f>tblActuals35415192327[[#This Row],[Team 1 Goals]]+tblActuals35415192327[[#This Row],[Team 1 ET Goals]]&amp;":"&amp;tblActuals35415192327[[#This Row],[Team 2 Goals]]+tblActuals35415192327[[#This Row],[Team 2 ET Goals]]</f>
        <v>#VALUE!</v>
      </c>
      <c r="AM21" s="120" t="e">
        <f>+tblActuals35415192327[[#This Row],[Team 1 Goals]]+tblActuals35415192327[[#This Row],[Team 2 Goals]]</f>
        <v>#VALUE!</v>
      </c>
      <c r="AN21" s="161">
        <f t="shared" si="3"/>
        <v>45463</v>
      </c>
      <c r="AT21" s="77" t="s">
        <v>6</v>
      </c>
      <c r="AU21" s="145">
        <v>4</v>
      </c>
      <c r="AV21" s="146" t="str">
        <f ca="1">IFERROR(INDEX(BD:BD,MATCH("4"&amp;AT21,BN:BN,0),1),"")</f>
        <v>Slovenia</v>
      </c>
      <c r="AW21" s="146" t="str">
        <f ca="1">IF(AV21="","",VLOOKUP(AV21,BD:BI,2,FALSE)&amp;"-"&amp;VLOOKUP(AV21,BD:BI,3,FALSE)&amp;"-"&amp;VLOOKUP(AV21,BD:BI,4,FALSE))</f>
        <v>0-0-0</v>
      </c>
      <c r="AX21" s="146">
        <f ca="1">IF(AV21="","",VLOOKUP(AV21,BD:BK,8,FALSE))</f>
        <v>0</v>
      </c>
      <c r="AY21" s="147">
        <f ca="1">IF(AV21="","",VLOOKUP(AV21,BD:BN,5,FALSE))</f>
        <v>0</v>
      </c>
      <c r="AZ21" s="75"/>
      <c r="BA21" s="4"/>
      <c r="BB21" s="4"/>
      <c r="BC21" s="4" t="s">
        <v>7</v>
      </c>
      <c r="BD21" s="4" t="s">
        <v>8</v>
      </c>
      <c r="BE21" s="4">
        <f>COUNTIF(tblActuals35415192327[Winner],BD21)</f>
        <v>0</v>
      </c>
      <c r="BF21" s="4">
        <f>COUNTIFS(tblActuals35415192327[Team 2],BD21,tblActuals35415192327[WINNER / RESULT],"Draw")+COUNTIFS(tblActuals35415192327[Team 1],BD21,tblActuals35415192327[WINNER / RESULT],"Draw")</f>
        <v>0</v>
      </c>
      <c r="BG21" s="4">
        <f>COUNTIF(tblActuals35415192327[Loser],BD21)</f>
        <v>0</v>
      </c>
      <c r="BH21" s="4">
        <f>BF21+(3*BE21)</f>
        <v>0</v>
      </c>
      <c r="BI21" s="4">
        <f>SUMIFS(tblActuals35415192327[Team 1 Goals],tblActuals35415192327[Team 1],BD21)+SUMIFS(tblActuals35415192327[Team 2 Goals],tblActuals35415192327[Team 2],BD21)</f>
        <v>0</v>
      </c>
      <c r="BJ21" s="4">
        <f>SUMIFS(tblActuals35415192327[Team 2 Goals],tblActuals35415192327[Team 1],BD21)+SUMIFS(tblActuals35415192327[Team 1 Goals],tblActuals35415192327[Team 2],BD21)</f>
        <v>0</v>
      </c>
      <c r="BK21" s="4">
        <f>BI21-BJ21</f>
        <v>0</v>
      </c>
      <c r="BL21" s="4">
        <f ca="1">RANK(BY21,$BY$19:$BY$22,1)</f>
        <v>3</v>
      </c>
      <c r="BM21" s="4" t="str">
        <f t="shared" si="4"/>
        <v/>
      </c>
      <c r="BN21" s="4" t="str">
        <f ca="1">IF(BM21="",BL21&amp;BC21,BM21&amp;BC21)</f>
        <v>3D</v>
      </c>
      <c r="BO21" s="4">
        <f>RANK(BH21,$BH$19:$BH$22,0)</f>
        <v>1</v>
      </c>
      <c r="BP21" s="4" cm="1">
        <f t="array" aca="1" ref="BP21" ca="1">SUMPRODUCT((OFFSET($CV$3:$EA$3,MATCH($BD21,$CU$4:$CU$35,0),0))*((IF($BO19=$BO21,$CV$3:$EA$3=$BD19,0))+(IF($BO22=$BO21,$CV$3:$EA$3=$BD22,0))+(IF($BO20=$BO21,$CV$3:$EA$3=$BD20,0))))</f>
        <v>0</v>
      </c>
      <c r="BQ21" s="4" cm="1">
        <f t="array" aca="1" ref="BQ21" ca="1">SUMPRODUCT((OFFSET($ED$3:$FI$3,MATCH($BD21,$EC$4:$EC$35,0),0))*((IF($BO19=$BO21,$ED$3:$FI$3=$BD19,0))+(IF($BO22=$BO21,$ED$3:$FI$3=$BD22,0))+(IF($BO20=$BO21,$ED$3:$FI$3=$BD20,0))))</f>
        <v>0</v>
      </c>
      <c r="BR21" s="4" cm="1">
        <f t="array" aca="1" ref="BR21" ca="1">SUMPRODUCT((OFFSET($FL$3:$GQ$3,MATCH($BD21,$FK$4:$FK$35,0),0))*((IF($BO19=$BO21,$FL$3:$GQ$3=$BD19,0))+(IF($BO22=$BO21,$FL$3:$GQ$3=$BD22,0))+(IF($BO20=$BO21,$FL$3:$GQ$3=$BD20,0))))</f>
        <v>0</v>
      </c>
      <c r="BS21" s="4" cm="1">
        <f t="array" aca="1" ref="BS21" ca="1">SUMPRODUCT((OFFSET($CV$3:$EA$3,MATCH($BD21,$CU$4:$CU$35,0),0))*((IF($BO19&lt;&gt;$BO21,$CV$3:$EA$3=$BD19,0))+(IF($BO22&lt;&gt;$BO21,$CV$3:$EA$3=$BD22,0))+(IF($BO20&lt;&gt;$BO21,$CV$3:$EA$3=$BD20,0))))</f>
        <v>0</v>
      </c>
      <c r="BT21" s="4" cm="1">
        <f t="array" aca="1" ref="BT21" ca="1">SUMPRODUCT((OFFSET($ED$3:$FI$3,MATCH($BD21,$EC$4:$EC$35,0),0))*((IF($BO19&lt;&gt;$BO21,$ED$3:$FI$3=$BD19,0))+(IF($BO22&lt;&gt;$BO21,$ED$3:$FI$3=$BD22,0))+(IF($BO20&lt;&gt;$BO21,$ED$3:$FI$3=$BD20,0))))</f>
        <v>0</v>
      </c>
      <c r="BU21" s="4" cm="1">
        <f t="array" aca="1" ref="BU21" ca="1">SUMPRODUCT((OFFSET($FL$3:$GQ$3,MATCH($BD21,$FK$4:$FK$35,0),0))*((IF($BO19&lt;&gt;$BO21,$FL$3:$GQ$3=$BD19,0))+(IF($BO22&lt;&gt;$BO21,$FL$3:$GQ$3=$BD22,0))+(IF($BO20&lt;&gt;$BO21,$FL$3:$GQ$3=$BD20,0))))</f>
        <v>0</v>
      </c>
      <c r="BV21" s="4">
        <f>BK21</f>
        <v>0</v>
      </c>
      <c r="BW21" s="4">
        <f>BI21</f>
        <v>0</v>
      </c>
      <c r="BX21" s="4">
        <f ca="1">(BP21/10)+(BQ21/100)+(BR21/1000)+(BT21/10000)+(BU21/100000)+(BV21/1000000)+(BW21/10000000)+(ROW(BS20)/100000000)</f>
        <v>1.9999999999999999E-7</v>
      </c>
      <c r="BY21" s="4">
        <f ca="1">+BO21-BX21</f>
        <v>0.99999979999999999</v>
      </c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U21" s="4" t="s">
        <v>130</v>
      </c>
      <c r="CV21" s="56">
        <f>SUMIFS(tblActuals35415192327[Team 2 Points],tblActuals35415192327[Team 2],$CU21,tblActuals35415192327[Team 1],CV$3)+SUMIFS(tblActuals35415192327[Team 1 Points],tblActuals35415192327[Team 1],$CU21,tblActuals35415192327[Team 2],CV$3)</f>
        <v>0</v>
      </c>
      <c r="CW21" s="56">
        <f>SUMIFS(tblActuals35415192327[Team 2 Points],tblActuals35415192327[Team 2],$CU21,tblActuals35415192327[Team 1],CW$3)+SUMIFS(tblActuals35415192327[Team 1 Points],tblActuals35415192327[Team 1],$CU21,tblActuals35415192327[Team 2],CW$3)</f>
        <v>0</v>
      </c>
      <c r="CX21" s="56">
        <f>SUMIFS(tblActuals35415192327[Team 2 Points],tblActuals35415192327[Team 2],$CU21,tblActuals35415192327[Team 1],CX$3)+SUMIFS(tblActuals35415192327[Team 1 Points],tblActuals35415192327[Team 1],$CU21,tblActuals35415192327[Team 2],CX$3)</f>
        <v>0</v>
      </c>
      <c r="CY21" s="56">
        <f>SUMIFS(tblActuals35415192327[Team 2 Points],tblActuals35415192327[Team 2],$CU21,tblActuals35415192327[Team 1],CY$3)+SUMIFS(tblActuals35415192327[Team 1 Points],tblActuals35415192327[Team 1],$CU21,tblActuals35415192327[Team 2],CY$3)</f>
        <v>0</v>
      </c>
      <c r="CZ21" s="56">
        <f>SUMIFS(tblActuals35415192327[Team 2 Points],tblActuals35415192327[Team 2],$CU21,tblActuals35415192327[Team 1],CZ$3)+SUMIFS(tblActuals35415192327[Team 1 Points],tblActuals35415192327[Team 1],$CU21,tblActuals35415192327[Team 2],CZ$3)</f>
        <v>0</v>
      </c>
      <c r="DA21" s="56">
        <f>SUMIFS(tblActuals35415192327[Team 2 Points],tblActuals35415192327[Team 2],$CU21,tblActuals35415192327[Team 1],DA$3)+SUMIFS(tblActuals35415192327[Team 1 Points],tblActuals35415192327[Team 1],$CU21,tblActuals35415192327[Team 2],DA$3)</f>
        <v>0</v>
      </c>
      <c r="DB21" s="56">
        <f>SUMIFS(tblActuals35415192327[Team 2 Points],tblActuals35415192327[Team 2],$CU21,tblActuals35415192327[Team 1],DB$3)+SUMIFS(tblActuals35415192327[Team 1 Points],tblActuals35415192327[Team 1],$CU21,tblActuals35415192327[Team 2],DB$3)</f>
        <v>0</v>
      </c>
      <c r="DC21" s="56">
        <f>SUMIFS(tblActuals35415192327[Team 2 Points],tblActuals35415192327[Team 2],$CU21,tblActuals35415192327[Team 1],DC$3)+SUMIFS(tblActuals35415192327[Team 1 Points],tblActuals35415192327[Team 1],$CU21,tblActuals35415192327[Team 2],DC$3)</f>
        <v>0</v>
      </c>
      <c r="DD21" s="56">
        <f>SUMIFS(tblActuals35415192327[Team 2 Points],tblActuals35415192327[Team 2],$CU21,tblActuals35415192327[Team 1],DD$3)+SUMIFS(tblActuals35415192327[Team 1 Points],tblActuals35415192327[Team 1],$CU21,tblActuals35415192327[Team 2],DD$3)</f>
        <v>0</v>
      </c>
      <c r="DE21" s="56">
        <f>SUMIFS(tblActuals35415192327[Team 2 Points],tblActuals35415192327[Team 2],$CU21,tblActuals35415192327[Team 1],DE$3)+SUMIFS(tblActuals35415192327[Team 1 Points],tblActuals35415192327[Team 1],$CU21,tblActuals35415192327[Team 2],DE$3)</f>
        <v>0</v>
      </c>
      <c r="DF21" s="56">
        <f>SUMIFS(tblActuals35415192327[Team 2 Points],tblActuals35415192327[Team 2],$CU21,tblActuals35415192327[Team 1],DF$3)+SUMIFS(tblActuals35415192327[Team 1 Points],tblActuals35415192327[Team 1],$CU21,tblActuals35415192327[Team 2],DF$3)</f>
        <v>0</v>
      </c>
      <c r="DG21" s="56">
        <f>SUMIFS(tblActuals35415192327[Team 2 Points],tblActuals35415192327[Team 2],$CU21,tblActuals35415192327[Team 1],DG$3)+SUMIFS(tblActuals35415192327[Team 1 Points],tblActuals35415192327[Team 1],$CU21,tblActuals35415192327[Team 2],DG$3)</f>
        <v>0</v>
      </c>
      <c r="DH21" s="56">
        <f>SUMIFS(tblActuals35415192327[Team 2 Points],tblActuals35415192327[Team 2],$CU21,tblActuals35415192327[Team 1],DH$3)+SUMIFS(tblActuals35415192327[Team 1 Points],tblActuals35415192327[Team 1],$CU21,tblActuals35415192327[Team 2],DH$3)</f>
        <v>0</v>
      </c>
      <c r="DI21" s="56">
        <f>SUMIFS(tblActuals35415192327[Team 2 Points],tblActuals35415192327[Team 2],$CU21,tblActuals35415192327[Team 1],DI$3)+SUMIFS(tblActuals35415192327[Team 1 Points],tblActuals35415192327[Team 1],$CU21,tblActuals35415192327[Team 2],DI$3)</f>
        <v>0</v>
      </c>
      <c r="DJ21" s="56">
        <f>SUMIFS(tblActuals35415192327[Team 2 Points],tblActuals35415192327[Team 2],$CU21,tblActuals35415192327[Team 1],DJ$3)+SUMIFS(tblActuals35415192327[Team 1 Points],tblActuals35415192327[Team 1],$CU21,tblActuals35415192327[Team 2],DJ$3)</f>
        <v>0</v>
      </c>
      <c r="DK21" s="56">
        <f>SUMIFS(tblActuals35415192327[Team 2 Points],tblActuals35415192327[Team 2],$CU21,tblActuals35415192327[Team 1],DK$3)+SUMIFS(tblActuals35415192327[Team 1 Points],tblActuals35415192327[Team 1],$CU21,tblActuals35415192327[Team 2],DK$3)</f>
        <v>0</v>
      </c>
      <c r="DL21" s="56">
        <f>SUMIFS(tblActuals35415192327[Team 2 Points],tblActuals35415192327[Team 2],$CU21,tblActuals35415192327[Team 1],DL$3)+SUMIFS(tblActuals35415192327[Team 1 Points],tblActuals35415192327[Team 1],$CU21,tblActuals35415192327[Team 2],DL$3)</f>
        <v>0</v>
      </c>
      <c r="DM21" s="56">
        <f>SUMIFS(tblActuals35415192327[Team 2 Points],tblActuals35415192327[Team 2],$CU21,tblActuals35415192327[Team 1],DM$3)+SUMIFS(tblActuals35415192327[Team 1 Points],tblActuals35415192327[Team 1],$CU21,tblActuals35415192327[Team 2],DM$3)</f>
        <v>0</v>
      </c>
      <c r="DN21" s="56">
        <f>SUMIFS(tblActuals35415192327[Team 2 Points],tblActuals35415192327[Team 2],$CU21,tblActuals35415192327[Team 1],DN$3)+SUMIFS(tblActuals35415192327[Team 1 Points],tblActuals35415192327[Team 1],$CU21,tblActuals35415192327[Team 2],DN$3)</f>
        <v>0</v>
      </c>
      <c r="DO21" s="56">
        <f>SUMIFS(tblActuals35415192327[Team 2 Points],tblActuals35415192327[Team 2],$CU21,tblActuals35415192327[Team 1],DO$3)+SUMIFS(tblActuals35415192327[Team 1 Points],tblActuals35415192327[Team 1],$CU21,tblActuals35415192327[Team 2],DO$3)</f>
        <v>0</v>
      </c>
      <c r="DP21" s="56">
        <f>SUMIFS(tblActuals35415192327[Team 2 Points],tblActuals35415192327[Team 2],$CU21,tblActuals35415192327[Team 1],DP$3)+SUMIFS(tblActuals35415192327[Team 1 Points],tblActuals35415192327[Team 1],$CU21,tblActuals35415192327[Team 2],DP$3)</f>
        <v>0</v>
      </c>
      <c r="DQ21" s="56">
        <f>SUMIFS(tblActuals35415192327[Team 2 Points],tblActuals35415192327[Team 2],$CU21,tblActuals35415192327[Team 1],DQ$3)+SUMIFS(tblActuals35415192327[Team 1 Points],tblActuals35415192327[Team 1],$CU21,tblActuals35415192327[Team 2],DQ$3)</f>
        <v>0</v>
      </c>
      <c r="DR21" s="56">
        <f>SUMIFS(tblActuals35415192327[Team 2 Points],tblActuals35415192327[Team 2],$CU21,tblActuals35415192327[Team 1],DR$3)+SUMIFS(tblActuals35415192327[Team 1 Points],tblActuals35415192327[Team 1],$CU21,tblActuals35415192327[Team 2],DR$3)</f>
        <v>0</v>
      </c>
      <c r="DS21" s="56">
        <f>SUMIFS(tblActuals35415192327[Team 2 Points],tblActuals35415192327[Team 2],$CU21,tblActuals35415192327[Team 1],DS$3)+SUMIFS(tblActuals35415192327[Team 1 Points],tblActuals35415192327[Team 1],$CU21,tblActuals35415192327[Team 2],DS$3)</f>
        <v>0</v>
      </c>
      <c r="DT21" s="57"/>
      <c r="DU21" s="57"/>
      <c r="DV21" s="57"/>
      <c r="DW21" s="57"/>
      <c r="DX21" s="57"/>
      <c r="DY21" s="57"/>
      <c r="DZ21" s="57"/>
      <c r="EA21" s="57"/>
      <c r="EB21" s="4"/>
      <c r="EC21" s="4" t="s">
        <v>130</v>
      </c>
      <c r="ED21" s="56">
        <f>SUMIFS(tblActuals35415192327[Team 2 GD],tblActuals35415192327[Team 2],$CU21,tblActuals35415192327[Team 1],ED$3)+SUMIFS(tblActuals35415192327[Team 1 GD],tblActuals35415192327[Team 1],$CU21,tblActuals35415192327[Team 2],ED$3)</f>
        <v>0</v>
      </c>
      <c r="EE21" s="56">
        <f>SUMIFS(tblActuals35415192327[Team 2 GD],tblActuals35415192327[Team 2],$CU21,tblActuals35415192327[Team 1],EE$3)+SUMIFS(tblActuals35415192327[Team 1 GD],tblActuals35415192327[Team 1],$CU21,tblActuals35415192327[Team 2],EE$3)</f>
        <v>0</v>
      </c>
      <c r="EF21" s="56">
        <f>SUMIFS(tblActuals35415192327[Team 2 GD],tblActuals35415192327[Team 2],$CU21,tblActuals35415192327[Team 1],EF$3)+SUMIFS(tblActuals35415192327[Team 1 GD],tblActuals35415192327[Team 1],$CU21,tblActuals35415192327[Team 2],EF$3)</f>
        <v>0</v>
      </c>
      <c r="EG21" s="56">
        <f>SUMIFS(tblActuals35415192327[Team 2 GD],tblActuals35415192327[Team 2],$CU21,tblActuals35415192327[Team 1],EG$3)+SUMIFS(tblActuals35415192327[Team 1 GD],tblActuals35415192327[Team 1],$CU21,tblActuals35415192327[Team 2],EG$3)</f>
        <v>0</v>
      </c>
      <c r="EH21" s="56">
        <f>SUMIFS(tblActuals35415192327[Team 2 GD],tblActuals35415192327[Team 2],$CU21,tblActuals35415192327[Team 1],EH$3)+SUMIFS(tblActuals35415192327[Team 1 GD],tblActuals35415192327[Team 1],$CU21,tblActuals35415192327[Team 2],EH$3)</f>
        <v>0</v>
      </c>
      <c r="EI21" s="56">
        <f>SUMIFS(tblActuals35415192327[Team 2 GD],tblActuals35415192327[Team 2],$CU21,tblActuals35415192327[Team 1],EI$3)+SUMIFS(tblActuals35415192327[Team 1 GD],tblActuals35415192327[Team 1],$CU21,tblActuals35415192327[Team 2],EI$3)</f>
        <v>0</v>
      </c>
      <c r="EJ21" s="56">
        <f>SUMIFS(tblActuals35415192327[Team 2 GD],tblActuals35415192327[Team 2],$CU21,tblActuals35415192327[Team 1],EJ$3)+SUMIFS(tblActuals35415192327[Team 1 GD],tblActuals35415192327[Team 1],$CU21,tblActuals35415192327[Team 2],EJ$3)</f>
        <v>0</v>
      </c>
      <c r="EK21" s="56">
        <f>SUMIFS(tblActuals35415192327[Team 2 GD],tblActuals35415192327[Team 2],$CU21,tblActuals35415192327[Team 1],EK$3)+SUMIFS(tblActuals35415192327[Team 1 GD],tblActuals35415192327[Team 1],$CU21,tblActuals35415192327[Team 2],EK$3)</f>
        <v>0</v>
      </c>
      <c r="EL21" s="56">
        <f>SUMIFS(tblActuals35415192327[Team 2 GD],tblActuals35415192327[Team 2],$CU21,tblActuals35415192327[Team 1],EL$3)+SUMIFS(tblActuals35415192327[Team 1 GD],tblActuals35415192327[Team 1],$CU21,tblActuals35415192327[Team 2],EL$3)</f>
        <v>0</v>
      </c>
      <c r="EM21" s="56">
        <f>SUMIFS(tblActuals35415192327[Team 2 GD],tblActuals35415192327[Team 2],$CU21,tblActuals35415192327[Team 1],EM$3)+SUMIFS(tblActuals35415192327[Team 1 GD],tblActuals35415192327[Team 1],$CU21,tblActuals35415192327[Team 2],EM$3)</f>
        <v>0</v>
      </c>
      <c r="EN21" s="56">
        <f>SUMIFS(tblActuals35415192327[Team 2 GD],tblActuals35415192327[Team 2],$CU21,tblActuals35415192327[Team 1],EN$3)+SUMIFS(tblActuals35415192327[Team 1 GD],tblActuals35415192327[Team 1],$CU21,tblActuals35415192327[Team 2],EN$3)</f>
        <v>0</v>
      </c>
      <c r="EO21" s="56">
        <f>SUMIFS(tblActuals35415192327[Team 2 GD],tblActuals35415192327[Team 2],$CU21,tblActuals35415192327[Team 1],EO$3)+SUMIFS(tblActuals35415192327[Team 1 GD],tblActuals35415192327[Team 1],$CU21,tblActuals35415192327[Team 2],EO$3)</f>
        <v>0</v>
      </c>
      <c r="EP21" s="56">
        <f>SUMIFS(tblActuals35415192327[Team 2 GD],tblActuals35415192327[Team 2],$CU21,tblActuals35415192327[Team 1],EP$3)+SUMIFS(tblActuals35415192327[Team 1 GD],tblActuals35415192327[Team 1],$CU21,tblActuals35415192327[Team 2],EP$3)</f>
        <v>0</v>
      </c>
      <c r="EQ21" s="56">
        <f>SUMIFS(tblActuals35415192327[Team 2 GD],tblActuals35415192327[Team 2],$CU21,tblActuals35415192327[Team 1],EQ$3)+SUMIFS(tblActuals35415192327[Team 1 GD],tblActuals35415192327[Team 1],$CU21,tblActuals35415192327[Team 2],EQ$3)</f>
        <v>0</v>
      </c>
      <c r="ER21" s="56">
        <f>SUMIFS(tblActuals35415192327[Team 2 GD],tblActuals35415192327[Team 2],$CU21,tblActuals35415192327[Team 1],ER$3)+SUMIFS(tblActuals35415192327[Team 1 GD],tblActuals35415192327[Team 1],$CU21,tblActuals35415192327[Team 2],ER$3)</f>
        <v>0</v>
      </c>
      <c r="ES21" s="56">
        <f>SUMIFS(tblActuals35415192327[Team 2 GD],tblActuals35415192327[Team 2],$CU21,tblActuals35415192327[Team 1],ES$3)+SUMIFS(tblActuals35415192327[Team 1 GD],tblActuals35415192327[Team 1],$CU21,tblActuals35415192327[Team 2],ES$3)</f>
        <v>0</v>
      </c>
      <c r="ET21" s="56">
        <f>SUMIFS(tblActuals35415192327[Team 2 GD],tblActuals35415192327[Team 2],$CU21,tblActuals35415192327[Team 1],ET$3)+SUMIFS(tblActuals35415192327[Team 1 GD],tblActuals35415192327[Team 1],$CU21,tblActuals35415192327[Team 2],ET$3)</f>
        <v>0</v>
      </c>
      <c r="EU21" s="56">
        <f>SUMIFS(tblActuals35415192327[Team 2 GD],tblActuals35415192327[Team 2],$CU21,tblActuals35415192327[Team 1],EU$3)+SUMIFS(tblActuals35415192327[Team 1 GD],tblActuals35415192327[Team 1],$CU21,tblActuals35415192327[Team 2],EU$3)</f>
        <v>0</v>
      </c>
      <c r="EV21" s="56">
        <f>SUMIFS(tblActuals35415192327[Team 2 GD],tblActuals35415192327[Team 2],$CU21,tblActuals35415192327[Team 1],EV$3)+SUMIFS(tblActuals35415192327[Team 1 GD],tblActuals35415192327[Team 1],$CU21,tblActuals35415192327[Team 2],EV$3)</f>
        <v>0</v>
      </c>
      <c r="EW21" s="56">
        <f>SUMIFS(tblActuals35415192327[Team 2 GD],tblActuals35415192327[Team 2],$CU21,tblActuals35415192327[Team 1],EW$3)+SUMIFS(tblActuals35415192327[Team 1 GD],tblActuals35415192327[Team 1],$CU21,tblActuals35415192327[Team 2],EW$3)</f>
        <v>0</v>
      </c>
      <c r="EX21" s="56">
        <f>SUMIFS(tblActuals35415192327[Team 2 GD],tblActuals35415192327[Team 2],$CU21,tblActuals35415192327[Team 1],EX$3)+SUMIFS(tblActuals35415192327[Team 1 GD],tblActuals35415192327[Team 1],$CU21,tblActuals35415192327[Team 2],EX$3)</f>
        <v>0</v>
      </c>
      <c r="EY21" s="56">
        <f>SUMIFS(tblActuals35415192327[Team 2 GD],tblActuals35415192327[Team 2],$CU21,tblActuals35415192327[Team 1],EY$3)+SUMIFS(tblActuals35415192327[Team 1 GD],tblActuals35415192327[Team 1],$CU21,tblActuals35415192327[Team 2],EY$3)</f>
        <v>0</v>
      </c>
      <c r="EZ21" s="56">
        <f>SUMIFS(tblActuals35415192327[Team 2 GD],tblActuals35415192327[Team 2],$CU21,tblActuals35415192327[Team 1],EZ$3)+SUMIFS(tblActuals35415192327[Team 1 GD],tblActuals35415192327[Team 1],$CU21,tblActuals35415192327[Team 2],EZ$3)</f>
        <v>0</v>
      </c>
      <c r="FA21" s="56">
        <f>SUMIFS(tblActuals35415192327[Team 2 GD],tblActuals35415192327[Team 2],$CU21,tblActuals35415192327[Team 1],FA$3)+SUMIFS(tblActuals35415192327[Team 1 GD],tblActuals35415192327[Team 1],$CU21,tblActuals35415192327[Team 2],FA$3)</f>
        <v>0</v>
      </c>
      <c r="FB21" s="57"/>
      <c r="FC21" s="57"/>
      <c r="FD21" s="57"/>
      <c r="FE21" s="57"/>
      <c r="FF21" s="57"/>
      <c r="FG21" s="57"/>
      <c r="FH21" s="57"/>
      <c r="FI21" s="57"/>
      <c r="FJ21" s="4"/>
      <c r="FK21" s="4" t="s">
        <v>130</v>
      </c>
      <c r="FL21" s="56">
        <f>SUMIFS(tblActuals35415192327[Team 2 Goals],tblActuals35415192327[Team 2],$CU21,tblActuals35415192327[Team 1],FL$3)+SUMIFS(tblActuals35415192327[Team 1 Goals],tblActuals35415192327[Team 1],$CU21,tblActuals35415192327[Team 2],FL$3)</f>
        <v>0</v>
      </c>
      <c r="FM21" s="56">
        <f>SUMIFS(tblActuals35415192327[Team 2 Goals],tblActuals35415192327[Team 2],$CU21,tblActuals35415192327[Team 1],FM$3)+SUMIFS(tblActuals35415192327[Team 1 Goals],tblActuals35415192327[Team 1],$CU21,tblActuals35415192327[Team 2],FM$3)</f>
        <v>0</v>
      </c>
      <c r="FN21" s="56">
        <f>SUMIFS(tblActuals35415192327[Team 2 Goals],tblActuals35415192327[Team 2],$CU21,tblActuals35415192327[Team 1],FN$3)+SUMIFS(tblActuals35415192327[Team 1 Goals],tblActuals35415192327[Team 1],$CU21,tblActuals35415192327[Team 2],FN$3)</f>
        <v>0</v>
      </c>
      <c r="FO21" s="56">
        <f>SUMIFS(tblActuals35415192327[Team 2 Goals],tblActuals35415192327[Team 2],$CU21,tblActuals35415192327[Team 1],FO$3)+SUMIFS(tblActuals35415192327[Team 1 Goals],tblActuals35415192327[Team 1],$CU21,tblActuals35415192327[Team 2],FO$3)</f>
        <v>0</v>
      </c>
      <c r="FP21" s="56">
        <f>SUMIFS(tblActuals35415192327[Team 2 Goals],tblActuals35415192327[Team 2],$CU21,tblActuals35415192327[Team 1],FP$3)+SUMIFS(tblActuals35415192327[Team 1 Goals],tblActuals35415192327[Team 1],$CU21,tblActuals35415192327[Team 2],FP$3)</f>
        <v>0</v>
      </c>
      <c r="FQ21" s="56">
        <f>SUMIFS(tblActuals35415192327[Team 2 Goals],tblActuals35415192327[Team 2],$CU21,tblActuals35415192327[Team 1],FQ$3)+SUMIFS(tblActuals35415192327[Team 1 Goals],tblActuals35415192327[Team 1],$CU21,tblActuals35415192327[Team 2],FQ$3)</f>
        <v>0</v>
      </c>
      <c r="FR21" s="56">
        <f>SUMIFS(tblActuals35415192327[Team 2 Goals],tblActuals35415192327[Team 2],$CU21,tblActuals35415192327[Team 1],FR$3)+SUMIFS(tblActuals35415192327[Team 1 Goals],tblActuals35415192327[Team 1],$CU21,tblActuals35415192327[Team 2],FR$3)</f>
        <v>0</v>
      </c>
      <c r="FS21" s="56">
        <f>SUMIFS(tblActuals35415192327[Team 2 Goals],tblActuals35415192327[Team 2],$CU21,tblActuals35415192327[Team 1],FS$3)+SUMIFS(tblActuals35415192327[Team 1 Goals],tblActuals35415192327[Team 1],$CU21,tblActuals35415192327[Team 2],FS$3)</f>
        <v>0</v>
      </c>
      <c r="FT21" s="56">
        <f>SUMIFS(tblActuals35415192327[Team 2 Goals],tblActuals35415192327[Team 2],$CU21,tblActuals35415192327[Team 1],FT$3)+SUMIFS(tblActuals35415192327[Team 1 Goals],tblActuals35415192327[Team 1],$CU21,tblActuals35415192327[Team 2],FT$3)</f>
        <v>0</v>
      </c>
      <c r="FU21" s="56">
        <f>SUMIFS(tblActuals35415192327[Team 2 Goals],tblActuals35415192327[Team 2],$CU21,tblActuals35415192327[Team 1],FU$3)+SUMIFS(tblActuals35415192327[Team 1 Goals],tblActuals35415192327[Team 1],$CU21,tblActuals35415192327[Team 2],FU$3)</f>
        <v>0</v>
      </c>
      <c r="FV21" s="56">
        <f>SUMIFS(tblActuals35415192327[Team 2 Goals],tblActuals35415192327[Team 2],$CU21,tblActuals35415192327[Team 1],FV$3)+SUMIFS(tblActuals35415192327[Team 1 Goals],tblActuals35415192327[Team 1],$CU21,tblActuals35415192327[Team 2],FV$3)</f>
        <v>0</v>
      </c>
      <c r="FW21" s="56">
        <f>SUMIFS(tblActuals35415192327[Team 2 Goals],tblActuals35415192327[Team 2],$CU21,tblActuals35415192327[Team 1],FW$3)+SUMIFS(tblActuals35415192327[Team 1 Goals],tblActuals35415192327[Team 1],$CU21,tblActuals35415192327[Team 2],FW$3)</f>
        <v>0</v>
      </c>
      <c r="FX21" s="56">
        <f>SUMIFS(tblActuals35415192327[Team 2 Goals],tblActuals35415192327[Team 2],$CU21,tblActuals35415192327[Team 1],FX$3)+SUMIFS(tblActuals35415192327[Team 1 Goals],tblActuals35415192327[Team 1],$CU21,tblActuals35415192327[Team 2],FX$3)</f>
        <v>0</v>
      </c>
      <c r="FY21" s="56">
        <f>SUMIFS(tblActuals35415192327[Team 2 Goals],tblActuals35415192327[Team 2],$CU21,tblActuals35415192327[Team 1],FY$3)+SUMIFS(tblActuals35415192327[Team 1 Goals],tblActuals35415192327[Team 1],$CU21,tblActuals35415192327[Team 2],FY$3)</f>
        <v>0</v>
      </c>
      <c r="FZ21" s="56">
        <f>SUMIFS(tblActuals35415192327[Team 2 Goals],tblActuals35415192327[Team 2],$CU21,tblActuals35415192327[Team 1],FZ$3)+SUMIFS(tblActuals35415192327[Team 1 Goals],tblActuals35415192327[Team 1],$CU21,tblActuals35415192327[Team 2],FZ$3)</f>
        <v>0</v>
      </c>
      <c r="GA21" s="56">
        <f>SUMIFS(tblActuals35415192327[Team 2 Goals],tblActuals35415192327[Team 2],$CU21,tblActuals35415192327[Team 1],GA$3)+SUMIFS(tblActuals35415192327[Team 1 Goals],tblActuals35415192327[Team 1],$CU21,tblActuals35415192327[Team 2],GA$3)</f>
        <v>0</v>
      </c>
      <c r="GB21" s="56">
        <f>SUMIFS(tblActuals35415192327[Team 2 Goals],tblActuals35415192327[Team 2],$CU21,tblActuals35415192327[Team 1],GB$3)+SUMIFS(tblActuals35415192327[Team 1 Goals],tblActuals35415192327[Team 1],$CU21,tblActuals35415192327[Team 2],GB$3)</f>
        <v>0</v>
      </c>
      <c r="GC21" s="56">
        <f>SUMIFS(tblActuals35415192327[Team 2 Goals],tblActuals35415192327[Team 2],$CU21,tblActuals35415192327[Team 1],GC$3)+SUMIFS(tblActuals35415192327[Team 1 Goals],tblActuals35415192327[Team 1],$CU21,tblActuals35415192327[Team 2],GC$3)</f>
        <v>0</v>
      </c>
      <c r="GD21" s="56">
        <f>SUMIFS(tblActuals35415192327[Team 2 Goals],tblActuals35415192327[Team 2],$CU21,tblActuals35415192327[Team 1],GD$3)+SUMIFS(tblActuals35415192327[Team 1 Goals],tblActuals35415192327[Team 1],$CU21,tblActuals35415192327[Team 2],GD$3)</f>
        <v>0</v>
      </c>
      <c r="GE21" s="56">
        <f>SUMIFS(tblActuals35415192327[Team 2 Goals],tblActuals35415192327[Team 2],$CU21,tblActuals35415192327[Team 1],GE$3)+SUMIFS(tblActuals35415192327[Team 1 Goals],tblActuals35415192327[Team 1],$CU21,tblActuals35415192327[Team 2],GE$3)</f>
        <v>0</v>
      </c>
      <c r="GF21" s="56">
        <f>SUMIFS(tblActuals35415192327[Team 2 Goals],tblActuals35415192327[Team 2],$CU21,tblActuals35415192327[Team 1],GF$3)+SUMIFS(tblActuals35415192327[Team 1 Goals],tblActuals35415192327[Team 1],$CU21,tblActuals35415192327[Team 2],GF$3)</f>
        <v>0</v>
      </c>
      <c r="GG21" s="56">
        <f>SUMIFS(tblActuals35415192327[Team 2 Goals],tblActuals35415192327[Team 2],$CU21,tblActuals35415192327[Team 1],GG$3)+SUMIFS(tblActuals35415192327[Team 1 Goals],tblActuals35415192327[Team 1],$CU21,tblActuals35415192327[Team 2],GG$3)</f>
        <v>0</v>
      </c>
      <c r="GH21" s="56">
        <f>SUMIFS(tblActuals35415192327[Team 2 Goals],tblActuals35415192327[Team 2],$CU21,tblActuals35415192327[Team 1],GH$3)+SUMIFS(tblActuals35415192327[Team 1 Goals],tblActuals35415192327[Team 1],$CU21,tblActuals35415192327[Team 2],GH$3)</f>
        <v>0</v>
      </c>
      <c r="GI21" s="56">
        <f>SUMIFS(tblActuals35415192327[Team 2 Goals],tblActuals35415192327[Team 2],$CU21,tblActuals35415192327[Team 1],GI$3)+SUMIFS(tblActuals35415192327[Team 1 Goals],tblActuals35415192327[Team 1],$CU21,tblActuals35415192327[Team 2],GI$3)</f>
        <v>0</v>
      </c>
      <c r="GJ21" s="57"/>
      <c r="GK21" s="57"/>
      <c r="GL21" s="37"/>
      <c r="GM21" s="37"/>
      <c r="GN21" s="37"/>
      <c r="GO21" s="37"/>
      <c r="GP21" s="37"/>
      <c r="GQ21" s="37"/>
      <c r="GR21" s="75"/>
      <c r="GS21" s="156"/>
      <c r="GT21" s="156"/>
      <c r="GU21" s="75"/>
      <c r="GV21" s="75"/>
      <c r="GW21" s="75"/>
      <c r="GX21" s="75"/>
      <c r="GY21" s="75"/>
      <c r="GZ21" s="75"/>
    </row>
    <row r="22" spans="1:221" s="11" customFormat="1" ht="30" customHeight="1" thickBot="1" x14ac:dyDescent="0.3">
      <c r="A22" s="20"/>
      <c r="B22" s="122">
        <v>19</v>
      </c>
      <c r="C22" s="122" t="s">
        <v>7</v>
      </c>
      <c r="D22" s="123">
        <v>45464</v>
      </c>
      <c r="E22" s="122" t="s">
        <v>80</v>
      </c>
      <c r="F22" s="124">
        <v>0.75</v>
      </c>
      <c r="G22" s="125">
        <f t="shared" si="11"/>
        <v>45464.5</v>
      </c>
      <c r="H22" s="122" t="s">
        <v>107</v>
      </c>
      <c r="I22" s="126"/>
      <c r="J22" s="118"/>
      <c r="K22" s="118"/>
      <c r="L22" s="174">
        <f>IF(I22="",0,IFERROR(IF(SCORING.RULES!$C$8="No",1,((VLOOKUP($B22,ACTUALS!$B$4:$L$100,7,FALSE)=$H22)+(VLOOKUP($B22,ACTUALS!$B$4:$L$100,7,FALSE)=S22)))*(M22+N22+O22+P22+Q22),0))+$R22</f>
        <v>0</v>
      </c>
      <c r="M22" s="168">
        <f>IFERROR(IF($B22="","",IF(U22=INDEX(ACTUALS!$AA$4:$AA$100,MATCH($B22,ACTUALS!$B$4:$B$100,0),1),CorrectScore,0)),0)</f>
        <v>0</v>
      </c>
      <c r="N22" s="157" t="str">
        <f>IFERROR(IF(I22="","",IF(INDEX(ACTUALS!$AB$4:$AB$100,MATCH($B22,ACTUALS!$B$4:$B$100,0),1)=(AB22+AC22+AH22+AI22),CorrectNumberofGoals,0)),0)</f>
        <v/>
      </c>
      <c r="O22" s="157"/>
      <c r="P22" s="157">
        <f>IFERROR(IF(B22="","",IF(INDEX(ACTUALS!$L$4:$L$100,MATCH($B22,ACTUALS!$B$4:$B$100,0),1)=W22,CorrectResult,0)),0)</f>
        <v>3</v>
      </c>
      <c r="Q22" s="157"/>
      <c r="R22" s="157"/>
      <c r="S22" s="157" t="str">
        <f t="shared" si="0"/>
        <v/>
      </c>
      <c r="T22" s="157"/>
      <c r="U22" s="157" t="str">
        <f t="shared" si="1"/>
        <v/>
      </c>
      <c r="V22" s="157" t="str">
        <f t="shared" si="2"/>
        <v/>
      </c>
      <c r="W22" s="119" t="str">
        <f>IF(tblActuals35415192327[[#This Row],[SCORE]]="","",IF(AB22=AC22,"Draw",IF(AB22&gt;AC22,X22,Y22)))</f>
        <v/>
      </c>
      <c r="X22" s="120" t="str">
        <f>IF(tblActuals35415192327[[#This Row],[TEAMS]]="","",LEFT(H22,FIND(" -",H22,1)-1))</f>
        <v>Poland</v>
      </c>
      <c r="Y22" s="120" t="str">
        <f>IF(tblActuals35415192327[[#This Row],[TEAMS]]="","",MID(H22,FIND("-",H22,1)+2,LEN(H22)-FIND("-",H22,1)+2))</f>
        <v>Austria</v>
      </c>
      <c r="Z22" s="120" t="str">
        <f>IF(tblActuals35415192327[[#This Row],[Team 1 Goals]]&gt;tblActuals35415192327[[#This Row],[Team 2 Goals]],tblActuals35415192327[[#This Row],[Team 1]],IF(tblActuals35415192327[[#This Row],[Team 2 Goals]]&gt;tblActuals35415192327[[#This Row],[Team 1 Goals]],tblActuals35415192327[[#This Row],[Team 2]],""))</f>
        <v/>
      </c>
      <c r="AA22" s="120" t="str">
        <f>IF(tblActuals35415192327[[#This Row],[Winner]]=tblActuals35415192327[[#This Row],[Team 1]],tblActuals35415192327[[#This Row],[Team 2]],IF(tblActuals35415192327[[#This Row],[Winner]]=tblActuals35415192327[[#This Row],[Team 2]],tblActuals35415192327[[#This Row],[Team 1]],""))</f>
        <v/>
      </c>
      <c r="AB22" s="120" t="str">
        <f>IF(tblActuals35415192327[[#This Row],[SCORE]]="","",LEFT(I22,FIND(":",I22,1)-1)*1)</f>
        <v/>
      </c>
      <c r="AC22" s="120" t="str">
        <f>IF(tblActuals35415192327[[#This Row],[SCORE]]="","",MID(I22,FIND(":",I22,1)+1,LEN(I22)-FIND(":",I22,1)+1)*1)</f>
        <v/>
      </c>
      <c r="AD22" s="120" t="str">
        <f>IF(OR(tblActuals35415192327[[#This Row],[Team 1 Goals]]="",tblActuals35415192327[[#This Row],[Team 2 Goals]]=""),"",tblActuals35415192327[[#This Row],[Team 1 Goals]]-tblActuals35415192327[[#This Row],[Team 2 Goals]])</f>
        <v/>
      </c>
      <c r="AE22" s="120" t="str">
        <f>IF(OR(tblActuals35415192327[[#This Row],[Team 1 Goals]]="",tblActuals35415192327[[#This Row],[Team 2 Goals]]=""),"",tblActuals35415192327[[#This Row],[Team 2 Goals]]-tblActuals35415192327[[#This Row],[Team 1 Goals]])</f>
        <v/>
      </c>
      <c r="AF22" s="120" t="str">
        <f>IF(tblActuals35415192327[[#This Row],[SCORE]]="","",IF(tblActuals35415192327[[#This Row],[WINNER / RESULT]]="Draw",1,IF(tblActuals35415192327[[#This Row],[WINNER / RESULT]]=tblActuals35415192327[[#This Row],[Team 1]],3,0)))</f>
        <v/>
      </c>
      <c r="AG22" s="120" t="str">
        <f>IF(tblActuals35415192327[[#This Row],[SCORE]]="","",IF(tblActuals35415192327[[#This Row],[WINNER / RESULT]]="Draw",1,IF(tblActuals35415192327[[#This Row],[WINNER / RESULT]]=tblActuals35415192327[[#This Row],[Team 2]],3,0)))</f>
        <v/>
      </c>
      <c r="AH22" s="121"/>
      <c r="AI22" s="121"/>
      <c r="AJ22" s="121"/>
      <c r="AK22" s="121"/>
      <c r="AL22" s="120" t="e">
        <f>tblActuals35415192327[[#This Row],[Team 1 Goals]]+tblActuals35415192327[[#This Row],[Team 1 ET Goals]]&amp;":"&amp;tblActuals35415192327[[#This Row],[Team 2 Goals]]+tblActuals35415192327[[#This Row],[Team 2 ET Goals]]</f>
        <v>#VALUE!</v>
      </c>
      <c r="AM22" s="120" t="e">
        <f>+tblActuals35415192327[[#This Row],[Team 1 Goals]]+tblActuals35415192327[[#This Row],[Team 2 Goals]]</f>
        <v>#VALUE!</v>
      </c>
      <c r="AN22" s="161">
        <f t="shared" si="3"/>
        <v>45464</v>
      </c>
      <c r="AT22" s="77"/>
      <c r="AU22" s="148"/>
      <c r="AV22" s="148"/>
      <c r="AW22" s="148"/>
      <c r="AX22" s="148"/>
      <c r="AY22" s="148"/>
      <c r="AZ22" s="75"/>
      <c r="BA22" s="4"/>
      <c r="BB22" s="4"/>
      <c r="BC22" s="4" t="s">
        <v>7</v>
      </c>
      <c r="BD22" s="4" t="s">
        <v>32</v>
      </c>
      <c r="BE22" s="4">
        <f>COUNTIF(tblActuals35415192327[Winner],BD22)</f>
        <v>0</v>
      </c>
      <c r="BF22" s="4">
        <f>COUNTIFS(tblActuals35415192327[Team 2],BD22,tblActuals35415192327[WINNER / RESULT],"Draw")+COUNTIFS(tblActuals35415192327[Team 1],BD22,tblActuals35415192327[WINNER / RESULT],"Draw")</f>
        <v>0</v>
      </c>
      <c r="BG22" s="4">
        <f>COUNTIF(tblActuals35415192327[Loser],BD22)</f>
        <v>0</v>
      </c>
      <c r="BH22" s="4">
        <f>BF22+(3*BE22)</f>
        <v>0</v>
      </c>
      <c r="BI22" s="4">
        <f>SUMIFS(tblActuals35415192327[Team 1 Goals],tblActuals35415192327[Team 1],BD22)+SUMIFS(tblActuals35415192327[Team 2 Goals],tblActuals35415192327[Team 2],BD22)</f>
        <v>0</v>
      </c>
      <c r="BJ22" s="4">
        <f>SUMIFS(tblActuals35415192327[Team 2 Goals],tblActuals35415192327[Team 1],BD22)+SUMIFS(tblActuals35415192327[Team 1 Goals],tblActuals35415192327[Team 2],BD22)</f>
        <v>0</v>
      </c>
      <c r="BK22" s="4">
        <f>BI22-BJ22</f>
        <v>0</v>
      </c>
      <c r="BL22" s="4">
        <f ca="1">RANK(BY22,$BY$19:$BY$22,1)</f>
        <v>4</v>
      </c>
      <c r="BM22" s="4" t="str">
        <f t="shared" si="4"/>
        <v/>
      </c>
      <c r="BN22" s="4" t="str">
        <f ca="1">IF(BM22="",BL22&amp;BC22,BM22&amp;BC22)</f>
        <v>4D</v>
      </c>
      <c r="BO22" s="4">
        <f>RANK(BH22,$BH$19:$BH$22,0)</f>
        <v>1</v>
      </c>
      <c r="BP22" s="4" cm="1">
        <f t="array" aca="1" ref="BP22" ca="1">SUMPRODUCT((OFFSET($CV$3:$EA$3,MATCH($BD22,$CU$4:$CU$35,0),0))*((IF($BO20=$BO22,$CV$3:$EA$3=$BD20,0))+(IF($BO19=$BO22,$CV$3:$EA$3=$BD19,0))+(IF($BO21=$BO22,$CV$3:$EA$3=$BD21,0))))</f>
        <v>0</v>
      </c>
      <c r="BQ22" s="4" cm="1">
        <f t="array" aca="1" ref="BQ22" ca="1">SUMPRODUCT((OFFSET($ED$3:$FI$3,MATCH($BD22,$EC$4:$EC$35,0),0))*((IF($BO20=$BO22,$ED$3:$FI$3=$BD20,0))+(IF($BO19=$BO22,$ED$3:$FI$3=$BD19,0))+(IF($BO21=$BO22,$ED$3:$FI$3=$BD21,0))))</f>
        <v>0</v>
      </c>
      <c r="BR22" s="4" cm="1">
        <f t="array" aca="1" ref="BR22" ca="1">SUMPRODUCT((OFFSET($FL$3:$GQ$3,MATCH($BD22,$FK$4:$FK$35,0),0))*((IF($BO20=$BO22,$FL$3:$GQ$3=$BD20,0))+(IF($BO19=$BO22,$FL$3:$GQ$3=$BD19,0))+(IF($BO21=$BO22,$FL$3:$GQ$3=$BD21,0))))</f>
        <v>0</v>
      </c>
      <c r="BS22" s="4" cm="1">
        <f t="array" aca="1" ref="BS22" ca="1">SUMPRODUCT((OFFSET($CV$3:$EA$3,MATCH($BD22,$CU$4:$CU$35,0),0))*((IF($BO20&lt;&gt;$BO22,$CV$3:$EA$3=$BD20,0))+(IF($BO19&lt;&gt;$BO22,$CV$3:$EA$3=$BD19,0))+(IF($BO21&lt;&gt;$BO22,$CV$3:$EA$3=$BD21,0))))</f>
        <v>0</v>
      </c>
      <c r="BT22" s="4" cm="1">
        <f t="array" aca="1" ref="BT22" ca="1">SUMPRODUCT((OFFSET($ED$3:$FI$3,MATCH($BD22,$EC$4:$EC$35,0),0))*((IF($BO20&lt;&gt;$BO22,$ED$3:$FI$3=$BD20,0))+(IF($BO19&lt;&gt;$BO22,$ED$3:$FI$3=$BD19,0))+(IF($BO21&lt;&gt;$BO22,$ED$3:$FI$3=$BD21,0))))</f>
        <v>0</v>
      </c>
      <c r="BU22" s="4" cm="1">
        <f t="array" aca="1" ref="BU22" ca="1">SUMPRODUCT((OFFSET($FL$3:$GQ$3,MATCH($BD22,$FK$4:$FK$35,0),0))*((IF($BO20&lt;&gt;$BO22,$FL$3:$GQ$3=$BD20,0))+(IF($BO19&lt;&gt;$BO22,$FL$3:$GQ$3=$BD19,0))+(IF($BO21&lt;&gt;$BO22,$FL$3:$GQ$3=$BD21,0))))</f>
        <v>0</v>
      </c>
      <c r="BV22" s="4">
        <f>BK22</f>
        <v>0</v>
      </c>
      <c r="BW22" s="4">
        <f>BI22</f>
        <v>0</v>
      </c>
      <c r="BX22" s="4">
        <f ca="1">(BP22/10)+(BQ22/100)+(BR22/1000)+(BT22/10000)+(BU22/100000)+(BV22/1000000)+(BW22/10000000)+(ROW(BS19)/100000000)</f>
        <v>1.9000000000000001E-7</v>
      </c>
      <c r="BY22" s="4">
        <f ca="1">+BO22-BX22</f>
        <v>0.99999981000000004</v>
      </c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U22" s="4" t="s">
        <v>131</v>
      </c>
      <c r="CV22" s="56">
        <f>SUMIFS(tblActuals35415192327[Team 2 Points],tblActuals35415192327[Team 2],$CU22,tblActuals35415192327[Team 1],CV$3)+SUMIFS(tblActuals35415192327[Team 1 Points],tblActuals35415192327[Team 1],$CU22,tblActuals35415192327[Team 2],CV$3)</f>
        <v>0</v>
      </c>
      <c r="CW22" s="56">
        <f>SUMIFS(tblActuals35415192327[Team 2 Points],tblActuals35415192327[Team 2],$CU22,tblActuals35415192327[Team 1],CW$3)+SUMIFS(tblActuals35415192327[Team 1 Points],tblActuals35415192327[Team 1],$CU22,tblActuals35415192327[Team 2],CW$3)</f>
        <v>0</v>
      </c>
      <c r="CX22" s="56">
        <f>SUMIFS(tblActuals35415192327[Team 2 Points],tblActuals35415192327[Team 2],$CU22,tblActuals35415192327[Team 1],CX$3)+SUMIFS(tblActuals35415192327[Team 1 Points],tblActuals35415192327[Team 1],$CU22,tblActuals35415192327[Team 2],CX$3)</f>
        <v>0</v>
      </c>
      <c r="CY22" s="56">
        <f>SUMIFS(tblActuals35415192327[Team 2 Points],tblActuals35415192327[Team 2],$CU22,tblActuals35415192327[Team 1],CY$3)+SUMIFS(tblActuals35415192327[Team 1 Points],tblActuals35415192327[Team 1],$CU22,tblActuals35415192327[Team 2],CY$3)</f>
        <v>0</v>
      </c>
      <c r="CZ22" s="56">
        <f>SUMIFS(tblActuals35415192327[Team 2 Points],tblActuals35415192327[Team 2],$CU22,tblActuals35415192327[Team 1],CZ$3)+SUMIFS(tblActuals35415192327[Team 1 Points],tblActuals35415192327[Team 1],$CU22,tblActuals35415192327[Team 2],CZ$3)</f>
        <v>0</v>
      </c>
      <c r="DA22" s="56">
        <f>SUMIFS(tblActuals35415192327[Team 2 Points],tblActuals35415192327[Team 2],$CU22,tblActuals35415192327[Team 1],DA$3)+SUMIFS(tblActuals35415192327[Team 1 Points],tblActuals35415192327[Team 1],$CU22,tblActuals35415192327[Team 2],DA$3)</f>
        <v>0</v>
      </c>
      <c r="DB22" s="56">
        <f>SUMIFS(tblActuals35415192327[Team 2 Points],tblActuals35415192327[Team 2],$CU22,tblActuals35415192327[Team 1],DB$3)+SUMIFS(tblActuals35415192327[Team 1 Points],tblActuals35415192327[Team 1],$CU22,tblActuals35415192327[Team 2],DB$3)</f>
        <v>0</v>
      </c>
      <c r="DC22" s="56">
        <f>SUMIFS(tblActuals35415192327[Team 2 Points],tblActuals35415192327[Team 2],$CU22,tblActuals35415192327[Team 1],DC$3)+SUMIFS(tblActuals35415192327[Team 1 Points],tblActuals35415192327[Team 1],$CU22,tblActuals35415192327[Team 2],DC$3)</f>
        <v>0</v>
      </c>
      <c r="DD22" s="56">
        <f>SUMIFS(tblActuals35415192327[Team 2 Points],tblActuals35415192327[Team 2],$CU22,tblActuals35415192327[Team 1],DD$3)+SUMIFS(tblActuals35415192327[Team 1 Points],tblActuals35415192327[Team 1],$CU22,tblActuals35415192327[Team 2],DD$3)</f>
        <v>0</v>
      </c>
      <c r="DE22" s="56">
        <f>SUMIFS(tblActuals35415192327[Team 2 Points],tblActuals35415192327[Team 2],$CU22,tblActuals35415192327[Team 1],DE$3)+SUMIFS(tblActuals35415192327[Team 1 Points],tblActuals35415192327[Team 1],$CU22,tblActuals35415192327[Team 2],DE$3)</f>
        <v>0</v>
      </c>
      <c r="DF22" s="56">
        <f>SUMIFS(tblActuals35415192327[Team 2 Points],tblActuals35415192327[Team 2],$CU22,tblActuals35415192327[Team 1],DF$3)+SUMIFS(tblActuals35415192327[Team 1 Points],tblActuals35415192327[Team 1],$CU22,tblActuals35415192327[Team 2],DF$3)</f>
        <v>0</v>
      </c>
      <c r="DG22" s="56">
        <f>SUMIFS(tblActuals35415192327[Team 2 Points],tblActuals35415192327[Team 2],$CU22,tblActuals35415192327[Team 1],DG$3)+SUMIFS(tblActuals35415192327[Team 1 Points],tblActuals35415192327[Team 1],$CU22,tblActuals35415192327[Team 2],DG$3)</f>
        <v>0</v>
      </c>
      <c r="DH22" s="56">
        <f>SUMIFS(tblActuals35415192327[Team 2 Points],tblActuals35415192327[Team 2],$CU22,tblActuals35415192327[Team 1],DH$3)+SUMIFS(tblActuals35415192327[Team 1 Points],tblActuals35415192327[Team 1],$CU22,tblActuals35415192327[Team 2],DH$3)</f>
        <v>0</v>
      </c>
      <c r="DI22" s="56">
        <f>SUMIFS(tblActuals35415192327[Team 2 Points],tblActuals35415192327[Team 2],$CU22,tblActuals35415192327[Team 1],DI$3)+SUMIFS(tblActuals35415192327[Team 1 Points],tblActuals35415192327[Team 1],$CU22,tblActuals35415192327[Team 2],DI$3)</f>
        <v>0</v>
      </c>
      <c r="DJ22" s="56">
        <f>SUMIFS(tblActuals35415192327[Team 2 Points],tblActuals35415192327[Team 2],$CU22,tblActuals35415192327[Team 1],DJ$3)+SUMIFS(tblActuals35415192327[Team 1 Points],tblActuals35415192327[Team 1],$CU22,tblActuals35415192327[Team 2],DJ$3)</f>
        <v>0</v>
      </c>
      <c r="DK22" s="56">
        <f>SUMIFS(tblActuals35415192327[Team 2 Points],tblActuals35415192327[Team 2],$CU22,tblActuals35415192327[Team 1],DK$3)+SUMIFS(tblActuals35415192327[Team 1 Points],tblActuals35415192327[Team 1],$CU22,tblActuals35415192327[Team 2],DK$3)</f>
        <v>0</v>
      </c>
      <c r="DL22" s="56">
        <f>SUMIFS(tblActuals35415192327[Team 2 Points],tblActuals35415192327[Team 2],$CU22,tblActuals35415192327[Team 1],DL$3)+SUMIFS(tblActuals35415192327[Team 1 Points],tblActuals35415192327[Team 1],$CU22,tblActuals35415192327[Team 2],DL$3)</f>
        <v>0</v>
      </c>
      <c r="DM22" s="56">
        <f>SUMIFS(tblActuals35415192327[Team 2 Points],tblActuals35415192327[Team 2],$CU22,tblActuals35415192327[Team 1],DM$3)+SUMIFS(tblActuals35415192327[Team 1 Points],tblActuals35415192327[Team 1],$CU22,tblActuals35415192327[Team 2],DM$3)</f>
        <v>0</v>
      </c>
      <c r="DN22" s="56">
        <f>SUMIFS(tblActuals35415192327[Team 2 Points],tblActuals35415192327[Team 2],$CU22,tblActuals35415192327[Team 1],DN$3)+SUMIFS(tblActuals35415192327[Team 1 Points],tblActuals35415192327[Team 1],$CU22,tblActuals35415192327[Team 2],DN$3)</f>
        <v>0</v>
      </c>
      <c r="DO22" s="56">
        <f>SUMIFS(tblActuals35415192327[Team 2 Points],tblActuals35415192327[Team 2],$CU22,tblActuals35415192327[Team 1],DO$3)+SUMIFS(tblActuals35415192327[Team 1 Points],tblActuals35415192327[Team 1],$CU22,tblActuals35415192327[Team 2],DO$3)</f>
        <v>0</v>
      </c>
      <c r="DP22" s="56">
        <f>SUMIFS(tblActuals35415192327[Team 2 Points],tblActuals35415192327[Team 2],$CU22,tblActuals35415192327[Team 1],DP$3)+SUMIFS(tblActuals35415192327[Team 1 Points],tblActuals35415192327[Team 1],$CU22,tblActuals35415192327[Team 2],DP$3)</f>
        <v>0</v>
      </c>
      <c r="DQ22" s="56">
        <f>SUMIFS(tblActuals35415192327[Team 2 Points],tblActuals35415192327[Team 2],$CU22,tblActuals35415192327[Team 1],DQ$3)+SUMIFS(tblActuals35415192327[Team 1 Points],tblActuals35415192327[Team 1],$CU22,tblActuals35415192327[Team 2],DQ$3)</f>
        <v>0</v>
      </c>
      <c r="DR22" s="56">
        <f>SUMIFS(tblActuals35415192327[Team 2 Points],tblActuals35415192327[Team 2],$CU22,tblActuals35415192327[Team 1],DR$3)+SUMIFS(tblActuals35415192327[Team 1 Points],tblActuals35415192327[Team 1],$CU22,tblActuals35415192327[Team 2],DR$3)</f>
        <v>0</v>
      </c>
      <c r="DS22" s="56">
        <f>SUMIFS(tblActuals35415192327[Team 2 Points],tblActuals35415192327[Team 2],$CU22,tblActuals35415192327[Team 1],DS$3)+SUMIFS(tblActuals35415192327[Team 1 Points],tblActuals35415192327[Team 1],$CU22,tblActuals35415192327[Team 2],DS$3)</f>
        <v>0</v>
      </c>
      <c r="DT22" s="57"/>
      <c r="DU22" s="57"/>
      <c r="DV22" s="57"/>
      <c r="DW22" s="57"/>
      <c r="DX22" s="57"/>
      <c r="DY22" s="57"/>
      <c r="DZ22" s="57"/>
      <c r="EA22" s="57"/>
      <c r="EB22" s="4"/>
      <c r="EC22" s="4" t="s">
        <v>131</v>
      </c>
      <c r="ED22" s="56">
        <f>SUMIFS(tblActuals35415192327[Team 2 GD],tblActuals35415192327[Team 2],$CU22,tblActuals35415192327[Team 1],ED$3)+SUMIFS(tblActuals35415192327[Team 1 GD],tblActuals35415192327[Team 1],$CU22,tblActuals35415192327[Team 2],ED$3)</f>
        <v>0</v>
      </c>
      <c r="EE22" s="56">
        <f>SUMIFS(tblActuals35415192327[Team 2 GD],tblActuals35415192327[Team 2],$CU22,tblActuals35415192327[Team 1],EE$3)+SUMIFS(tblActuals35415192327[Team 1 GD],tblActuals35415192327[Team 1],$CU22,tblActuals35415192327[Team 2],EE$3)</f>
        <v>0</v>
      </c>
      <c r="EF22" s="56">
        <f>SUMIFS(tblActuals35415192327[Team 2 GD],tblActuals35415192327[Team 2],$CU22,tblActuals35415192327[Team 1],EF$3)+SUMIFS(tblActuals35415192327[Team 1 GD],tblActuals35415192327[Team 1],$CU22,tblActuals35415192327[Team 2],EF$3)</f>
        <v>0</v>
      </c>
      <c r="EG22" s="56">
        <f>SUMIFS(tblActuals35415192327[Team 2 GD],tblActuals35415192327[Team 2],$CU22,tblActuals35415192327[Team 1],EG$3)+SUMIFS(tblActuals35415192327[Team 1 GD],tblActuals35415192327[Team 1],$CU22,tblActuals35415192327[Team 2],EG$3)</f>
        <v>0</v>
      </c>
      <c r="EH22" s="56">
        <f>SUMIFS(tblActuals35415192327[Team 2 GD],tblActuals35415192327[Team 2],$CU22,tblActuals35415192327[Team 1],EH$3)+SUMIFS(tblActuals35415192327[Team 1 GD],tblActuals35415192327[Team 1],$CU22,tblActuals35415192327[Team 2],EH$3)</f>
        <v>0</v>
      </c>
      <c r="EI22" s="56">
        <f>SUMIFS(tblActuals35415192327[Team 2 GD],tblActuals35415192327[Team 2],$CU22,tblActuals35415192327[Team 1],EI$3)+SUMIFS(tblActuals35415192327[Team 1 GD],tblActuals35415192327[Team 1],$CU22,tblActuals35415192327[Team 2],EI$3)</f>
        <v>0</v>
      </c>
      <c r="EJ22" s="56">
        <f>SUMIFS(tblActuals35415192327[Team 2 GD],tblActuals35415192327[Team 2],$CU22,tblActuals35415192327[Team 1],EJ$3)+SUMIFS(tblActuals35415192327[Team 1 GD],tblActuals35415192327[Team 1],$CU22,tblActuals35415192327[Team 2],EJ$3)</f>
        <v>0</v>
      </c>
      <c r="EK22" s="56">
        <f>SUMIFS(tblActuals35415192327[Team 2 GD],tblActuals35415192327[Team 2],$CU22,tblActuals35415192327[Team 1],EK$3)+SUMIFS(tblActuals35415192327[Team 1 GD],tblActuals35415192327[Team 1],$CU22,tblActuals35415192327[Team 2],EK$3)</f>
        <v>0</v>
      </c>
      <c r="EL22" s="56">
        <f>SUMIFS(tblActuals35415192327[Team 2 GD],tblActuals35415192327[Team 2],$CU22,tblActuals35415192327[Team 1],EL$3)+SUMIFS(tblActuals35415192327[Team 1 GD],tblActuals35415192327[Team 1],$CU22,tblActuals35415192327[Team 2],EL$3)</f>
        <v>0</v>
      </c>
      <c r="EM22" s="56">
        <f>SUMIFS(tblActuals35415192327[Team 2 GD],tblActuals35415192327[Team 2],$CU22,tblActuals35415192327[Team 1],EM$3)+SUMIFS(tblActuals35415192327[Team 1 GD],tblActuals35415192327[Team 1],$CU22,tblActuals35415192327[Team 2],EM$3)</f>
        <v>0</v>
      </c>
      <c r="EN22" s="56">
        <f>SUMIFS(tblActuals35415192327[Team 2 GD],tblActuals35415192327[Team 2],$CU22,tblActuals35415192327[Team 1],EN$3)+SUMIFS(tblActuals35415192327[Team 1 GD],tblActuals35415192327[Team 1],$CU22,tblActuals35415192327[Team 2],EN$3)</f>
        <v>0</v>
      </c>
      <c r="EO22" s="56">
        <f>SUMIFS(tblActuals35415192327[Team 2 GD],tblActuals35415192327[Team 2],$CU22,tblActuals35415192327[Team 1],EO$3)+SUMIFS(tblActuals35415192327[Team 1 GD],tblActuals35415192327[Team 1],$CU22,tblActuals35415192327[Team 2],EO$3)</f>
        <v>0</v>
      </c>
      <c r="EP22" s="56">
        <f>SUMIFS(tblActuals35415192327[Team 2 GD],tblActuals35415192327[Team 2],$CU22,tblActuals35415192327[Team 1],EP$3)+SUMIFS(tblActuals35415192327[Team 1 GD],tblActuals35415192327[Team 1],$CU22,tblActuals35415192327[Team 2],EP$3)</f>
        <v>0</v>
      </c>
      <c r="EQ22" s="56">
        <f>SUMIFS(tblActuals35415192327[Team 2 GD],tblActuals35415192327[Team 2],$CU22,tblActuals35415192327[Team 1],EQ$3)+SUMIFS(tblActuals35415192327[Team 1 GD],tblActuals35415192327[Team 1],$CU22,tblActuals35415192327[Team 2],EQ$3)</f>
        <v>0</v>
      </c>
      <c r="ER22" s="56">
        <f>SUMIFS(tblActuals35415192327[Team 2 GD],tblActuals35415192327[Team 2],$CU22,tblActuals35415192327[Team 1],ER$3)+SUMIFS(tblActuals35415192327[Team 1 GD],tblActuals35415192327[Team 1],$CU22,tblActuals35415192327[Team 2],ER$3)</f>
        <v>0</v>
      </c>
      <c r="ES22" s="56">
        <f>SUMIFS(tblActuals35415192327[Team 2 GD],tblActuals35415192327[Team 2],$CU22,tblActuals35415192327[Team 1],ES$3)+SUMIFS(tblActuals35415192327[Team 1 GD],tblActuals35415192327[Team 1],$CU22,tblActuals35415192327[Team 2],ES$3)</f>
        <v>0</v>
      </c>
      <c r="ET22" s="56">
        <f>SUMIFS(tblActuals35415192327[Team 2 GD],tblActuals35415192327[Team 2],$CU22,tblActuals35415192327[Team 1],ET$3)+SUMIFS(tblActuals35415192327[Team 1 GD],tblActuals35415192327[Team 1],$CU22,tblActuals35415192327[Team 2],ET$3)</f>
        <v>0</v>
      </c>
      <c r="EU22" s="56">
        <f>SUMIFS(tblActuals35415192327[Team 2 GD],tblActuals35415192327[Team 2],$CU22,tblActuals35415192327[Team 1],EU$3)+SUMIFS(tblActuals35415192327[Team 1 GD],tblActuals35415192327[Team 1],$CU22,tblActuals35415192327[Team 2],EU$3)</f>
        <v>0</v>
      </c>
      <c r="EV22" s="56">
        <f>SUMIFS(tblActuals35415192327[Team 2 GD],tblActuals35415192327[Team 2],$CU22,tblActuals35415192327[Team 1],EV$3)+SUMIFS(tblActuals35415192327[Team 1 GD],tblActuals35415192327[Team 1],$CU22,tblActuals35415192327[Team 2],EV$3)</f>
        <v>0</v>
      </c>
      <c r="EW22" s="56">
        <f>SUMIFS(tblActuals35415192327[Team 2 GD],tblActuals35415192327[Team 2],$CU22,tblActuals35415192327[Team 1],EW$3)+SUMIFS(tblActuals35415192327[Team 1 GD],tblActuals35415192327[Team 1],$CU22,tblActuals35415192327[Team 2],EW$3)</f>
        <v>0</v>
      </c>
      <c r="EX22" s="56">
        <f>SUMIFS(tblActuals35415192327[Team 2 GD],tblActuals35415192327[Team 2],$CU22,tblActuals35415192327[Team 1],EX$3)+SUMIFS(tblActuals35415192327[Team 1 GD],tblActuals35415192327[Team 1],$CU22,tblActuals35415192327[Team 2],EX$3)</f>
        <v>0</v>
      </c>
      <c r="EY22" s="56">
        <f>SUMIFS(tblActuals35415192327[Team 2 GD],tblActuals35415192327[Team 2],$CU22,tblActuals35415192327[Team 1],EY$3)+SUMIFS(tblActuals35415192327[Team 1 GD],tblActuals35415192327[Team 1],$CU22,tblActuals35415192327[Team 2],EY$3)</f>
        <v>0</v>
      </c>
      <c r="EZ22" s="56">
        <f>SUMIFS(tblActuals35415192327[Team 2 GD],tblActuals35415192327[Team 2],$CU22,tblActuals35415192327[Team 1],EZ$3)+SUMIFS(tblActuals35415192327[Team 1 GD],tblActuals35415192327[Team 1],$CU22,tblActuals35415192327[Team 2],EZ$3)</f>
        <v>0</v>
      </c>
      <c r="FA22" s="56">
        <f>SUMIFS(tblActuals35415192327[Team 2 GD],tblActuals35415192327[Team 2],$CU22,tblActuals35415192327[Team 1],FA$3)+SUMIFS(tblActuals35415192327[Team 1 GD],tblActuals35415192327[Team 1],$CU22,tblActuals35415192327[Team 2],FA$3)</f>
        <v>0</v>
      </c>
      <c r="FB22" s="57"/>
      <c r="FC22" s="57"/>
      <c r="FD22" s="57"/>
      <c r="FE22" s="57"/>
      <c r="FF22" s="57"/>
      <c r="FG22" s="57"/>
      <c r="FH22" s="57"/>
      <c r="FI22" s="57"/>
      <c r="FJ22" s="4"/>
      <c r="FK22" s="4" t="s">
        <v>131</v>
      </c>
      <c r="FL22" s="56">
        <f>SUMIFS(tblActuals35415192327[Team 2 Goals],tblActuals35415192327[Team 2],$CU22,tblActuals35415192327[Team 1],FL$3)+SUMIFS(tblActuals35415192327[Team 1 Goals],tblActuals35415192327[Team 1],$CU22,tblActuals35415192327[Team 2],FL$3)</f>
        <v>0</v>
      </c>
      <c r="FM22" s="56">
        <f>SUMIFS(tblActuals35415192327[Team 2 Goals],tblActuals35415192327[Team 2],$CU22,tblActuals35415192327[Team 1],FM$3)+SUMIFS(tblActuals35415192327[Team 1 Goals],tblActuals35415192327[Team 1],$CU22,tblActuals35415192327[Team 2],FM$3)</f>
        <v>0</v>
      </c>
      <c r="FN22" s="56">
        <f>SUMIFS(tblActuals35415192327[Team 2 Goals],tblActuals35415192327[Team 2],$CU22,tblActuals35415192327[Team 1],FN$3)+SUMIFS(tblActuals35415192327[Team 1 Goals],tblActuals35415192327[Team 1],$CU22,tblActuals35415192327[Team 2],FN$3)</f>
        <v>0</v>
      </c>
      <c r="FO22" s="56">
        <f>SUMIFS(tblActuals35415192327[Team 2 Goals],tblActuals35415192327[Team 2],$CU22,tblActuals35415192327[Team 1],FO$3)+SUMIFS(tblActuals35415192327[Team 1 Goals],tblActuals35415192327[Team 1],$CU22,tblActuals35415192327[Team 2],FO$3)</f>
        <v>0</v>
      </c>
      <c r="FP22" s="56">
        <f>SUMIFS(tblActuals35415192327[Team 2 Goals],tblActuals35415192327[Team 2],$CU22,tblActuals35415192327[Team 1],FP$3)+SUMIFS(tblActuals35415192327[Team 1 Goals],tblActuals35415192327[Team 1],$CU22,tblActuals35415192327[Team 2],FP$3)</f>
        <v>0</v>
      </c>
      <c r="FQ22" s="56">
        <f>SUMIFS(tblActuals35415192327[Team 2 Goals],tblActuals35415192327[Team 2],$CU22,tblActuals35415192327[Team 1],FQ$3)+SUMIFS(tblActuals35415192327[Team 1 Goals],tblActuals35415192327[Team 1],$CU22,tblActuals35415192327[Team 2],FQ$3)</f>
        <v>0</v>
      </c>
      <c r="FR22" s="56">
        <f>SUMIFS(tblActuals35415192327[Team 2 Goals],tblActuals35415192327[Team 2],$CU22,tblActuals35415192327[Team 1],FR$3)+SUMIFS(tblActuals35415192327[Team 1 Goals],tblActuals35415192327[Team 1],$CU22,tblActuals35415192327[Team 2],FR$3)</f>
        <v>0</v>
      </c>
      <c r="FS22" s="56">
        <f>SUMIFS(tblActuals35415192327[Team 2 Goals],tblActuals35415192327[Team 2],$CU22,tblActuals35415192327[Team 1],FS$3)+SUMIFS(tblActuals35415192327[Team 1 Goals],tblActuals35415192327[Team 1],$CU22,tblActuals35415192327[Team 2],FS$3)</f>
        <v>0</v>
      </c>
      <c r="FT22" s="56">
        <f>SUMIFS(tblActuals35415192327[Team 2 Goals],tblActuals35415192327[Team 2],$CU22,tblActuals35415192327[Team 1],FT$3)+SUMIFS(tblActuals35415192327[Team 1 Goals],tblActuals35415192327[Team 1],$CU22,tblActuals35415192327[Team 2],FT$3)</f>
        <v>0</v>
      </c>
      <c r="FU22" s="56">
        <f>SUMIFS(tblActuals35415192327[Team 2 Goals],tblActuals35415192327[Team 2],$CU22,tblActuals35415192327[Team 1],FU$3)+SUMIFS(tblActuals35415192327[Team 1 Goals],tblActuals35415192327[Team 1],$CU22,tblActuals35415192327[Team 2],FU$3)</f>
        <v>0</v>
      </c>
      <c r="FV22" s="56">
        <f>SUMIFS(tblActuals35415192327[Team 2 Goals],tblActuals35415192327[Team 2],$CU22,tblActuals35415192327[Team 1],FV$3)+SUMIFS(tblActuals35415192327[Team 1 Goals],tblActuals35415192327[Team 1],$CU22,tblActuals35415192327[Team 2],FV$3)</f>
        <v>0</v>
      </c>
      <c r="FW22" s="56">
        <f>SUMIFS(tblActuals35415192327[Team 2 Goals],tblActuals35415192327[Team 2],$CU22,tblActuals35415192327[Team 1],FW$3)+SUMIFS(tblActuals35415192327[Team 1 Goals],tblActuals35415192327[Team 1],$CU22,tblActuals35415192327[Team 2],FW$3)</f>
        <v>0</v>
      </c>
      <c r="FX22" s="56">
        <f>SUMIFS(tblActuals35415192327[Team 2 Goals],tblActuals35415192327[Team 2],$CU22,tblActuals35415192327[Team 1],FX$3)+SUMIFS(tblActuals35415192327[Team 1 Goals],tblActuals35415192327[Team 1],$CU22,tblActuals35415192327[Team 2],FX$3)</f>
        <v>0</v>
      </c>
      <c r="FY22" s="56">
        <f>SUMIFS(tblActuals35415192327[Team 2 Goals],tblActuals35415192327[Team 2],$CU22,tblActuals35415192327[Team 1],FY$3)+SUMIFS(tblActuals35415192327[Team 1 Goals],tblActuals35415192327[Team 1],$CU22,tblActuals35415192327[Team 2],FY$3)</f>
        <v>0</v>
      </c>
      <c r="FZ22" s="56">
        <f>SUMIFS(tblActuals35415192327[Team 2 Goals],tblActuals35415192327[Team 2],$CU22,tblActuals35415192327[Team 1],FZ$3)+SUMIFS(tblActuals35415192327[Team 1 Goals],tblActuals35415192327[Team 1],$CU22,tblActuals35415192327[Team 2],FZ$3)</f>
        <v>0</v>
      </c>
      <c r="GA22" s="56">
        <f>SUMIFS(tblActuals35415192327[Team 2 Goals],tblActuals35415192327[Team 2],$CU22,tblActuals35415192327[Team 1],GA$3)+SUMIFS(tblActuals35415192327[Team 1 Goals],tblActuals35415192327[Team 1],$CU22,tblActuals35415192327[Team 2],GA$3)</f>
        <v>0</v>
      </c>
      <c r="GB22" s="56">
        <f>SUMIFS(tblActuals35415192327[Team 2 Goals],tblActuals35415192327[Team 2],$CU22,tblActuals35415192327[Team 1],GB$3)+SUMIFS(tblActuals35415192327[Team 1 Goals],tblActuals35415192327[Team 1],$CU22,tblActuals35415192327[Team 2],GB$3)</f>
        <v>0</v>
      </c>
      <c r="GC22" s="56">
        <f>SUMIFS(tblActuals35415192327[Team 2 Goals],tblActuals35415192327[Team 2],$CU22,tblActuals35415192327[Team 1],GC$3)+SUMIFS(tblActuals35415192327[Team 1 Goals],tblActuals35415192327[Team 1],$CU22,tblActuals35415192327[Team 2],GC$3)</f>
        <v>0</v>
      </c>
      <c r="GD22" s="56">
        <f>SUMIFS(tblActuals35415192327[Team 2 Goals],tblActuals35415192327[Team 2],$CU22,tblActuals35415192327[Team 1],GD$3)+SUMIFS(tblActuals35415192327[Team 1 Goals],tblActuals35415192327[Team 1],$CU22,tblActuals35415192327[Team 2],GD$3)</f>
        <v>0</v>
      </c>
      <c r="GE22" s="56">
        <f>SUMIFS(tblActuals35415192327[Team 2 Goals],tblActuals35415192327[Team 2],$CU22,tblActuals35415192327[Team 1],GE$3)+SUMIFS(tblActuals35415192327[Team 1 Goals],tblActuals35415192327[Team 1],$CU22,tblActuals35415192327[Team 2],GE$3)</f>
        <v>0</v>
      </c>
      <c r="GF22" s="56">
        <f>SUMIFS(tblActuals35415192327[Team 2 Goals],tblActuals35415192327[Team 2],$CU22,tblActuals35415192327[Team 1],GF$3)+SUMIFS(tblActuals35415192327[Team 1 Goals],tblActuals35415192327[Team 1],$CU22,tblActuals35415192327[Team 2],GF$3)</f>
        <v>0</v>
      </c>
      <c r="GG22" s="56">
        <f>SUMIFS(tblActuals35415192327[Team 2 Goals],tblActuals35415192327[Team 2],$CU22,tblActuals35415192327[Team 1],GG$3)+SUMIFS(tblActuals35415192327[Team 1 Goals],tblActuals35415192327[Team 1],$CU22,tblActuals35415192327[Team 2],GG$3)</f>
        <v>0</v>
      </c>
      <c r="GH22" s="56">
        <f>SUMIFS(tblActuals35415192327[Team 2 Goals],tblActuals35415192327[Team 2],$CU22,tblActuals35415192327[Team 1],GH$3)+SUMIFS(tblActuals35415192327[Team 1 Goals],tblActuals35415192327[Team 1],$CU22,tblActuals35415192327[Team 2],GH$3)</f>
        <v>0</v>
      </c>
      <c r="GI22" s="56">
        <f>SUMIFS(tblActuals35415192327[Team 2 Goals],tblActuals35415192327[Team 2],$CU22,tblActuals35415192327[Team 1],GI$3)+SUMIFS(tblActuals35415192327[Team 1 Goals],tblActuals35415192327[Team 1],$CU22,tblActuals35415192327[Team 2],GI$3)</f>
        <v>0</v>
      </c>
      <c r="GJ22" s="57"/>
      <c r="GK22" s="57"/>
      <c r="GL22" s="37"/>
      <c r="GM22" s="37"/>
      <c r="GN22" s="37"/>
      <c r="GO22" s="37"/>
      <c r="GP22" s="37"/>
      <c r="GQ22" s="37"/>
      <c r="GR22" s="75"/>
      <c r="GS22" s="157"/>
      <c r="GT22" s="157"/>
      <c r="GU22" s="75"/>
      <c r="GV22" s="75"/>
      <c r="GW22" s="75"/>
      <c r="GX22" s="75"/>
      <c r="GY22" s="75"/>
      <c r="GZ22" s="75"/>
    </row>
    <row r="23" spans="1:221" s="11" customFormat="1" ht="30" customHeight="1" thickBot="1" x14ac:dyDescent="0.3">
      <c r="A23" s="20"/>
      <c r="B23" s="122">
        <v>20</v>
      </c>
      <c r="C23" s="122" t="s">
        <v>7</v>
      </c>
      <c r="D23" s="123">
        <v>45464</v>
      </c>
      <c r="E23" s="122" t="s">
        <v>87</v>
      </c>
      <c r="F23" s="124">
        <v>0.875</v>
      </c>
      <c r="G23" s="125">
        <f t="shared" si="11"/>
        <v>45464.625</v>
      </c>
      <c r="H23" s="122" t="s">
        <v>108</v>
      </c>
      <c r="I23" s="126"/>
      <c r="J23" s="118"/>
      <c r="K23" s="118"/>
      <c r="L23" s="174">
        <f>IF(I23="",0,IFERROR(IF(SCORING.RULES!$C$8="No",1,((VLOOKUP($B23,ACTUALS!$B$4:$L$100,7,FALSE)=$H23)+(VLOOKUP($B23,ACTUALS!$B$4:$L$100,7,FALSE)=S23)))*(M23+N23+O23+P23+Q23),0))+$R23</f>
        <v>0</v>
      </c>
      <c r="M23" s="168">
        <f>IFERROR(IF($B23="","",IF(U23=INDEX(ACTUALS!$AA$4:$AA$100,MATCH($B23,ACTUALS!$B$4:$B$100,0),1),CorrectScore,0)),0)</f>
        <v>0</v>
      </c>
      <c r="N23" s="157" t="str">
        <f>IFERROR(IF(I23="","",IF(INDEX(ACTUALS!$AB$4:$AB$100,MATCH($B23,ACTUALS!$B$4:$B$100,0),1)=(AB23+AC23+AH23+AI23),CorrectNumberofGoals,0)),0)</f>
        <v/>
      </c>
      <c r="O23" s="157"/>
      <c r="P23" s="157">
        <f>IFERROR(IF(B23="","",IF(INDEX(ACTUALS!$L$4:$L$100,MATCH($B23,ACTUALS!$B$4:$B$100,0),1)=W23,CorrectResult,0)),0)</f>
        <v>3</v>
      </c>
      <c r="Q23" s="157"/>
      <c r="R23" s="157"/>
      <c r="S23" s="157" t="str">
        <f t="shared" si="0"/>
        <v/>
      </c>
      <c r="T23" s="157"/>
      <c r="U23" s="157" t="str">
        <f t="shared" si="1"/>
        <v/>
      </c>
      <c r="V23" s="157" t="str">
        <f t="shared" si="2"/>
        <v/>
      </c>
      <c r="W23" s="119" t="str">
        <f>IF(tblActuals35415192327[[#This Row],[SCORE]]="","",IF(AB23=AC23,"Draw",IF(AB23&gt;AC23,X23,Y23)))</f>
        <v/>
      </c>
      <c r="X23" s="120" t="str">
        <f>IF(tblActuals35415192327[[#This Row],[TEAMS]]="","",LEFT(H23,FIND(" -",H23,1)-1))</f>
        <v>Netherlands</v>
      </c>
      <c r="Y23" s="120" t="str">
        <f>IF(tblActuals35415192327[[#This Row],[TEAMS]]="","",MID(H23,FIND("-",H23,1)+2,LEN(H23)-FIND("-",H23,1)+2))</f>
        <v>France</v>
      </c>
      <c r="Z23" s="120" t="str">
        <f>IF(tblActuals35415192327[[#This Row],[Team 1 Goals]]&gt;tblActuals35415192327[[#This Row],[Team 2 Goals]],tblActuals35415192327[[#This Row],[Team 1]],IF(tblActuals35415192327[[#This Row],[Team 2 Goals]]&gt;tblActuals35415192327[[#This Row],[Team 1 Goals]],tblActuals35415192327[[#This Row],[Team 2]],""))</f>
        <v/>
      </c>
      <c r="AA23" s="120" t="str">
        <f>IF(tblActuals35415192327[[#This Row],[Winner]]=tblActuals35415192327[[#This Row],[Team 1]],tblActuals35415192327[[#This Row],[Team 2]],IF(tblActuals35415192327[[#This Row],[Winner]]=tblActuals35415192327[[#This Row],[Team 2]],tblActuals35415192327[[#This Row],[Team 1]],""))</f>
        <v/>
      </c>
      <c r="AB23" s="120" t="str">
        <f>IF(tblActuals35415192327[[#This Row],[SCORE]]="","",LEFT(I23,FIND(":",I23,1)-1)*1)</f>
        <v/>
      </c>
      <c r="AC23" s="120" t="str">
        <f>IF(tblActuals35415192327[[#This Row],[SCORE]]="","",MID(I23,FIND(":",I23,1)+1,LEN(I23)-FIND(":",I23,1)+1)*1)</f>
        <v/>
      </c>
      <c r="AD23" s="120" t="str">
        <f>IF(OR(tblActuals35415192327[[#This Row],[Team 1 Goals]]="",tblActuals35415192327[[#This Row],[Team 2 Goals]]=""),"",tblActuals35415192327[[#This Row],[Team 1 Goals]]-tblActuals35415192327[[#This Row],[Team 2 Goals]])</f>
        <v/>
      </c>
      <c r="AE23" s="120" t="str">
        <f>IF(OR(tblActuals35415192327[[#This Row],[Team 1 Goals]]="",tblActuals35415192327[[#This Row],[Team 2 Goals]]=""),"",tblActuals35415192327[[#This Row],[Team 2 Goals]]-tblActuals35415192327[[#This Row],[Team 1 Goals]])</f>
        <v/>
      </c>
      <c r="AF23" s="120" t="str">
        <f>IF(tblActuals35415192327[[#This Row],[SCORE]]="","",IF(tblActuals35415192327[[#This Row],[WINNER / RESULT]]="Draw",1,IF(tblActuals35415192327[[#This Row],[WINNER / RESULT]]=tblActuals35415192327[[#This Row],[Team 1]],3,0)))</f>
        <v/>
      </c>
      <c r="AG23" s="120" t="str">
        <f>IF(tblActuals35415192327[[#This Row],[SCORE]]="","",IF(tblActuals35415192327[[#This Row],[WINNER / RESULT]]="Draw",1,IF(tblActuals35415192327[[#This Row],[WINNER / RESULT]]=tblActuals35415192327[[#This Row],[Team 2]],3,0)))</f>
        <v/>
      </c>
      <c r="AH23" s="121"/>
      <c r="AI23" s="121"/>
      <c r="AJ23" s="121"/>
      <c r="AK23" s="121"/>
      <c r="AL23" s="120" t="e">
        <f>tblActuals35415192327[[#This Row],[Team 1 Goals]]+tblActuals35415192327[[#This Row],[Team 1 ET Goals]]&amp;":"&amp;tblActuals35415192327[[#This Row],[Team 2 Goals]]+tblActuals35415192327[[#This Row],[Team 2 ET Goals]]</f>
        <v>#VALUE!</v>
      </c>
      <c r="AM23" s="120" t="e">
        <f>+tblActuals35415192327[[#This Row],[Team 1 Goals]]+tblActuals35415192327[[#This Row],[Team 2 Goals]]</f>
        <v>#VALUE!</v>
      </c>
      <c r="AN23" s="161">
        <f t="shared" si="3"/>
        <v>45464</v>
      </c>
      <c r="AT23" s="78"/>
      <c r="AU23" s="179" t="s">
        <v>54</v>
      </c>
      <c r="AV23" s="180"/>
      <c r="AW23" s="133" t="s">
        <v>46</v>
      </c>
      <c r="AX23" s="134" t="s">
        <v>57</v>
      </c>
      <c r="AY23" s="135" t="s">
        <v>11</v>
      </c>
      <c r="AZ23" s="75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 t="str">
        <f t="shared" si="4"/>
        <v/>
      </c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U23" s="4" t="s">
        <v>132</v>
      </c>
      <c r="CV23" s="56">
        <f>SUMIFS(tblActuals35415192327[Team 2 Points],tblActuals35415192327[Team 2],$CU23,tblActuals35415192327[Team 1],CV$3)+SUMIFS(tblActuals35415192327[Team 1 Points],tblActuals35415192327[Team 1],$CU23,tblActuals35415192327[Team 2],CV$3)</f>
        <v>0</v>
      </c>
      <c r="CW23" s="56">
        <f>SUMIFS(tblActuals35415192327[Team 2 Points],tblActuals35415192327[Team 2],$CU23,tblActuals35415192327[Team 1],CW$3)+SUMIFS(tblActuals35415192327[Team 1 Points],tblActuals35415192327[Team 1],$CU23,tblActuals35415192327[Team 2],CW$3)</f>
        <v>0</v>
      </c>
      <c r="CX23" s="56">
        <f>SUMIFS(tblActuals35415192327[Team 2 Points],tblActuals35415192327[Team 2],$CU23,tblActuals35415192327[Team 1],CX$3)+SUMIFS(tblActuals35415192327[Team 1 Points],tblActuals35415192327[Team 1],$CU23,tblActuals35415192327[Team 2],CX$3)</f>
        <v>0</v>
      </c>
      <c r="CY23" s="56">
        <f>SUMIFS(tblActuals35415192327[Team 2 Points],tblActuals35415192327[Team 2],$CU23,tblActuals35415192327[Team 1],CY$3)+SUMIFS(tblActuals35415192327[Team 1 Points],tblActuals35415192327[Team 1],$CU23,tblActuals35415192327[Team 2],CY$3)</f>
        <v>0</v>
      </c>
      <c r="CZ23" s="56">
        <f>SUMIFS(tblActuals35415192327[Team 2 Points],tblActuals35415192327[Team 2],$CU23,tblActuals35415192327[Team 1],CZ$3)+SUMIFS(tblActuals35415192327[Team 1 Points],tblActuals35415192327[Team 1],$CU23,tblActuals35415192327[Team 2],CZ$3)</f>
        <v>0</v>
      </c>
      <c r="DA23" s="56">
        <f>SUMIFS(tblActuals35415192327[Team 2 Points],tblActuals35415192327[Team 2],$CU23,tblActuals35415192327[Team 1],DA$3)+SUMIFS(tblActuals35415192327[Team 1 Points],tblActuals35415192327[Team 1],$CU23,tblActuals35415192327[Team 2],DA$3)</f>
        <v>0</v>
      </c>
      <c r="DB23" s="56">
        <f>SUMIFS(tblActuals35415192327[Team 2 Points],tblActuals35415192327[Team 2],$CU23,tblActuals35415192327[Team 1],DB$3)+SUMIFS(tblActuals35415192327[Team 1 Points],tblActuals35415192327[Team 1],$CU23,tblActuals35415192327[Team 2],DB$3)</f>
        <v>0</v>
      </c>
      <c r="DC23" s="56">
        <f>SUMIFS(tblActuals35415192327[Team 2 Points],tblActuals35415192327[Team 2],$CU23,tblActuals35415192327[Team 1],DC$3)+SUMIFS(tblActuals35415192327[Team 1 Points],tblActuals35415192327[Team 1],$CU23,tblActuals35415192327[Team 2],DC$3)</f>
        <v>0</v>
      </c>
      <c r="DD23" s="56">
        <f>SUMIFS(tblActuals35415192327[Team 2 Points],tblActuals35415192327[Team 2],$CU23,tblActuals35415192327[Team 1],DD$3)+SUMIFS(tblActuals35415192327[Team 1 Points],tblActuals35415192327[Team 1],$CU23,tblActuals35415192327[Team 2],DD$3)</f>
        <v>0</v>
      </c>
      <c r="DE23" s="56">
        <f>SUMIFS(tblActuals35415192327[Team 2 Points],tblActuals35415192327[Team 2],$CU23,tblActuals35415192327[Team 1],DE$3)+SUMIFS(tblActuals35415192327[Team 1 Points],tblActuals35415192327[Team 1],$CU23,tblActuals35415192327[Team 2],DE$3)</f>
        <v>0</v>
      </c>
      <c r="DF23" s="56">
        <f>SUMIFS(tblActuals35415192327[Team 2 Points],tblActuals35415192327[Team 2],$CU23,tblActuals35415192327[Team 1],DF$3)+SUMIFS(tblActuals35415192327[Team 1 Points],tblActuals35415192327[Team 1],$CU23,tblActuals35415192327[Team 2],DF$3)</f>
        <v>0</v>
      </c>
      <c r="DG23" s="56">
        <f>SUMIFS(tblActuals35415192327[Team 2 Points],tblActuals35415192327[Team 2],$CU23,tblActuals35415192327[Team 1],DG$3)+SUMIFS(tblActuals35415192327[Team 1 Points],tblActuals35415192327[Team 1],$CU23,tblActuals35415192327[Team 2],DG$3)</f>
        <v>0</v>
      </c>
      <c r="DH23" s="56">
        <f>SUMIFS(tblActuals35415192327[Team 2 Points],tblActuals35415192327[Team 2],$CU23,tblActuals35415192327[Team 1],DH$3)+SUMIFS(tblActuals35415192327[Team 1 Points],tblActuals35415192327[Team 1],$CU23,tblActuals35415192327[Team 2],DH$3)</f>
        <v>0</v>
      </c>
      <c r="DI23" s="56">
        <f>SUMIFS(tblActuals35415192327[Team 2 Points],tblActuals35415192327[Team 2],$CU23,tblActuals35415192327[Team 1],DI$3)+SUMIFS(tblActuals35415192327[Team 1 Points],tblActuals35415192327[Team 1],$CU23,tblActuals35415192327[Team 2],DI$3)</f>
        <v>0</v>
      </c>
      <c r="DJ23" s="56">
        <f>SUMIFS(tblActuals35415192327[Team 2 Points],tblActuals35415192327[Team 2],$CU23,tblActuals35415192327[Team 1],DJ$3)+SUMIFS(tblActuals35415192327[Team 1 Points],tblActuals35415192327[Team 1],$CU23,tblActuals35415192327[Team 2],DJ$3)</f>
        <v>0</v>
      </c>
      <c r="DK23" s="56">
        <f>SUMIFS(tblActuals35415192327[Team 2 Points],tblActuals35415192327[Team 2],$CU23,tblActuals35415192327[Team 1],DK$3)+SUMIFS(tblActuals35415192327[Team 1 Points],tblActuals35415192327[Team 1],$CU23,tblActuals35415192327[Team 2],DK$3)</f>
        <v>0</v>
      </c>
      <c r="DL23" s="56">
        <f>SUMIFS(tblActuals35415192327[Team 2 Points],tblActuals35415192327[Team 2],$CU23,tblActuals35415192327[Team 1],DL$3)+SUMIFS(tblActuals35415192327[Team 1 Points],tblActuals35415192327[Team 1],$CU23,tblActuals35415192327[Team 2],DL$3)</f>
        <v>0</v>
      </c>
      <c r="DM23" s="56">
        <f>SUMIFS(tblActuals35415192327[Team 2 Points],tblActuals35415192327[Team 2],$CU23,tblActuals35415192327[Team 1],DM$3)+SUMIFS(tblActuals35415192327[Team 1 Points],tblActuals35415192327[Team 1],$CU23,tblActuals35415192327[Team 2],DM$3)</f>
        <v>0</v>
      </c>
      <c r="DN23" s="56">
        <f>SUMIFS(tblActuals35415192327[Team 2 Points],tblActuals35415192327[Team 2],$CU23,tblActuals35415192327[Team 1],DN$3)+SUMIFS(tblActuals35415192327[Team 1 Points],tblActuals35415192327[Team 1],$CU23,tblActuals35415192327[Team 2],DN$3)</f>
        <v>0</v>
      </c>
      <c r="DO23" s="56">
        <f>SUMIFS(tblActuals35415192327[Team 2 Points],tblActuals35415192327[Team 2],$CU23,tblActuals35415192327[Team 1],DO$3)+SUMIFS(tblActuals35415192327[Team 1 Points],tblActuals35415192327[Team 1],$CU23,tblActuals35415192327[Team 2],DO$3)</f>
        <v>0</v>
      </c>
      <c r="DP23" s="56">
        <f>SUMIFS(tblActuals35415192327[Team 2 Points],tblActuals35415192327[Team 2],$CU23,tblActuals35415192327[Team 1],DP$3)+SUMIFS(tblActuals35415192327[Team 1 Points],tblActuals35415192327[Team 1],$CU23,tblActuals35415192327[Team 2],DP$3)</f>
        <v>0</v>
      </c>
      <c r="DQ23" s="56">
        <f>SUMIFS(tblActuals35415192327[Team 2 Points],tblActuals35415192327[Team 2],$CU23,tblActuals35415192327[Team 1],DQ$3)+SUMIFS(tblActuals35415192327[Team 1 Points],tblActuals35415192327[Team 1],$CU23,tblActuals35415192327[Team 2],DQ$3)</f>
        <v>0</v>
      </c>
      <c r="DR23" s="56">
        <f>SUMIFS(tblActuals35415192327[Team 2 Points],tblActuals35415192327[Team 2],$CU23,tblActuals35415192327[Team 1],DR$3)+SUMIFS(tblActuals35415192327[Team 1 Points],tblActuals35415192327[Team 1],$CU23,tblActuals35415192327[Team 2],DR$3)</f>
        <v>0</v>
      </c>
      <c r="DS23" s="56">
        <f>SUMIFS(tblActuals35415192327[Team 2 Points],tblActuals35415192327[Team 2],$CU23,tblActuals35415192327[Team 1],DS$3)+SUMIFS(tblActuals35415192327[Team 1 Points],tblActuals35415192327[Team 1],$CU23,tblActuals35415192327[Team 2],DS$3)</f>
        <v>0</v>
      </c>
      <c r="DT23" s="57"/>
      <c r="DU23" s="57"/>
      <c r="DV23" s="57"/>
      <c r="DW23" s="57"/>
      <c r="DX23" s="57"/>
      <c r="DY23" s="57"/>
      <c r="DZ23" s="57"/>
      <c r="EA23" s="57"/>
      <c r="EB23" s="4"/>
      <c r="EC23" s="4" t="s">
        <v>132</v>
      </c>
      <c r="ED23" s="56">
        <f>SUMIFS(tblActuals35415192327[Team 2 GD],tblActuals35415192327[Team 2],$CU23,tblActuals35415192327[Team 1],ED$3)+SUMIFS(tblActuals35415192327[Team 1 GD],tblActuals35415192327[Team 1],$CU23,tblActuals35415192327[Team 2],ED$3)</f>
        <v>0</v>
      </c>
      <c r="EE23" s="56">
        <f>SUMIFS(tblActuals35415192327[Team 2 GD],tblActuals35415192327[Team 2],$CU23,tblActuals35415192327[Team 1],EE$3)+SUMIFS(tblActuals35415192327[Team 1 GD],tblActuals35415192327[Team 1],$CU23,tblActuals35415192327[Team 2],EE$3)</f>
        <v>0</v>
      </c>
      <c r="EF23" s="56">
        <f>SUMIFS(tblActuals35415192327[Team 2 GD],tblActuals35415192327[Team 2],$CU23,tblActuals35415192327[Team 1],EF$3)+SUMIFS(tblActuals35415192327[Team 1 GD],tblActuals35415192327[Team 1],$CU23,tblActuals35415192327[Team 2],EF$3)</f>
        <v>0</v>
      </c>
      <c r="EG23" s="56">
        <f>SUMIFS(tblActuals35415192327[Team 2 GD],tblActuals35415192327[Team 2],$CU23,tblActuals35415192327[Team 1],EG$3)+SUMIFS(tblActuals35415192327[Team 1 GD],tblActuals35415192327[Team 1],$CU23,tblActuals35415192327[Team 2],EG$3)</f>
        <v>0</v>
      </c>
      <c r="EH23" s="56">
        <f>SUMIFS(tblActuals35415192327[Team 2 GD],tblActuals35415192327[Team 2],$CU23,tblActuals35415192327[Team 1],EH$3)+SUMIFS(tblActuals35415192327[Team 1 GD],tblActuals35415192327[Team 1],$CU23,tblActuals35415192327[Team 2],EH$3)</f>
        <v>0</v>
      </c>
      <c r="EI23" s="56">
        <f>SUMIFS(tblActuals35415192327[Team 2 GD],tblActuals35415192327[Team 2],$CU23,tblActuals35415192327[Team 1],EI$3)+SUMIFS(tblActuals35415192327[Team 1 GD],tblActuals35415192327[Team 1],$CU23,tblActuals35415192327[Team 2],EI$3)</f>
        <v>0</v>
      </c>
      <c r="EJ23" s="56">
        <f>SUMIFS(tblActuals35415192327[Team 2 GD],tblActuals35415192327[Team 2],$CU23,tblActuals35415192327[Team 1],EJ$3)+SUMIFS(tblActuals35415192327[Team 1 GD],tblActuals35415192327[Team 1],$CU23,tblActuals35415192327[Team 2],EJ$3)</f>
        <v>0</v>
      </c>
      <c r="EK23" s="56">
        <f>SUMIFS(tblActuals35415192327[Team 2 GD],tblActuals35415192327[Team 2],$CU23,tblActuals35415192327[Team 1],EK$3)+SUMIFS(tblActuals35415192327[Team 1 GD],tblActuals35415192327[Team 1],$CU23,tblActuals35415192327[Team 2],EK$3)</f>
        <v>0</v>
      </c>
      <c r="EL23" s="56">
        <f>SUMIFS(tblActuals35415192327[Team 2 GD],tblActuals35415192327[Team 2],$CU23,tblActuals35415192327[Team 1],EL$3)+SUMIFS(tblActuals35415192327[Team 1 GD],tblActuals35415192327[Team 1],$CU23,tblActuals35415192327[Team 2],EL$3)</f>
        <v>0</v>
      </c>
      <c r="EM23" s="56">
        <f>SUMIFS(tblActuals35415192327[Team 2 GD],tblActuals35415192327[Team 2],$CU23,tblActuals35415192327[Team 1],EM$3)+SUMIFS(tblActuals35415192327[Team 1 GD],tblActuals35415192327[Team 1],$CU23,tblActuals35415192327[Team 2],EM$3)</f>
        <v>0</v>
      </c>
      <c r="EN23" s="56">
        <f>SUMIFS(tblActuals35415192327[Team 2 GD],tblActuals35415192327[Team 2],$CU23,tblActuals35415192327[Team 1],EN$3)+SUMIFS(tblActuals35415192327[Team 1 GD],tblActuals35415192327[Team 1],$CU23,tblActuals35415192327[Team 2],EN$3)</f>
        <v>0</v>
      </c>
      <c r="EO23" s="56">
        <f>SUMIFS(tblActuals35415192327[Team 2 GD],tblActuals35415192327[Team 2],$CU23,tblActuals35415192327[Team 1],EO$3)+SUMIFS(tblActuals35415192327[Team 1 GD],tblActuals35415192327[Team 1],$CU23,tblActuals35415192327[Team 2],EO$3)</f>
        <v>0</v>
      </c>
      <c r="EP23" s="56">
        <f>SUMIFS(tblActuals35415192327[Team 2 GD],tblActuals35415192327[Team 2],$CU23,tblActuals35415192327[Team 1],EP$3)+SUMIFS(tblActuals35415192327[Team 1 GD],tblActuals35415192327[Team 1],$CU23,tblActuals35415192327[Team 2],EP$3)</f>
        <v>0</v>
      </c>
      <c r="EQ23" s="56">
        <f>SUMIFS(tblActuals35415192327[Team 2 GD],tblActuals35415192327[Team 2],$CU23,tblActuals35415192327[Team 1],EQ$3)+SUMIFS(tblActuals35415192327[Team 1 GD],tblActuals35415192327[Team 1],$CU23,tblActuals35415192327[Team 2],EQ$3)</f>
        <v>0</v>
      </c>
      <c r="ER23" s="56">
        <f>SUMIFS(tblActuals35415192327[Team 2 GD],tblActuals35415192327[Team 2],$CU23,tblActuals35415192327[Team 1],ER$3)+SUMIFS(tblActuals35415192327[Team 1 GD],tblActuals35415192327[Team 1],$CU23,tblActuals35415192327[Team 2],ER$3)</f>
        <v>0</v>
      </c>
      <c r="ES23" s="56">
        <f>SUMIFS(tblActuals35415192327[Team 2 GD],tblActuals35415192327[Team 2],$CU23,tblActuals35415192327[Team 1],ES$3)+SUMIFS(tblActuals35415192327[Team 1 GD],tblActuals35415192327[Team 1],$CU23,tblActuals35415192327[Team 2],ES$3)</f>
        <v>0</v>
      </c>
      <c r="ET23" s="56">
        <f>SUMIFS(tblActuals35415192327[Team 2 GD],tblActuals35415192327[Team 2],$CU23,tblActuals35415192327[Team 1],ET$3)+SUMIFS(tblActuals35415192327[Team 1 GD],tblActuals35415192327[Team 1],$CU23,tblActuals35415192327[Team 2],ET$3)</f>
        <v>0</v>
      </c>
      <c r="EU23" s="56">
        <f>SUMIFS(tblActuals35415192327[Team 2 GD],tblActuals35415192327[Team 2],$CU23,tblActuals35415192327[Team 1],EU$3)+SUMIFS(tblActuals35415192327[Team 1 GD],tblActuals35415192327[Team 1],$CU23,tblActuals35415192327[Team 2],EU$3)</f>
        <v>0</v>
      </c>
      <c r="EV23" s="56">
        <f>SUMIFS(tblActuals35415192327[Team 2 GD],tblActuals35415192327[Team 2],$CU23,tblActuals35415192327[Team 1],EV$3)+SUMIFS(tblActuals35415192327[Team 1 GD],tblActuals35415192327[Team 1],$CU23,tblActuals35415192327[Team 2],EV$3)</f>
        <v>0</v>
      </c>
      <c r="EW23" s="56">
        <f>SUMIFS(tblActuals35415192327[Team 2 GD],tblActuals35415192327[Team 2],$CU23,tblActuals35415192327[Team 1],EW$3)+SUMIFS(tblActuals35415192327[Team 1 GD],tblActuals35415192327[Team 1],$CU23,tblActuals35415192327[Team 2],EW$3)</f>
        <v>0</v>
      </c>
      <c r="EX23" s="56">
        <f>SUMIFS(tblActuals35415192327[Team 2 GD],tblActuals35415192327[Team 2],$CU23,tblActuals35415192327[Team 1],EX$3)+SUMIFS(tblActuals35415192327[Team 1 GD],tblActuals35415192327[Team 1],$CU23,tblActuals35415192327[Team 2],EX$3)</f>
        <v>0</v>
      </c>
      <c r="EY23" s="56">
        <f>SUMIFS(tblActuals35415192327[Team 2 GD],tblActuals35415192327[Team 2],$CU23,tblActuals35415192327[Team 1],EY$3)+SUMIFS(tblActuals35415192327[Team 1 GD],tblActuals35415192327[Team 1],$CU23,tblActuals35415192327[Team 2],EY$3)</f>
        <v>0</v>
      </c>
      <c r="EZ23" s="56">
        <f>SUMIFS(tblActuals35415192327[Team 2 GD],tblActuals35415192327[Team 2],$CU23,tblActuals35415192327[Team 1],EZ$3)+SUMIFS(tblActuals35415192327[Team 1 GD],tblActuals35415192327[Team 1],$CU23,tblActuals35415192327[Team 2],EZ$3)</f>
        <v>0</v>
      </c>
      <c r="FA23" s="56">
        <f>SUMIFS(tblActuals35415192327[Team 2 GD],tblActuals35415192327[Team 2],$CU23,tblActuals35415192327[Team 1],FA$3)+SUMIFS(tblActuals35415192327[Team 1 GD],tblActuals35415192327[Team 1],$CU23,tblActuals35415192327[Team 2],FA$3)</f>
        <v>0</v>
      </c>
      <c r="FB23" s="57"/>
      <c r="FC23" s="57"/>
      <c r="FD23" s="57"/>
      <c r="FE23" s="57"/>
      <c r="FF23" s="57"/>
      <c r="FG23" s="57"/>
      <c r="FH23" s="57"/>
      <c r="FI23" s="57"/>
      <c r="FJ23" s="4"/>
      <c r="FK23" s="4" t="s">
        <v>132</v>
      </c>
      <c r="FL23" s="56">
        <f>SUMIFS(tblActuals35415192327[Team 2 Goals],tblActuals35415192327[Team 2],$CU23,tblActuals35415192327[Team 1],FL$3)+SUMIFS(tblActuals35415192327[Team 1 Goals],tblActuals35415192327[Team 1],$CU23,tblActuals35415192327[Team 2],FL$3)</f>
        <v>0</v>
      </c>
      <c r="FM23" s="56">
        <f>SUMIFS(tblActuals35415192327[Team 2 Goals],tblActuals35415192327[Team 2],$CU23,tblActuals35415192327[Team 1],FM$3)+SUMIFS(tblActuals35415192327[Team 1 Goals],tblActuals35415192327[Team 1],$CU23,tblActuals35415192327[Team 2],FM$3)</f>
        <v>0</v>
      </c>
      <c r="FN23" s="56">
        <f>SUMIFS(tblActuals35415192327[Team 2 Goals],tblActuals35415192327[Team 2],$CU23,tblActuals35415192327[Team 1],FN$3)+SUMIFS(tblActuals35415192327[Team 1 Goals],tblActuals35415192327[Team 1],$CU23,tblActuals35415192327[Team 2],FN$3)</f>
        <v>0</v>
      </c>
      <c r="FO23" s="56">
        <f>SUMIFS(tblActuals35415192327[Team 2 Goals],tblActuals35415192327[Team 2],$CU23,tblActuals35415192327[Team 1],FO$3)+SUMIFS(tblActuals35415192327[Team 1 Goals],tblActuals35415192327[Team 1],$CU23,tblActuals35415192327[Team 2],FO$3)</f>
        <v>0</v>
      </c>
      <c r="FP23" s="56">
        <f>SUMIFS(tblActuals35415192327[Team 2 Goals],tblActuals35415192327[Team 2],$CU23,tblActuals35415192327[Team 1],FP$3)+SUMIFS(tblActuals35415192327[Team 1 Goals],tblActuals35415192327[Team 1],$CU23,tblActuals35415192327[Team 2],FP$3)</f>
        <v>0</v>
      </c>
      <c r="FQ23" s="56">
        <f>SUMIFS(tblActuals35415192327[Team 2 Goals],tblActuals35415192327[Team 2],$CU23,tblActuals35415192327[Team 1],FQ$3)+SUMIFS(tblActuals35415192327[Team 1 Goals],tblActuals35415192327[Team 1],$CU23,tblActuals35415192327[Team 2],FQ$3)</f>
        <v>0</v>
      </c>
      <c r="FR23" s="56">
        <f>SUMIFS(tblActuals35415192327[Team 2 Goals],tblActuals35415192327[Team 2],$CU23,tblActuals35415192327[Team 1],FR$3)+SUMIFS(tblActuals35415192327[Team 1 Goals],tblActuals35415192327[Team 1],$CU23,tblActuals35415192327[Team 2],FR$3)</f>
        <v>0</v>
      </c>
      <c r="FS23" s="56">
        <f>SUMIFS(tblActuals35415192327[Team 2 Goals],tblActuals35415192327[Team 2],$CU23,tblActuals35415192327[Team 1],FS$3)+SUMIFS(tblActuals35415192327[Team 1 Goals],tblActuals35415192327[Team 1],$CU23,tblActuals35415192327[Team 2],FS$3)</f>
        <v>0</v>
      </c>
      <c r="FT23" s="56">
        <f>SUMIFS(tblActuals35415192327[Team 2 Goals],tblActuals35415192327[Team 2],$CU23,tblActuals35415192327[Team 1],FT$3)+SUMIFS(tblActuals35415192327[Team 1 Goals],tblActuals35415192327[Team 1],$CU23,tblActuals35415192327[Team 2],FT$3)</f>
        <v>0</v>
      </c>
      <c r="FU23" s="56">
        <f>SUMIFS(tblActuals35415192327[Team 2 Goals],tblActuals35415192327[Team 2],$CU23,tblActuals35415192327[Team 1],FU$3)+SUMIFS(tblActuals35415192327[Team 1 Goals],tblActuals35415192327[Team 1],$CU23,tblActuals35415192327[Team 2],FU$3)</f>
        <v>0</v>
      </c>
      <c r="FV23" s="56">
        <f>SUMIFS(tblActuals35415192327[Team 2 Goals],tblActuals35415192327[Team 2],$CU23,tblActuals35415192327[Team 1],FV$3)+SUMIFS(tblActuals35415192327[Team 1 Goals],tblActuals35415192327[Team 1],$CU23,tblActuals35415192327[Team 2],FV$3)</f>
        <v>0</v>
      </c>
      <c r="FW23" s="56">
        <f>SUMIFS(tblActuals35415192327[Team 2 Goals],tblActuals35415192327[Team 2],$CU23,tblActuals35415192327[Team 1],FW$3)+SUMIFS(tblActuals35415192327[Team 1 Goals],tblActuals35415192327[Team 1],$CU23,tblActuals35415192327[Team 2],FW$3)</f>
        <v>0</v>
      </c>
      <c r="FX23" s="56">
        <f>SUMIFS(tblActuals35415192327[Team 2 Goals],tblActuals35415192327[Team 2],$CU23,tblActuals35415192327[Team 1],FX$3)+SUMIFS(tblActuals35415192327[Team 1 Goals],tblActuals35415192327[Team 1],$CU23,tblActuals35415192327[Team 2],FX$3)</f>
        <v>0</v>
      </c>
      <c r="FY23" s="56">
        <f>SUMIFS(tblActuals35415192327[Team 2 Goals],tblActuals35415192327[Team 2],$CU23,tblActuals35415192327[Team 1],FY$3)+SUMIFS(tblActuals35415192327[Team 1 Goals],tblActuals35415192327[Team 1],$CU23,tblActuals35415192327[Team 2],FY$3)</f>
        <v>0</v>
      </c>
      <c r="FZ23" s="56">
        <f>SUMIFS(tblActuals35415192327[Team 2 Goals],tblActuals35415192327[Team 2],$CU23,tblActuals35415192327[Team 1],FZ$3)+SUMIFS(tblActuals35415192327[Team 1 Goals],tblActuals35415192327[Team 1],$CU23,tblActuals35415192327[Team 2],FZ$3)</f>
        <v>0</v>
      </c>
      <c r="GA23" s="56">
        <f>SUMIFS(tblActuals35415192327[Team 2 Goals],tblActuals35415192327[Team 2],$CU23,tblActuals35415192327[Team 1],GA$3)+SUMIFS(tblActuals35415192327[Team 1 Goals],tblActuals35415192327[Team 1],$CU23,tblActuals35415192327[Team 2],GA$3)</f>
        <v>0</v>
      </c>
      <c r="GB23" s="56">
        <f>SUMIFS(tblActuals35415192327[Team 2 Goals],tblActuals35415192327[Team 2],$CU23,tblActuals35415192327[Team 1],GB$3)+SUMIFS(tblActuals35415192327[Team 1 Goals],tblActuals35415192327[Team 1],$CU23,tblActuals35415192327[Team 2],GB$3)</f>
        <v>0</v>
      </c>
      <c r="GC23" s="56">
        <f>SUMIFS(tblActuals35415192327[Team 2 Goals],tblActuals35415192327[Team 2],$CU23,tblActuals35415192327[Team 1],GC$3)+SUMIFS(tblActuals35415192327[Team 1 Goals],tblActuals35415192327[Team 1],$CU23,tblActuals35415192327[Team 2],GC$3)</f>
        <v>0</v>
      </c>
      <c r="GD23" s="56">
        <f>SUMIFS(tblActuals35415192327[Team 2 Goals],tblActuals35415192327[Team 2],$CU23,tblActuals35415192327[Team 1],GD$3)+SUMIFS(tblActuals35415192327[Team 1 Goals],tblActuals35415192327[Team 1],$CU23,tblActuals35415192327[Team 2],GD$3)</f>
        <v>0</v>
      </c>
      <c r="GE23" s="56">
        <f>SUMIFS(tblActuals35415192327[Team 2 Goals],tblActuals35415192327[Team 2],$CU23,tblActuals35415192327[Team 1],GE$3)+SUMIFS(tblActuals35415192327[Team 1 Goals],tblActuals35415192327[Team 1],$CU23,tblActuals35415192327[Team 2],GE$3)</f>
        <v>0</v>
      </c>
      <c r="GF23" s="56">
        <f>SUMIFS(tblActuals35415192327[Team 2 Goals],tblActuals35415192327[Team 2],$CU23,tblActuals35415192327[Team 1],GF$3)+SUMIFS(tblActuals35415192327[Team 1 Goals],tblActuals35415192327[Team 1],$CU23,tblActuals35415192327[Team 2],GF$3)</f>
        <v>0</v>
      </c>
      <c r="GG23" s="56">
        <f>SUMIFS(tblActuals35415192327[Team 2 Goals],tblActuals35415192327[Team 2],$CU23,tblActuals35415192327[Team 1],GG$3)+SUMIFS(tblActuals35415192327[Team 1 Goals],tblActuals35415192327[Team 1],$CU23,tblActuals35415192327[Team 2],GG$3)</f>
        <v>0</v>
      </c>
      <c r="GH23" s="56">
        <f>SUMIFS(tblActuals35415192327[Team 2 Goals],tblActuals35415192327[Team 2],$CU23,tblActuals35415192327[Team 1],GH$3)+SUMIFS(tblActuals35415192327[Team 1 Goals],tblActuals35415192327[Team 1],$CU23,tblActuals35415192327[Team 2],GH$3)</f>
        <v>0</v>
      </c>
      <c r="GI23" s="56">
        <f>SUMIFS(tblActuals35415192327[Team 2 Goals],tblActuals35415192327[Team 2],$CU23,tblActuals35415192327[Team 1],GI$3)+SUMIFS(tblActuals35415192327[Team 1 Goals],tblActuals35415192327[Team 1],$CU23,tblActuals35415192327[Team 2],GI$3)</f>
        <v>0</v>
      </c>
      <c r="GJ23" s="57"/>
      <c r="GK23" s="57"/>
      <c r="GL23" s="37"/>
      <c r="GM23" s="37"/>
      <c r="GN23" s="37"/>
      <c r="GO23" s="37"/>
      <c r="GP23" s="37"/>
      <c r="GQ23" s="37"/>
      <c r="GR23" s="75"/>
      <c r="GS23" s="148"/>
      <c r="GT23" s="158"/>
      <c r="GU23" s="75"/>
      <c r="GV23" s="75"/>
      <c r="GW23" s="75"/>
      <c r="GX23" s="75"/>
      <c r="GY23" s="75"/>
      <c r="GZ23" s="75"/>
    </row>
    <row r="24" spans="1:221" s="11" customFormat="1" ht="30" customHeight="1" x14ac:dyDescent="0.25">
      <c r="A24" s="20"/>
      <c r="B24" s="122">
        <v>21</v>
      </c>
      <c r="C24" s="122" t="s">
        <v>12</v>
      </c>
      <c r="D24" s="123">
        <v>45464</v>
      </c>
      <c r="E24" s="122" t="s">
        <v>85</v>
      </c>
      <c r="F24" s="124">
        <v>0.625</v>
      </c>
      <c r="G24" s="125">
        <f t="shared" si="11"/>
        <v>45464.375</v>
      </c>
      <c r="H24" s="122" t="s">
        <v>109</v>
      </c>
      <c r="I24" s="126"/>
      <c r="J24" s="118"/>
      <c r="K24" s="118"/>
      <c r="L24" s="174">
        <f>IF(I24="",0,IFERROR(IF(SCORING.RULES!$C$8="No",1,((VLOOKUP($B24,ACTUALS!$B$4:$L$100,7,FALSE)=$H24)+(VLOOKUP($B24,ACTUALS!$B$4:$L$100,7,FALSE)=S24)))*(M24+N24+O24+P24+Q24),0))+$R24</f>
        <v>0</v>
      </c>
      <c r="M24" s="168">
        <f>IFERROR(IF($B24="","",IF(U24=INDEX(ACTUALS!$AA$4:$AA$100,MATCH($B24,ACTUALS!$B$4:$B$100,0),1),CorrectScore,0)),0)</f>
        <v>0</v>
      </c>
      <c r="N24" s="157" t="str">
        <f>IFERROR(IF(I24="","",IF(INDEX(ACTUALS!$AB$4:$AB$100,MATCH($B24,ACTUALS!$B$4:$B$100,0),1)=(AB24+AC24+AH24+AI24),CorrectNumberofGoals,0)),0)</f>
        <v/>
      </c>
      <c r="O24" s="157"/>
      <c r="P24" s="157">
        <f>IFERROR(IF(B24="","",IF(INDEX(ACTUALS!$L$4:$L$100,MATCH($B24,ACTUALS!$B$4:$B$100,0),1)=W24,CorrectResult,0)),0)</f>
        <v>3</v>
      </c>
      <c r="Q24" s="157"/>
      <c r="R24" s="157"/>
      <c r="S24" s="157" t="str">
        <f t="shared" si="0"/>
        <v/>
      </c>
      <c r="T24" s="157"/>
      <c r="U24" s="157" t="str">
        <f t="shared" si="1"/>
        <v/>
      </c>
      <c r="V24" s="157" t="str">
        <f t="shared" si="2"/>
        <v/>
      </c>
      <c r="W24" s="119" t="str">
        <f>IF(tblActuals35415192327[[#This Row],[SCORE]]="","",IF(AB24=AC24,"Draw",IF(AB24&gt;AC24,X24,Y24)))</f>
        <v/>
      </c>
      <c r="X24" s="120" t="str">
        <f>IF(tblActuals35415192327[[#This Row],[TEAMS]]="","",LEFT(H24,FIND(" -",H24,1)-1))</f>
        <v>Slovakia</v>
      </c>
      <c r="Y24" s="120" t="str">
        <f>IF(tblActuals35415192327[[#This Row],[TEAMS]]="","",MID(H24,FIND("-",H24,1)+2,LEN(H24)-FIND("-",H24,1)+2))</f>
        <v>Ukraine</v>
      </c>
      <c r="Z24" s="120" t="str">
        <f>IF(tblActuals35415192327[[#This Row],[Team 1 Goals]]&gt;tblActuals35415192327[[#This Row],[Team 2 Goals]],tblActuals35415192327[[#This Row],[Team 1]],IF(tblActuals35415192327[[#This Row],[Team 2 Goals]]&gt;tblActuals35415192327[[#This Row],[Team 1 Goals]],tblActuals35415192327[[#This Row],[Team 2]],""))</f>
        <v/>
      </c>
      <c r="AA24" s="120" t="str">
        <f>IF(tblActuals35415192327[[#This Row],[Winner]]=tblActuals35415192327[[#This Row],[Team 1]],tblActuals35415192327[[#This Row],[Team 2]],IF(tblActuals35415192327[[#This Row],[Winner]]=tblActuals35415192327[[#This Row],[Team 2]],tblActuals35415192327[[#This Row],[Team 1]],""))</f>
        <v/>
      </c>
      <c r="AB24" s="120" t="str">
        <f>IF(tblActuals35415192327[[#This Row],[SCORE]]="","",LEFT(I24,FIND(":",I24,1)-1)*1)</f>
        <v/>
      </c>
      <c r="AC24" s="120" t="str">
        <f>IF(tblActuals35415192327[[#This Row],[SCORE]]="","",MID(I24,FIND(":",I24,1)+1,LEN(I24)-FIND(":",I24,1)+1)*1)</f>
        <v/>
      </c>
      <c r="AD24" s="120" t="str">
        <f>IF(OR(tblActuals35415192327[[#This Row],[Team 1 Goals]]="",tblActuals35415192327[[#This Row],[Team 2 Goals]]=""),"",tblActuals35415192327[[#This Row],[Team 1 Goals]]-tblActuals35415192327[[#This Row],[Team 2 Goals]])</f>
        <v/>
      </c>
      <c r="AE24" s="120" t="str">
        <f>IF(OR(tblActuals35415192327[[#This Row],[Team 1 Goals]]="",tblActuals35415192327[[#This Row],[Team 2 Goals]]=""),"",tblActuals35415192327[[#This Row],[Team 2 Goals]]-tblActuals35415192327[[#This Row],[Team 1 Goals]])</f>
        <v/>
      </c>
      <c r="AF24" s="120" t="str">
        <f>IF(tblActuals35415192327[[#This Row],[SCORE]]="","",IF(tblActuals35415192327[[#This Row],[WINNER / RESULT]]="Draw",1,IF(tblActuals35415192327[[#This Row],[WINNER / RESULT]]=tblActuals35415192327[[#This Row],[Team 1]],3,0)))</f>
        <v/>
      </c>
      <c r="AG24" s="120" t="str">
        <f>IF(tblActuals35415192327[[#This Row],[SCORE]]="","",IF(tblActuals35415192327[[#This Row],[WINNER / RESULT]]="Draw",1,IF(tblActuals35415192327[[#This Row],[WINNER / RESULT]]=tblActuals35415192327[[#This Row],[Team 2]],3,0)))</f>
        <v/>
      </c>
      <c r="AH24" s="121"/>
      <c r="AI24" s="121"/>
      <c r="AJ24" s="121"/>
      <c r="AK24" s="121"/>
      <c r="AL24" s="120" t="e">
        <f>tblActuals35415192327[[#This Row],[Team 1 Goals]]+tblActuals35415192327[[#This Row],[Team 1 ET Goals]]&amp;":"&amp;tblActuals35415192327[[#This Row],[Team 2 Goals]]+tblActuals35415192327[[#This Row],[Team 2 ET Goals]]</f>
        <v>#VALUE!</v>
      </c>
      <c r="AM24" s="120" t="e">
        <f>+tblActuals35415192327[[#This Row],[Team 1 Goals]]+tblActuals35415192327[[#This Row],[Team 2 Goals]]</f>
        <v>#VALUE!</v>
      </c>
      <c r="AN24" s="161">
        <f t="shared" si="3"/>
        <v>45464</v>
      </c>
      <c r="AT24" s="77" t="s">
        <v>7</v>
      </c>
      <c r="AU24" s="136">
        <v>1</v>
      </c>
      <c r="AV24" s="137" t="str">
        <f ca="1">IFERROR(INDEX(BD:BD,MATCH("1"&amp;AT24,BN:BN,0),1),"")</f>
        <v>Austria</v>
      </c>
      <c r="AW24" s="137" t="str">
        <f ca="1">IF(AV24="","",VLOOKUP(AV24,BD:BI,2,FALSE)&amp;"-"&amp;VLOOKUP(AV24,BD:BI,3,FALSE)&amp;"-"&amp;VLOOKUP(AV24,BD:BI,4,FALSE))</f>
        <v>0-0-0</v>
      </c>
      <c r="AX24" s="137">
        <f ca="1">IF(AV24="","",VLOOKUP(AV24,BD:BK,8,FALSE))</f>
        <v>0</v>
      </c>
      <c r="AY24" s="138">
        <f ca="1">IF(AV24="","",VLOOKUP(AV24,BD:BN,5,FALSE))</f>
        <v>0</v>
      </c>
      <c r="AZ24" s="75"/>
      <c r="BA24" s="4"/>
      <c r="BB24" s="4"/>
      <c r="BC24" s="4" t="s">
        <v>12</v>
      </c>
      <c r="BD24" s="4" t="s">
        <v>29</v>
      </c>
      <c r="BE24" s="4">
        <f>COUNTIF(tblActuals35415192327[Winner],BD24)</f>
        <v>0</v>
      </c>
      <c r="BF24" s="4">
        <f>COUNTIFS(tblActuals35415192327[Team 2],BD24,tblActuals35415192327[WINNER / RESULT],"Draw")+COUNTIFS(tblActuals35415192327[Team 1],BD24,tblActuals35415192327[WINNER / RESULT],"Draw")</f>
        <v>0</v>
      </c>
      <c r="BG24" s="4">
        <f>COUNTIF(tblActuals35415192327[Loser],BD24)</f>
        <v>0</v>
      </c>
      <c r="BH24" s="4">
        <f>BF24+(3*BE24)</f>
        <v>0</v>
      </c>
      <c r="BI24" s="4">
        <f>SUMIFS(tblActuals35415192327[Team 1 Goals],tblActuals35415192327[Team 1],BD24)+SUMIFS(tblActuals35415192327[Team 2 Goals],tblActuals35415192327[Team 2],BD24)</f>
        <v>0</v>
      </c>
      <c r="BJ24" s="4">
        <f>SUMIFS(tblActuals35415192327[Team 2 Goals],tblActuals35415192327[Team 1],BD24)+SUMIFS(tblActuals35415192327[Team 1 Goals],tblActuals35415192327[Team 2],BD24)</f>
        <v>0</v>
      </c>
      <c r="BK24" s="4">
        <f>BI24-BJ24</f>
        <v>0</v>
      </c>
      <c r="BL24" s="4">
        <f ca="1">RANK(BY24,$BY$24:$BY$27,1)</f>
        <v>1</v>
      </c>
      <c r="BM24" s="4" t="str">
        <f t="shared" si="4"/>
        <v/>
      </c>
      <c r="BN24" s="4" t="str">
        <f ca="1">IF(BM24="",BL24&amp;BC24,BM24&amp;BC24)</f>
        <v>1E</v>
      </c>
      <c r="BO24" s="4">
        <f>RANK(BH24,$BH$24:$BH$27,0)</f>
        <v>1</v>
      </c>
      <c r="BP24" s="4" cm="1">
        <f t="array" aca="1" ref="BP24" ca="1">SUMPRODUCT((OFFSET($CV$3:$EA$3,MATCH($BD24,$CU$4:$CU$35,0),0))*((IF($BO26=$BO24,$CV$3:$EA$3=$BD26,0))+(IF($BO27=$BO24,$CV$3:$EA$3=$BD27,0))+(IF($BO25=$BO24,$CV$3:$EA$3=$BD25,0))))</f>
        <v>0</v>
      </c>
      <c r="BQ24" s="4" cm="1">
        <f t="array" aca="1" ref="BQ24" ca="1">SUMPRODUCT((OFFSET($ED$3:$FI$3,MATCH($BD24,$EC$4:$EC$35,0),0))*((IF($BO26=$BO24,$ED$3:$FI$3=$BD26,0))+(IF($BO27=$BO24,$ED$3:$FI$3=$BD27,0))+(IF($BO25=$BO24,$ED$3:$FI$3=$BD25,0))))</f>
        <v>0</v>
      </c>
      <c r="BR24" s="4" cm="1">
        <f t="array" aca="1" ref="BR24" ca="1">SUMPRODUCT((OFFSET($FL$3:$GQ$3,MATCH($BD24,$FK$4:$FK$35,0),0))*((IF($BO26=$BO24,$FL$3:$GQ$3=$BD26,0))+(IF($BO27=$BO24,$FL$3:$GQ$3=$BD27,0))+(IF($BO25=$BO24,$FL$3:$GQ$3=$BD25,0))))</f>
        <v>0</v>
      </c>
      <c r="BS24" s="4" cm="1">
        <f t="array" aca="1" ref="BS24" ca="1">SUMPRODUCT((OFFSET($CV$3:$EA$3,MATCH($BD24,$CU$4:$CU$35,0),0))*((IF($BO26&lt;&gt;$BO24,$CV$3:$EA$3=$BD26,0))+(IF($BO27&lt;&gt;$BO24,$CV$3:$EA$3=$BD27,0))+(IF($BO25&lt;&gt;$BO24,$CV$3:$EA$3=$BD25,0))))</f>
        <v>0</v>
      </c>
      <c r="BT24" s="4" cm="1">
        <f t="array" aca="1" ref="BT24" ca="1">SUMPRODUCT((OFFSET($ED$3:$FI$3,MATCH($BD24,$EC$4:$EC$35,0),0))*((IF($BO26&lt;&gt;$BO24,$ED$3:$FI$3=$BD26,0))+(IF($BO27&lt;&gt;$BO24,$ED$3:$FI$3=$BD27,0))+(IF($BO25&lt;&gt;$BO24,$ED$3:$FI$3=$BD25,0))))</f>
        <v>0</v>
      </c>
      <c r="BU24" s="4" cm="1">
        <f t="array" aca="1" ref="BU24" ca="1">SUMPRODUCT((OFFSET($FL$3:$GQ$3,MATCH($BD24,$FK$4:$FK$35,0),0))*((IF($BO26&lt;&gt;$BO24,$FL$3:$GQ$3=$BD26,0))+(IF($BO27&lt;&gt;$BO24,$FL$3:$GQ$3=$BD27,0))+(IF($BO25&lt;&gt;$BO24,$FL$3:$GQ$3=$BD25,0))))</f>
        <v>0</v>
      </c>
      <c r="BV24" s="4">
        <f>BK24</f>
        <v>0</v>
      </c>
      <c r="BW24" s="4">
        <f>BI24</f>
        <v>0</v>
      </c>
      <c r="BX24" s="4">
        <f ca="1">(BP24/10)+(BQ24/100)+(BR24/1000)+(BT24/10000)+(BU24/100000)+(BV24/1000000)+(BW24/10000000)+(ROW(BS27)/100000000)</f>
        <v>2.7000000000000001E-7</v>
      </c>
      <c r="BY24" s="4">
        <f ca="1">+BO24-BX24</f>
        <v>0.99999972999999998</v>
      </c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U24" s="4" t="s">
        <v>133</v>
      </c>
      <c r="CV24" s="56">
        <f>SUMIFS(tblActuals35415192327[Team 2 Points],tblActuals35415192327[Team 2],$CU24,tblActuals35415192327[Team 1],CV$3)+SUMIFS(tblActuals35415192327[Team 1 Points],tblActuals35415192327[Team 1],$CU24,tblActuals35415192327[Team 2],CV$3)</f>
        <v>0</v>
      </c>
      <c r="CW24" s="56">
        <f>SUMIFS(tblActuals35415192327[Team 2 Points],tblActuals35415192327[Team 2],$CU24,tblActuals35415192327[Team 1],CW$3)+SUMIFS(tblActuals35415192327[Team 1 Points],tblActuals35415192327[Team 1],$CU24,tblActuals35415192327[Team 2],CW$3)</f>
        <v>0</v>
      </c>
      <c r="CX24" s="56">
        <f>SUMIFS(tblActuals35415192327[Team 2 Points],tblActuals35415192327[Team 2],$CU24,tblActuals35415192327[Team 1],CX$3)+SUMIFS(tblActuals35415192327[Team 1 Points],tblActuals35415192327[Team 1],$CU24,tblActuals35415192327[Team 2],CX$3)</f>
        <v>0</v>
      </c>
      <c r="CY24" s="56">
        <f>SUMIFS(tblActuals35415192327[Team 2 Points],tblActuals35415192327[Team 2],$CU24,tblActuals35415192327[Team 1],CY$3)+SUMIFS(tblActuals35415192327[Team 1 Points],tblActuals35415192327[Team 1],$CU24,tblActuals35415192327[Team 2],CY$3)</f>
        <v>0</v>
      </c>
      <c r="CZ24" s="56">
        <f>SUMIFS(tblActuals35415192327[Team 2 Points],tblActuals35415192327[Team 2],$CU24,tblActuals35415192327[Team 1],CZ$3)+SUMIFS(tblActuals35415192327[Team 1 Points],tblActuals35415192327[Team 1],$CU24,tblActuals35415192327[Team 2],CZ$3)</f>
        <v>0</v>
      </c>
      <c r="DA24" s="56">
        <f>SUMIFS(tblActuals35415192327[Team 2 Points],tblActuals35415192327[Team 2],$CU24,tblActuals35415192327[Team 1],DA$3)+SUMIFS(tblActuals35415192327[Team 1 Points],tblActuals35415192327[Team 1],$CU24,tblActuals35415192327[Team 2],DA$3)</f>
        <v>0</v>
      </c>
      <c r="DB24" s="56">
        <f>SUMIFS(tblActuals35415192327[Team 2 Points],tblActuals35415192327[Team 2],$CU24,tblActuals35415192327[Team 1],DB$3)+SUMIFS(tblActuals35415192327[Team 1 Points],tblActuals35415192327[Team 1],$CU24,tblActuals35415192327[Team 2],DB$3)</f>
        <v>0</v>
      </c>
      <c r="DC24" s="56">
        <f>SUMIFS(tblActuals35415192327[Team 2 Points],tblActuals35415192327[Team 2],$CU24,tblActuals35415192327[Team 1],DC$3)+SUMIFS(tblActuals35415192327[Team 1 Points],tblActuals35415192327[Team 1],$CU24,tblActuals35415192327[Team 2],DC$3)</f>
        <v>0</v>
      </c>
      <c r="DD24" s="56">
        <f>SUMIFS(tblActuals35415192327[Team 2 Points],tblActuals35415192327[Team 2],$CU24,tblActuals35415192327[Team 1],DD$3)+SUMIFS(tblActuals35415192327[Team 1 Points],tblActuals35415192327[Team 1],$CU24,tblActuals35415192327[Team 2],DD$3)</f>
        <v>0</v>
      </c>
      <c r="DE24" s="56">
        <f>SUMIFS(tblActuals35415192327[Team 2 Points],tblActuals35415192327[Team 2],$CU24,tblActuals35415192327[Team 1],DE$3)+SUMIFS(tblActuals35415192327[Team 1 Points],tblActuals35415192327[Team 1],$CU24,tblActuals35415192327[Team 2],DE$3)</f>
        <v>0</v>
      </c>
      <c r="DF24" s="56">
        <f>SUMIFS(tblActuals35415192327[Team 2 Points],tblActuals35415192327[Team 2],$CU24,tblActuals35415192327[Team 1],DF$3)+SUMIFS(tblActuals35415192327[Team 1 Points],tblActuals35415192327[Team 1],$CU24,tblActuals35415192327[Team 2],DF$3)</f>
        <v>0</v>
      </c>
      <c r="DG24" s="56">
        <f>SUMIFS(tblActuals35415192327[Team 2 Points],tblActuals35415192327[Team 2],$CU24,tblActuals35415192327[Team 1],DG$3)+SUMIFS(tblActuals35415192327[Team 1 Points],tblActuals35415192327[Team 1],$CU24,tblActuals35415192327[Team 2],DG$3)</f>
        <v>0</v>
      </c>
      <c r="DH24" s="56">
        <f>SUMIFS(tblActuals35415192327[Team 2 Points],tblActuals35415192327[Team 2],$CU24,tblActuals35415192327[Team 1],DH$3)+SUMIFS(tblActuals35415192327[Team 1 Points],tblActuals35415192327[Team 1],$CU24,tblActuals35415192327[Team 2],DH$3)</f>
        <v>0</v>
      </c>
      <c r="DI24" s="56">
        <f>SUMIFS(tblActuals35415192327[Team 2 Points],tblActuals35415192327[Team 2],$CU24,tblActuals35415192327[Team 1],DI$3)+SUMIFS(tblActuals35415192327[Team 1 Points],tblActuals35415192327[Team 1],$CU24,tblActuals35415192327[Team 2],DI$3)</f>
        <v>0</v>
      </c>
      <c r="DJ24" s="56">
        <f>SUMIFS(tblActuals35415192327[Team 2 Points],tblActuals35415192327[Team 2],$CU24,tblActuals35415192327[Team 1],DJ$3)+SUMIFS(tblActuals35415192327[Team 1 Points],tblActuals35415192327[Team 1],$CU24,tblActuals35415192327[Team 2],DJ$3)</f>
        <v>0</v>
      </c>
      <c r="DK24" s="56">
        <f>SUMIFS(tblActuals35415192327[Team 2 Points],tblActuals35415192327[Team 2],$CU24,tblActuals35415192327[Team 1],DK$3)+SUMIFS(tblActuals35415192327[Team 1 Points],tblActuals35415192327[Team 1],$CU24,tblActuals35415192327[Team 2],DK$3)</f>
        <v>0</v>
      </c>
      <c r="DL24" s="56">
        <f>SUMIFS(tblActuals35415192327[Team 2 Points],tblActuals35415192327[Team 2],$CU24,tblActuals35415192327[Team 1],DL$3)+SUMIFS(tblActuals35415192327[Team 1 Points],tblActuals35415192327[Team 1],$CU24,tblActuals35415192327[Team 2],DL$3)</f>
        <v>0</v>
      </c>
      <c r="DM24" s="56">
        <f>SUMIFS(tblActuals35415192327[Team 2 Points],tblActuals35415192327[Team 2],$CU24,tblActuals35415192327[Team 1],DM$3)+SUMIFS(tblActuals35415192327[Team 1 Points],tblActuals35415192327[Team 1],$CU24,tblActuals35415192327[Team 2],DM$3)</f>
        <v>0</v>
      </c>
      <c r="DN24" s="56">
        <f>SUMIFS(tblActuals35415192327[Team 2 Points],tblActuals35415192327[Team 2],$CU24,tblActuals35415192327[Team 1],DN$3)+SUMIFS(tblActuals35415192327[Team 1 Points],tblActuals35415192327[Team 1],$CU24,tblActuals35415192327[Team 2],DN$3)</f>
        <v>0</v>
      </c>
      <c r="DO24" s="56">
        <f>SUMIFS(tblActuals35415192327[Team 2 Points],tblActuals35415192327[Team 2],$CU24,tblActuals35415192327[Team 1],DO$3)+SUMIFS(tblActuals35415192327[Team 1 Points],tblActuals35415192327[Team 1],$CU24,tblActuals35415192327[Team 2],DO$3)</f>
        <v>0</v>
      </c>
      <c r="DP24" s="56">
        <f>SUMIFS(tblActuals35415192327[Team 2 Points],tblActuals35415192327[Team 2],$CU24,tblActuals35415192327[Team 1],DP$3)+SUMIFS(tblActuals35415192327[Team 1 Points],tblActuals35415192327[Team 1],$CU24,tblActuals35415192327[Team 2],DP$3)</f>
        <v>0</v>
      </c>
      <c r="DQ24" s="56">
        <f>SUMIFS(tblActuals35415192327[Team 2 Points],tblActuals35415192327[Team 2],$CU24,tblActuals35415192327[Team 1],DQ$3)+SUMIFS(tblActuals35415192327[Team 1 Points],tblActuals35415192327[Team 1],$CU24,tblActuals35415192327[Team 2],DQ$3)</f>
        <v>0</v>
      </c>
      <c r="DR24" s="56">
        <f>SUMIFS(tblActuals35415192327[Team 2 Points],tblActuals35415192327[Team 2],$CU24,tblActuals35415192327[Team 1],DR$3)+SUMIFS(tblActuals35415192327[Team 1 Points],tblActuals35415192327[Team 1],$CU24,tblActuals35415192327[Team 2],DR$3)</f>
        <v>0</v>
      </c>
      <c r="DS24" s="56">
        <f>SUMIFS(tblActuals35415192327[Team 2 Points],tblActuals35415192327[Team 2],$CU24,tblActuals35415192327[Team 1],DS$3)+SUMIFS(tblActuals35415192327[Team 1 Points],tblActuals35415192327[Team 1],$CU24,tblActuals35415192327[Team 2],DS$3)</f>
        <v>0</v>
      </c>
      <c r="DT24" s="57"/>
      <c r="DU24" s="57"/>
      <c r="DV24" s="57"/>
      <c r="DW24" s="57"/>
      <c r="DX24" s="57"/>
      <c r="DY24" s="57"/>
      <c r="DZ24" s="57"/>
      <c r="EA24" s="57"/>
      <c r="EB24" s="4"/>
      <c r="EC24" s="4" t="s">
        <v>133</v>
      </c>
      <c r="ED24" s="56">
        <f>SUMIFS(tblActuals35415192327[Team 2 GD],tblActuals35415192327[Team 2],$CU24,tblActuals35415192327[Team 1],ED$3)+SUMIFS(tblActuals35415192327[Team 1 GD],tblActuals35415192327[Team 1],$CU24,tblActuals35415192327[Team 2],ED$3)</f>
        <v>0</v>
      </c>
      <c r="EE24" s="56">
        <f>SUMIFS(tblActuals35415192327[Team 2 GD],tblActuals35415192327[Team 2],$CU24,tblActuals35415192327[Team 1],EE$3)+SUMIFS(tblActuals35415192327[Team 1 GD],tblActuals35415192327[Team 1],$CU24,tblActuals35415192327[Team 2],EE$3)</f>
        <v>0</v>
      </c>
      <c r="EF24" s="56">
        <f>SUMIFS(tblActuals35415192327[Team 2 GD],tblActuals35415192327[Team 2],$CU24,tblActuals35415192327[Team 1],EF$3)+SUMIFS(tblActuals35415192327[Team 1 GD],tblActuals35415192327[Team 1],$CU24,tblActuals35415192327[Team 2],EF$3)</f>
        <v>0</v>
      </c>
      <c r="EG24" s="56">
        <f>SUMIFS(tblActuals35415192327[Team 2 GD],tblActuals35415192327[Team 2],$CU24,tblActuals35415192327[Team 1],EG$3)+SUMIFS(tblActuals35415192327[Team 1 GD],tblActuals35415192327[Team 1],$CU24,tblActuals35415192327[Team 2],EG$3)</f>
        <v>0</v>
      </c>
      <c r="EH24" s="56">
        <f>SUMIFS(tblActuals35415192327[Team 2 GD],tblActuals35415192327[Team 2],$CU24,tblActuals35415192327[Team 1],EH$3)+SUMIFS(tblActuals35415192327[Team 1 GD],tblActuals35415192327[Team 1],$CU24,tblActuals35415192327[Team 2],EH$3)</f>
        <v>0</v>
      </c>
      <c r="EI24" s="56">
        <f>SUMIFS(tblActuals35415192327[Team 2 GD],tblActuals35415192327[Team 2],$CU24,tblActuals35415192327[Team 1],EI$3)+SUMIFS(tblActuals35415192327[Team 1 GD],tblActuals35415192327[Team 1],$CU24,tblActuals35415192327[Team 2],EI$3)</f>
        <v>0</v>
      </c>
      <c r="EJ24" s="56">
        <f>SUMIFS(tblActuals35415192327[Team 2 GD],tblActuals35415192327[Team 2],$CU24,tblActuals35415192327[Team 1],EJ$3)+SUMIFS(tblActuals35415192327[Team 1 GD],tblActuals35415192327[Team 1],$CU24,tblActuals35415192327[Team 2],EJ$3)</f>
        <v>0</v>
      </c>
      <c r="EK24" s="56">
        <f>SUMIFS(tblActuals35415192327[Team 2 GD],tblActuals35415192327[Team 2],$CU24,tblActuals35415192327[Team 1],EK$3)+SUMIFS(tblActuals35415192327[Team 1 GD],tblActuals35415192327[Team 1],$CU24,tblActuals35415192327[Team 2],EK$3)</f>
        <v>0</v>
      </c>
      <c r="EL24" s="56">
        <f>SUMIFS(tblActuals35415192327[Team 2 GD],tblActuals35415192327[Team 2],$CU24,tblActuals35415192327[Team 1],EL$3)+SUMIFS(tblActuals35415192327[Team 1 GD],tblActuals35415192327[Team 1],$CU24,tblActuals35415192327[Team 2],EL$3)</f>
        <v>0</v>
      </c>
      <c r="EM24" s="56">
        <f>SUMIFS(tblActuals35415192327[Team 2 GD],tblActuals35415192327[Team 2],$CU24,tblActuals35415192327[Team 1],EM$3)+SUMIFS(tblActuals35415192327[Team 1 GD],tblActuals35415192327[Team 1],$CU24,tblActuals35415192327[Team 2],EM$3)</f>
        <v>0</v>
      </c>
      <c r="EN24" s="56">
        <f>SUMIFS(tblActuals35415192327[Team 2 GD],tblActuals35415192327[Team 2],$CU24,tblActuals35415192327[Team 1],EN$3)+SUMIFS(tblActuals35415192327[Team 1 GD],tblActuals35415192327[Team 1],$CU24,tblActuals35415192327[Team 2],EN$3)</f>
        <v>0</v>
      </c>
      <c r="EO24" s="56">
        <f>SUMIFS(tblActuals35415192327[Team 2 GD],tblActuals35415192327[Team 2],$CU24,tblActuals35415192327[Team 1],EO$3)+SUMIFS(tblActuals35415192327[Team 1 GD],tblActuals35415192327[Team 1],$CU24,tblActuals35415192327[Team 2],EO$3)</f>
        <v>0</v>
      </c>
      <c r="EP24" s="56">
        <f>SUMIFS(tblActuals35415192327[Team 2 GD],tblActuals35415192327[Team 2],$CU24,tblActuals35415192327[Team 1],EP$3)+SUMIFS(tblActuals35415192327[Team 1 GD],tblActuals35415192327[Team 1],$CU24,tblActuals35415192327[Team 2],EP$3)</f>
        <v>0</v>
      </c>
      <c r="EQ24" s="56">
        <f>SUMIFS(tblActuals35415192327[Team 2 GD],tblActuals35415192327[Team 2],$CU24,tblActuals35415192327[Team 1],EQ$3)+SUMIFS(tblActuals35415192327[Team 1 GD],tblActuals35415192327[Team 1],$CU24,tblActuals35415192327[Team 2],EQ$3)</f>
        <v>0</v>
      </c>
      <c r="ER24" s="56">
        <f>SUMIFS(tblActuals35415192327[Team 2 GD],tblActuals35415192327[Team 2],$CU24,tblActuals35415192327[Team 1],ER$3)+SUMIFS(tblActuals35415192327[Team 1 GD],tblActuals35415192327[Team 1],$CU24,tblActuals35415192327[Team 2],ER$3)</f>
        <v>0</v>
      </c>
      <c r="ES24" s="56">
        <f>SUMIFS(tblActuals35415192327[Team 2 GD],tblActuals35415192327[Team 2],$CU24,tblActuals35415192327[Team 1],ES$3)+SUMIFS(tblActuals35415192327[Team 1 GD],tblActuals35415192327[Team 1],$CU24,tblActuals35415192327[Team 2],ES$3)</f>
        <v>0</v>
      </c>
      <c r="ET24" s="56">
        <f>SUMIFS(tblActuals35415192327[Team 2 GD],tblActuals35415192327[Team 2],$CU24,tblActuals35415192327[Team 1],ET$3)+SUMIFS(tblActuals35415192327[Team 1 GD],tblActuals35415192327[Team 1],$CU24,tblActuals35415192327[Team 2],ET$3)</f>
        <v>0</v>
      </c>
      <c r="EU24" s="56">
        <f>SUMIFS(tblActuals35415192327[Team 2 GD],tblActuals35415192327[Team 2],$CU24,tblActuals35415192327[Team 1],EU$3)+SUMIFS(tblActuals35415192327[Team 1 GD],tblActuals35415192327[Team 1],$CU24,tblActuals35415192327[Team 2],EU$3)</f>
        <v>0</v>
      </c>
      <c r="EV24" s="56">
        <f>SUMIFS(tblActuals35415192327[Team 2 GD],tblActuals35415192327[Team 2],$CU24,tblActuals35415192327[Team 1],EV$3)+SUMIFS(tblActuals35415192327[Team 1 GD],tblActuals35415192327[Team 1],$CU24,tblActuals35415192327[Team 2],EV$3)</f>
        <v>0</v>
      </c>
      <c r="EW24" s="56">
        <f>SUMIFS(tblActuals35415192327[Team 2 GD],tblActuals35415192327[Team 2],$CU24,tblActuals35415192327[Team 1],EW$3)+SUMIFS(tblActuals35415192327[Team 1 GD],tblActuals35415192327[Team 1],$CU24,tblActuals35415192327[Team 2],EW$3)</f>
        <v>0</v>
      </c>
      <c r="EX24" s="56">
        <f>SUMIFS(tblActuals35415192327[Team 2 GD],tblActuals35415192327[Team 2],$CU24,tblActuals35415192327[Team 1],EX$3)+SUMIFS(tblActuals35415192327[Team 1 GD],tblActuals35415192327[Team 1],$CU24,tblActuals35415192327[Team 2],EX$3)</f>
        <v>0</v>
      </c>
      <c r="EY24" s="56">
        <f>SUMIFS(tblActuals35415192327[Team 2 GD],tblActuals35415192327[Team 2],$CU24,tblActuals35415192327[Team 1],EY$3)+SUMIFS(tblActuals35415192327[Team 1 GD],tblActuals35415192327[Team 1],$CU24,tblActuals35415192327[Team 2],EY$3)</f>
        <v>0</v>
      </c>
      <c r="EZ24" s="56">
        <f>SUMIFS(tblActuals35415192327[Team 2 GD],tblActuals35415192327[Team 2],$CU24,tblActuals35415192327[Team 1],EZ$3)+SUMIFS(tblActuals35415192327[Team 1 GD],tblActuals35415192327[Team 1],$CU24,tblActuals35415192327[Team 2],EZ$3)</f>
        <v>0</v>
      </c>
      <c r="FA24" s="56">
        <f>SUMIFS(tblActuals35415192327[Team 2 GD],tblActuals35415192327[Team 2],$CU24,tblActuals35415192327[Team 1],FA$3)+SUMIFS(tblActuals35415192327[Team 1 GD],tblActuals35415192327[Team 1],$CU24,tblActuals35415192327[Team 2],FA$3)</f>
        <v>0</v>
      </c>
      <c r="FB24" s="57"/>
      <c r="FC24" s="57"/>
      <c r="FD24" s="57"/>
      <c r="FE24" s="57"/>
      <c r="FF24" s="57"/>
      <c r="FG24" s="57"/>
      <c r="FH24" s="57"/>
      <c r="FI24" s="57"/>
      <c r="FJ24" s="4"/>
      <c r="FK24" s="4" t="s">
        <v>133</v>
      </c>
      <c r="FL24" s="56">
        <f>SUMIFS(tblActuals35415192327[Team 2 Goals],tblActuals35415192327[Team 2],$CU24,tblActuals35415192327[Team 1],FL$3)+SUMIFS(tblActuals35415192327[Team 1 Goals],tblActuals35415192327[Team 1],$CU24,tblActuals35415192327[Team 2],FL$3)</f>
        <v>0</v>
      </c>
      <c r="FM24" s="56">
        <f>SUMIFS(tblActuals35415192327[Team 2 Goals],tblActuals35415192327[Team 2],$CU24,tblActuals35415192327[Team 1],FM$3)+SUMIFS(tblActuals35415192327[Team 1 Goals],tblActuals35415192327[Team 1],$CU24,tblActuals35415192327[Team 2],FM$3)</f>
        <v>0</v>
      </c>
      <c r="FN24" s="56">
        <f>SUMIFS(tblActuals35415192327[Team 2 Goals],tblActuals35415192327[Team 2],$CU24,tblActuals35415192327[Team 1],FN$3)+SUMIFS(tblActuals35415192327[Team 1 Goals],tblActuals35415192327[Team 1],$CU24,tblActuals35415192327[Team 2],FN$3)</f>
        <v>0</v>
      </c>
      <c r="FO24" s="56">
        <f>SUMIFS(tblActuals35415192327[Team 2 Goals],tblActuals35415192327[Team 2],$CU24,tblActuals35415192327[Team 1],FO$3)+SUMIFS(tblActuals35415192327[Team 1 Goals],tblActuals35415192327[Team 1],$CU24,tblActuals35415192327[Team 2],FO$3)</f>
        <v>0</v>
      </c>
      <c r="FP24" s="56">
        <f>SUMIFS(tblActuals35415192327[Team 2 Goals],tblActuals35415192327[Team 2],$CU24,tblActuals35415192327[Team 1],FP$3)+SUMIFS(tblActuals35415192327[Team 1 Goals],tblActuals35415192327[Team 1],$CU24,tblActuals35415192327[Team 2],FP$3)</f>
        <v>0</v>
      </c>
      <c r="FQ24" s="56">
        <f>SUMIFS(tblActuals35415192327[Team 2 Goals],tblActuals35415192327[Team 2],$CU24,tblActuals35415192327[Team 1],FQ$3)+SUMIFS(tblActuals35415192327[Team 1 Goals],tblActuals35415192327[Team 1],$CU24,tblActuals35415192327[Team 2],FQ$3)</f>
        <v>0</v>
      </c>
      <c r="FR24" s="56">
        <f>SUMIFS(tblActuals35415192327[Team 2 Goals],tblActuals35415192327[Team 2],$CU24,tblActuals35415192327[Team 1],FR$3)+SUMIFS(tblActuals35415192327[Team 1 Goals],tblActuals35415192327[Team 1],$CU24,tblActuals35415192327[Team 2],FR$3)</f>
        <v>0</v>
      </c>
      <c r="FS24" s="56">
        <f>SUMIFS(tblActuals35415192327[Team 2 Goals],tblActuals35415192327[Team 2],$CU24,tblActuals35415192327[Team 1],FS$3)+SUMIFS(tblActuals35415192327[Team 1 Goals],tblActuals35415192327[Team 1],$CU24,tblActuals35415192327[Team 2],FS$3)</f>
        <v>0</v>
      </c>
      <c r="FT24" s="56">
        <f>SUMIFS(tblActuals35415192327[Team 2 Goals],tblActuals35415192327[Team 2],$CU24,tblActuals35415192327[Team 1],FT$3)+SUMIFS(tblActuals35415192327[Team 1 Goals],tblActuals35415192327[Team 1],$CU24,tblActuals35415192327[Team 2],FT$3)</f>
        <v>0</v>
      </c>
      <c r="FU24" s="56">
        <f>SUMIFS(tblActuals35415192327[Team 2 Goals],tblActuals35415192327[Team 2],$CU24,tblActuals35415192327[Team 1],FU$3)+SUMIFS(tblActuals35415192327[Team 1 Goals],tblActuals35415192327[Team 1],$CU24,tblActuals35415192327[Team 2],FU$3)</f>
        <v>0</v>
      </c>
      <c r="FV24" s="56">
        <f>SUMIFS(tblActuals35415192327[Team 2 Goals],tblActuals35415192327[Team 2],$CU24,tblActuals35415192327[Team 1],FV$3)+SUMIFS(tblActuals35415192327[Team 1 Goals],tblActuals35415192327[Team 1],$CU24,tblActuals35415192327[Team 2],FV$3)</f>
        <v>0</v>
      </c>
      <c r="FW24" s="56">
        <f>SUMIFS(tblActuals35415192327[Team 2 Goals],tblActuals35415192327[Team 2],$CU24,tblActuals35415192327[Team 1],FW$3)+SUMIFS(tblActuals35415192327[Team 1 Goals],tblActuals35415192327[Team 1],$CU24,tblActuals35415192327[Team 2],FW$3)</f>
        <v>0</v>
      </c>
      <c r="FX24" s="56">
        <f>SUMIFS(tblActuals35415192327[Team 2 Goals],tblActuals35415192327[Team 2],$CU24,tblActuals35415192327[Team 1],FX$3)+SUMIFS(tblActuals35415192327[Team 1 Goals],tblActuals35415192327[Team 1],$CU24,tblActuals35415192327[Team 2],FX$3)</f>
        <v>0</v>
      </c>
      <c r="FY24" s="56">
        <f>SUMIFS(tblActuals35415192327[Team 2 Goals],tblActuals35415192327[Team 2],$CU24,tblActuals35415192327[Team 1],FY$3)+SUMIFS(tblActuals35415192327[Team 1 Goals],tblActuals35415192327[Team 1],$CU24,tblActuals35415192327[Team 2],FY$3)</f>
        <v>0</v>
      </c>
      <c r="FZ24" s="56">
        <f>SUMIFS(tblActuals35415192327[Team 2 Goals],tblActuals35415192327[Team 2],$CU24,tblActuals35415192327[Team 1],FZ$3)+SUMIFS(tblActuals35415192327[Team 1 Goals],tblActuals35415192327[Team 1],$CU24,tblActuals35415192327[Team 2],FZ$3)</f>
        <v>0</v>
      </c>
      <c r="GA24" s="56">
        <f>SUMIFS(tblActuals35415192327[Team 2 Goals],tblActuals35415192327[Team 2],$CU24,tblActuals35415192327[Team 1],GA$3)+SUMIFS(tblActuals35415192327[Team 1 Goals],tblActuals35415192327[Team 1],$CU24,tblActuals35415192327[Team 2],GA$3)</f>
        <v>0</v>
      </c>
      <c r="GB24" s="56">
        <f>SUMIFS(tblActuals35415192327[Team 2 Goals],tblActuals35415192327[Team 2],$CU24,tblActuals35415192327[Team 1],GB$3)+SUMIFS(tblActuals35415192327[Team 1 Goals],tblActuals35415192327[Team 1],$CU24,tblActuals35415192327[Team 2],GB$3)</f>
        <v>0</v>
      </c>
      <c r="GC24" s="56">
        <f>SUMIFS(tblActuals35415192327[Team 2 Goals],tblActuals35415192327[Team 2],$CU24,tblActuals35415192327[Team 1],GC$3)+SUMIFS(tblActuals35415192327[Team 1 Goals],tblActuals35415192327[Team 1],$CU24,tblActuals35415192327[Team 2],GC$3)</f>
        <v>0</v>
      </c>
      <c r="GD24" s="56">
        <f>SUMIFS(tblActuals35415192327[Team 2 Goals],tblActuals35415192327[Team 2],$CU24,tblActuals35415192327[Team 1],GD$3)+SUMIFS(tblActuals35415192327[Team 1 Goals],tblActuals35415192327[Team 1],$CU24,tblActuals35415192327[Team 2],GD$3)</f>
        <v>0</v>
      </c>
      <c r="GE24" s="56">
        <f>SUMIFS(tblActuals35415192327[Team 2 Goals],tblActuals35415192327[Team 2],$CU24,tblActuals35415192327[Team 1],GE$3)+SUMIFS(tblActuals35415192327[Team 1 Goals],tblActuals35415192327[Team 1],$CU24,tblActuals35415192327[Team 2],GE$3)</f>
        <v>0</v>
      </c>
      <c r="GF24" s="56">
        <f>SUMIFS(tblActuals35415192327[Team 2 Goals],tblActuals35415192327[Team 2],$CU24,tblActuals35415192327[Team 1],GF$3)+SUMIFS(tblActuals35415192327[Team 1 Goals],tblActuals35415192327[Team 1],$CU24,tblActuals35415192327[Team 2],GF$3)</f>
        <v>0</v>
      </c>
      <c r="GG24" s="56">
        <f>SUMIFS(tblActuals35415192327[Team 2 Goals],tblActuals35415192327[Team 2],$CU24,tblActuals35415192327[Team 1],GG$3)+SUMIFS(tblActuals35415192327[Team 1 Goals],tblActuals35415192327[Team 1],$CU24,tblActuals35415192327[Team 2],GG$3)</f>
        <v>0</v>
      </c>
      <c r="GH24" s="56">
        <f>SUMIFS(tblActuals35415192327[Team 2 Goals],tblActuals35415192327[Team 2],$CU24,tblActuals35415192327[Team 1],GH$3)+SUMIFS(tblActuals35415192327[Team 1 Goals],tblActuals35415192327[Team 1],$CU24,tblActuals35415192327[Team 2],GH$3)</f>
        <v>0</v>
      </c>
      <c r="GI24" s="56">
        <f>SUMIFS(tblActuals35415192327[Team 2 Goals],tblActuals35415192327[Team 2],$CU24,tblActuals35415192327[Team 1],GI$3)+SUMIFS(tblActuals35415192327[Team 1 Goals],tblActuals35415192327[Team 1],$CU24,tblActuals35415192327[Team 2],GI$3)</f>
        <v>0</v>
      </c>
      <c r="GJ24" s="57"/>
      <c r="GK24" s="57"/>
      <c r="GL24" s="37"/>
      <c r="GM24" s="37"/>
      <c r="GN24" s="37"/>
      <c r="GO24" s="37"/>
      <c r="GP24" s="37"/>
      <c r="GQ24" s="37"/>
      <c r="GR24" s="75"/>
      <c r="GS24" s="148"/>
      <c r="GT24" s="148"/>
      <c r="GU24" s="75"/>
      <c r="GV24" s="75"/>
      <c r="GW24" s="75"/>
      <c r="GX24" s="75"/>
      <c r="GY24" s="75"/>
      <c r="GZ24" s="75"/>
    </row>
    <row r="25" spans="1:221" s="11" customFormat="1" ht="30" customHeight="1" x14ac:dyDescent="0.25">
      <c r="A25" s="20"/>
      <c r="B25" s="122">
        <v>22</v>
      </c>
      <c r="C25" s="122" t="s">
        <v>12</v>
      </c>
      <c r="D25" s="123">
        <v>45465</v>
      </c>
      <c r="E25" s="122" t="s">
        <v>79</v>
      </c>
      <c r="F25" s="124">
        <v>0.875</v>
      </c>
      <c r="G25" s="125">
        <f t="shared" si="11"/>
        <v>45465.625</v>
      </c>
      <c r="H25" s="122" t="s">
        <v>110</v>
      </c>
      <c r="I25" s="126"/>
      <c r="J25" s="118"/>
      <c r="K25" s="118"/>
      <c r="L25" s="174">
        <f>IF(I25="",0,IFERROR(IF(SCORING.RULES!$C$8="No",1,((VLOOKUP($B25,ACTUALS!$B$4:$L$100,7,FALSE)=$H25)+(VLOOKUP($B25,ACTUALS!$B$4:$L$100,7,FALSE)=S25)))*(M25+N25+O25+P25+Q25),0))+$R25</f>
        <v>0</v>
      </c>
      <c r="M25" s="168">
        <f>IFERROR(IF($B25="","",IF(U25=INDEX(ACTUALS!$AA$4:$AA$100,MATCH($B25,ACTUALS!$B$4:$B$100,0),1),CorrectScore,0)),0)</f>
        <v>0</v>
      </c>
      <c r="N25" s="157" t="str">
        <f>IFERROR(IF(I25="","",IF(INDEX(ACTUALS!$AB$4:$AB$100,MATCH($B25,ACTUALS!$B$4:$B$100,0),1)=(AB25+AC25+AH25+AI25),CorrectNumberofGoals,0)),0)</f>
        <v/>
      </c>
      <c r="O25" s="157"/>
      <c r="P25" s="157">
        <f>IFERROR(IF(B25="","",IF(INDEX(ACTUALS!$L$4:$L$100,MATCH($B25,ACTUALS!$B$4:$B$100,0),1)=W25,CorrectResult,0)),0)</f>
        <v>3</v>
      </c>
      <c r="Q25" s="157"/>
      <c r="R25" s="157"/>
      <c r="S25" s="157" t="str">
        <f t="shared" si="0"/>
        <v/>
      </c>
      <c r="T25" s="157"/>
      <c r="U25" s="157" t="str">
        <f t="shared" si="1"/>
        <v/>
      </c>
      <c r="V25" s="157" t="str">
        <f t="shared" si="2"/>
        <v/>
      </c>
      <c r="W25" s="119" t="str">
        <f>IF(tblActuals35415192327[[#This Row],[SCORE]]="","",IF(AB25=AC25,"Draw",IF(AB25&gt;AC25,X25,Y25)))</f>
        <v/>
      </c>
      <c r="X25" s="120" t="str">
        <f>IF(tblActuals35415192327[[#This Row],[TEAMS]]="","",LEFT(H25,FIND(" -",H25,1)-1))</f>
        <v>Belgium</v>
      </c>
      <c r="Y25" s="120" t="str">
        <f>IF(tblActuals35415192327[[#This Row],[TEAMS]]="","",MID(H25,FIND("-",H25,1)+2,LEN(H25)-FIND("-",H25,1)+2))</f>
        <v>Romania</v>
      </c>
      <c r="Z25" s="120" t="str">
        <f>IF(tblActuals35415192327[[#This Row],[Team 1 Goals]]&gt;tblActuals35415192327[[#This Row],[Team 2 Goals]],tblActuals35415192327[[#This Row],[Team 1]],IF(tblActuals35415192327[[#This Row],[Team 2 Goals]]&gt;tblActuals35415192327[[#This Row],[Team 1 Goals]],tblActuals35415192327[[#This Row],[Team 2]],""))</f>
        <v/>
      </c>
      <c r="AA25" s="120" t="str">
        <f>IF(tblActuals35415192327[[#This Row],[Winner]]=tblActuals35415192327[[#This Row],[Team 1]],tblActuals35415192327[[#This Row],[Team 2]],IF(tblActuals35415192327[[#This Row],[Winner]]=tblActuals35415192327[[#This Row],[Team 2]],tblActuals35415192327[[#This Row],[Team 1]],""))</f>
        <v/>
      </c>
      <c r="AB25" s="120" t="str">
        <f>IF(tblActuals35415192327[[#This Row],[SCORE]]="","",LEFT(I25,FIND(":",I25,1)-1)*1)</f>
        <v/>
      </c>
      <c r="AC25" s="120" t="str">
        <f>IF(tblActuals35415192327[[#This Row],[SCORE]]="","",MID(I25,FIND(":",I25,1)+1,LEN(I25)-FIND(":",I25,1)+1)*1)</f>
        <v/>
      </c>
      <c r="AD25" s="120" t="str">
        <f>IF(OR(tblActuals35415192327[[#This Row],[Team 1 Goals]]="",tblActuals35415192327[[#This Row],[Team 2 Goals]]=""),"",tblActuals35415192327[[#This Row],[Team 1 Goals]]-tblActuals35415192327[[#This Row],[Team 2 Goals]])</f>
        <v/>
      </c>
      <c r="AE25" s="120" t="str">
        <f>IF(OR(tblActuals35415192327[[#This Row],[Team 1 Goals]]="",tblActuals35415192327[[#This Row],[Team 2 Goals]]=""),"",tblActuals35415192327[[#This Row],[Team 2 Goals]]-tblActuals35415192327[[#This Row],[Team 1 Goals]])</f>
        <v/>
      </c>
      <c r="AF25" s="120" t="str">
        <f>IF(tblActuals35415192327[[#This Row],[SCORE]]="","",IF(tblActuals35415192327[[#This Row],[WINNER / RESULT]]="Draw",1,IF(tblActuals35415192327[[#This Row],[WINNER / RESULT]]=tblActuals35415192327[[#This Row],[Team 1]],3,0)))</f>
        <v/>
      </c>
      <c r="AG25" s="120" t="str">
        <f>IF(tblActuals35415192327[[#This Row],[SCORE]]="","",IF(tblActuals35415192327[[#This Row],[WINNER / RESULT]]="Draw",1,IF(tblActuals35415192327[[#This Row],[WINNER / RESULT]]=tblActuals35415192327[[#This Row],[Team 2]],3,0)))</f>
        <v/>
      </c>
      <c r="AH25" s="121"/>
      <c r="AI25" s="121"/>
      <c r="AJ25" s="121"/>
      <c r="AK25" s="121"/>
      <c r="AL25" s="120" t="e">
        <f>tblActuals35415192327[[#This Row],[Team 1 Goals]]+tblActuals35415192327[[#This Row],[Team 1 ET Goals]]&amp;":"&amp;tblActuals35415192327[[#This Row],[Team 2 Goals]]+tblActuals35415192327[[#This Row],[Team 2 ET Goals]]</f>
        <v>#VALUE!</v>
      </c>
      <c r="AM25" s="120" t="e">
        <f>+tblActuals35415192327[[#This Row],[Team 1 Goals]]+tblActuals35415192327[[#This Row],[Team 2 Goals]]</f>
        <v>#VALUE!</v>
      </c>
      <c r="AN25" s="161">
        <f t="shared" si="3"/>
        <v>45465</v>
      </c>
      <c r="AT25" s="77" t="s">
        <v>7</v>
      </c>
      <c r="AU25" s="139">
        <v>2</v>
      </c>
      <c r="AV25" s="140" t="str">
        <f ca="1">IFERROR(INDEX(BD:BD,MATCH("2"&amp;AT25,BN:BN,0),1),"")</f>
        <v>France</v>
      </c>
      <c r="AW25" s="140" t="str">
        <f ca="1">IF(AV25="","",VLOOKUP(AV25,BD:BI,2,FALSE)&amp;"-"&amp;VLOOKUP(AV25,BD:BI,3,FALSE)&amp;"-"&amp;VLOOKUP(AV25,BD:BI,4,FALSE))</f>
        <v>0-0-0</v>
      </c>
      <c r="AX25" s="140">
        <f ca="1">IF(AV25="","",VLOOKUP(AV25,BD:BK,8,FALSE))</f>
        <v>0</v>
      </c>
      <c r="AY25" s="141">
        <f ca="1">IF(AV25="","",VLOOKUP(AV25,BD:BN,5,FALSE))</f>
        <v>0</v>
      </c>
      <c r="AZ25" s="75"/>
      <c r="BA25" s="4"/>
      <c r="BB25" s="4"/>
      <c r="BC25" s="4" t="s">
        <v>12</v>
      </c>
      <c r="BD25" s="4" t="s">
        <v>131</v>
      </c>
      <c r="BE25" s="4">
        <f>COUNTIF(tblActuals35415192327[Winner],BD25)</f>
        <v>0</v>
      </c>
      <c r="BF25" s="4">
        <f>COUNTIFS(tblActuals35415192327[Team 2],BD25,tblActuals35415192327[WINNER / RESULT],"Draw")+COUNTIFS(tblActuals35415192327[Team 1],BD25,tblActuals35415192327[WINNER / RESULT],"Draw")</f>
        <v>0</v>
      </c>
      <c r="BG25" s="4">
        <f>COUNTIF(tblActuals35415192327[Loser],BD25)</f>
        <v>0</v>
      </c>
      <c r="BH25" s="4">
        <f>BF25+(3*BE25)</f>
        <v>0</v>
      </c>
      <c r="BI25" s="4">
        <f>SUMIFS(tblActuals35415192327[Team 1 Goals],tblActuals35415192327[Team 1],BD25)+SUMIFS(tblActuals35415192327[Team 2 Goals],tblActuals35415192327[Team 2],BD25)</f>
        <v>0</v>
      </c>
      <c r="BJ25" s="4">
        <f>SUMIFS(tblActuals35415192327[Team 2 Goals],tblActuals35415192327[Team 1],BD25)+SUMIFS(tblActuals35415192327[Team 1 Goals],tblActuals35415192327[Team 2],BD25)</f>
        <v>0</v>
      </c>
      <c r="BK25" s="4">
        <f>BI25-BJ25</f>
        <v>0</v>
      </c>
      <c r="BL25" s="4">
        <f ca="1">RANK(BY25,$BY$24:$BY$27,1)</f>
        <v>2</v>
      </c>
      <c r="BM25" s="4" t="str">
        <f t="shared" si="4"/>
        <v/>
      </c>
      <c r="BN25" s="4" t="str">
        <f ca="1">IF(BM25="",BL25&amp;BC25,BM25&amp;BC25)</f>
        <v>2E</v>
      </c>
      <c r="BO25" s="4">
        <f>RANK(BH25,$BH$24:$BH$27,0)</f>
        <v>1</v>
      </c>
      <c r="BP25" s="4" cm="1">
        <f t="array" aca="1" ref="BP25" ca="1">SUMPRODUCT((OFFSET($CV$3:$EA$3,MATCH($BD25,$CU$4:$CU$35,0),0))*((IF($BO26=$BO25,$CV$3:$EA$3=$BD26,0))+(IF($BO27=$BO25,$CV$3:$EA$3=$BD27,0))+(IF($BO24=$BO25,$CV$3:$EA$3=$BD24,0))))</f>
        <v>0</v>
      </c>
      <c r="BQ25" s="4" cm="1">
        <f t="array" aca="1" ref="BQ25" ca="1">SUMPRODUCT((OFFSET($ED$3:$FI$3,MATCH($BD25,$EC$4:$EC$35,0),0))*((IF($BO26=$BO25,$ED$3:$FI$3=$BD26,0))+(IF($BO27=$BO25,$ED$3:$FI$3=$BD27,0))+(IF($BO24=$BO25,$ED$3:$FI$3=$BD24,0))))</f>
        <v>0</v>
      </c>
      <c r="BR25" s="4" cm="1">
        <f t="array" aca="1" ref="BR25" ca="1">SUMPRODUCT((OFFSET($FL$3:$GQ$3,MATCH($BD25,$FK$4:$FK$35,0),0))*((IF($BO26=$BO25,$FL$3:$GQ$3=$BD26,0))+(IF($BO27=$BO25,$FL$3:$GQ$3=$BD27,0))+(IF($BO24=$BO25,$FL$3:$GQ$3=$BD24,0))))</f>
        <v>0</v>
      </c>
      <c r="BS25" s="4" cm="1">
        <f t="array" aca="1" ref="BS25" ca="1">SUMPRODUCT((OFFSET($CV$3:$EA$3,MATCH($BD25,$CU$4:$CU$35,0),0))*((IF($BO26&lt;&gt;$BO25,$CV$3:$EA$3=$BD26,0))+(IF($BO27&lt;&gt;$BO25,$CV$3:$EA$3=$BD27,0))+(IF($BO24&lt;&gt;$BO25,$CV$3:$EA$3=$BD24,0))))</f>
        <v>0</v>
      </c>
      <c r="BT25" s="4" cm="1">
        <f t="array" aca="1" ref="BT25" ca="1">SUMPRODUCT((OFFSET($ED$3:$FI$3,MATCH($BD25,$EC$4:$EC$35,0),0))*((IF($BO26&lt;&gt;$BO25,$ED$3:$FI$3=$BD26,0))+(IF($BO27&lt;&gt;$BO25,$ED$3:$FI$3=$BD27,0))+(IF($BO24&lt;&gt;$BO25,$ED$3:$FI$3=$BD24,0))))</f>
        <v>0</v>
      </c>
      <c r="BU25" s="4" cm="1">
        <f t="array" aca="1" ref="BU25" ca="1">SUMPRODUCT((OFFSET($FL$3:$GQ$3,MATCH($BD25,$FK$4:$FK$35,0),0))*((IF($BO26&lt;&gt;$BO25,$FL$3:$GQ$3=$BD26,0))+(IF($BO27&lt;&gt;$BO25,$FL$3:$GQ$3=$BD27,0))+(IF($BO24&lt;&gt;$BO25,$FL$3:$GQ$3=$BD24,0))))</f>
        <v>0</v>
      </c>
      <c r="BV25" s="4">
        <f>BK25</f>
        <v>0</v>
      </c>
      <c r="BW25" s="4">
        <f>BI25</f>
        <v>0</v>
      </c>
      <c r="BX25" s="4">
        <f ca="1">(BP25/10)+(BQ25/100)+(BR25/1000)+(BT25/10000)+(BU25/100000)+(BV25/1000000)+(BW25/10000000)+(ROW(BS26)/100000000)</f>
        <v>2.6E-7</v>
      </c>
      <c r="BY25" s="4">
        <f ca="1">+BO25-BX25</f>
        <v>0.99999974000000003</v>
      </c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U25" s="4" t="s">
        <v>134</v>
      </c>
      <c r="CV25" s="56">
        <f>SUMIFS(tblActuals35415192327[Team 2 Points],tblActuals35415192327[Team 2],$CU25,tblActuals35415192327[Team 1],CV$3)+SUMIFS(tblActuals35415192327[Team 1 Points],tblActuals35415192327[Team 1],$CU25,tblActuals35415192327[Team 2],CV$3)</f>
        <v>0</v>
      </c>
      <c r="CW25" s="56">
        <f>SUMIFS(tblActuals35415192327[Team 2 Points],tblActuals35415192327[Team 2],$CU25,tblActuals35415192327[Team 1],CW$3)+SUMIFS(tblActuals35415192327[Team 1 Points],tblActuals35415192327[Team 1],$CU25,tblActuals35415192327[Team 2],CW$3)</f>
        <v>0</v>
      </c>
      <c r="CX25" s="56">
        <f>SUMIFS(tblActuals35415192327[Team 2 Points],tblActuals35415192327[Team 2],$CU25,tblActuals35415192327[Team 1],CX$3)+SUMIFS(tblActuals35415192327[Team 1 Points],tblActuals35415192327[Team 1],$CU25,tblActuals35415192327[Team 2],CX$3)</f>
        <v>0</v>
      </c>
      <c r="CY25" s="56">
        <f>SUMIFS(tblActuals35415192327[Team 2 Points],tblActuals35415192327[Team 2],$CU25,tblActuals35415192327[Team 1],CY$3)+SUMIFS(tblActuals35415192327[Team 1 Points],tblActuals35415192327[Team 1],$CU25,tblActuals35415192327[Team 2],CY$3)</f>
        <v>0</v>
      </c>
      <c r="CZ25" s="56">
        <f>SUMIFS(tblActuals35415192327[Team 2 Points],tblActuals35415192327[Team 2],$CU25,tblActuals35415192327[Team 1],CZ$3)+SUMIFS(tblActuals35415192327[Team 1 Points],tblActuals35415192327[Team 1],$CU25,tblActuals35415192327[Team 2],CZ$3)</f>
        <v>0</v>
      </c>
      <c r="DA25" s="56">
        <f>SUMIFS(tblActuals35415192327[Team 2 Points],tblActuals35415192327[Team 2],$CU25,tblActuals35415192327[Team 1],DA$3)+SUMIFS(tblActuals35415192327[Team 1 Points],tblActuals35415192327[Team 1],$CU25,tblActuals35415192327[Team 2],DA$3)</f>
        <v>0</v>
      </c>
      <c r="DB25" s="56">
        <f>SUMIFS(tblActuals35415192327[Team 2 Points],tblActuals35415192327[Team 2],$CU25,tblActuals35415192327[Team 1],DB$3)+SUMIFS(tblActuals35415192327[Team 1 Points],tblActuals35415192327[Team 1],$CU25,tblActuals35415192327[Team 2],DB$3)</f>
        <v>0</v>
      </c>
      <c r="DC25" s="56">
        <f>SUMIFS(tblActuals35415192327[Team 2 Points],tblActuals35415192327[Team 2],$CU25,tblActuals35415192327[Team 1],DC$3)+SUMIFS(tblActuals35415192327[Team 1 Points],tblActuals35415192327[Team 1],$CU25,tblActuals35415192327[Team 2],DC$3)</f>
        <v>0</v>
      </c>
      <c r="DD25" s="56">
        <f>SUMIFS(tblActuals35415192327[Team 2 Points],tblActuals35415192327[Team 2],$CU25,tblActuals35415192327[Team 1],DD$3)+SUMIFS(tblActuals35415192327[Team 1 Points],tblActuals35415192327[Team 1],$CU25,tblActuals35415192327[Team 2],DD$3)</f>
        <v>0</v>
      </c>
      <c r="DE25" s="56">
        <f>SUMIFS(tblActuals35415192327[Team 2 Points],tblActuals35415192327[Team 2],$CU25,tblActuals35415192327[Team 1],DE$3)+SUMIFS(tblActuals35415192327[Team 1 Points],tblActuals35415192327[Team 1],$CU25,tblActuals35415192327[Team 2],DE$3)</f>
        <v>0</v>
      </c>
      <c r="DF25" s="56">
        <f>SUMIFS(tblActuals35415192327[Team 2 Points],tblActuals35415192327[Team 2],$CU25,tblActuals35415192327[Team 1],DF$3)+SUMIFS(tblActuals35415192327[Team 1 Points],tblActuals35415192327[Team 1],$CU25,tblActuals35415192327[Team 2],DF$3)</f>
        <v>0</v>
      </c>
      <c r="DG25" s="56">
        <f>SUMIFS(tblActuals35415192327[Team 2 Points],tblActuals35415192327[Team 2],$CU25,tblActuals35415192327[Team 1],DG$3)+SUMIFS(tblActuals35415192327[Team 1 Points],tblActuals35415192327[Team 1],$CU25,tblActuals35415192327[Team 2],DG$3)</f>
        <v>0</v>
      </c>
      <c r="DH25" s="56">
        <f>SUMIFS(tblActuals35415192327[Team 2 Points],tblActuals35415192327[Team 2],$CU25,tblActuals35415192327[Team 1],DH$3)+SUMIFS(tblActuals35415192327[Team 1 Points],tblActuals35415192327[Team 1],$CU25,tblActuals35415192327[Team 2],DH$3)</f>
        <v>0</v>
      </c>
      <c r="DI25" s="56">
        <f>SUMIFS(tblActuals35415192327[Team 2 Points],tblActuals35415192327[Team 2],$CU25,tblActuals35415192327[Team 1],DI$3)+SUMIFS(tblActuals35415192327[Team 1 Points],tblActuals35415192327[Team 1],$CU25,tblActuals35415192327[Team 2],DI$3)</f>
        <v>0</v>
      </c>
      <c r="DJ25" s="56">
        <f>SUMIFS(tblActuals35415192327[Team 2 Points],tblActuals35415192327[Team 2],$CU25,tblActuals35415192327[Team 1],DJ$3)+SUMIFS(tblActuals35415192327[Team 1 Points],tblActuals35415192327[Team 1],$CU25,tblActuals35415192327[Team 2],DJ$3)</f>
        <v>0</v>
      </c>
      <c r="DK25" s="56">
        <f>SUMIFS(tblActuals35415192327[Team 2 Points],tblActuals35415192327[Team 2],$CU25,tblActuals35415192327[Team 1],DK$3)+SUMIFS(tblActuals35415192327[Team 1 Points],tblActuals35415192327[Team 1],$CU25,tblActuals35415192327[Team 2],DK$3)</f>
        <v>0</v>
      </c>
      <c r="DL25" s="56">
        <f>SUMIFS(tblActuals35415192327[Team 2 Points],tblActuals35415192327[Team 2],$CU25,tblActuals35415192327[Team 1],DL$3)+SUMIFS(tblActuals35415192327[Team 1 Points],tblActuals35415192327[Team 1],$CU25,tblActuals35415192327[Team 2],DL$3)</f>
        <v>0</v>
      </c>
      <c r="DM25" s="56">
        <f>SUMIFS(tblActuals35415192327[Team 2 Points],tblActuals35415192327[Team 2],$CU25,tblActuals35415192327[Team 1],DM$3)+SUMIFS(tblActuals35415192327[Team 1 Points],tblActuals35415192327[Team 1],$CU25,tblActuals35415192327[Team 2],DM$3)</f>
        <v>0</v>
      </c>
      <c r="DN25" s="56">
        <f>SUMIFS(tblActuals35415192327[Team 2 Points],tblActuals35415192327[Team 2],$CU25,tblActuals35415192327[Team 1],DN$3)+SUMIFS(tblActuals35415192327[Team 1 Points],tblActuals35415192327[Team 1],$CU25,tblActuals35415192327[Team 2],DN$3)</f>
        <v>0</v>
      </c>
      <c r="DO25" s="56">
        <f>SUMIFS(tblActuals35415192327[Team 2 Points],tblActuals35415192327[Team 2],$CU25,tblActuals35415192327[Team 1],DO$3)+SUMIFS(tblActuals35415192327[Team 1 Points],tblActuals35415192327[Team 1],$CU25,tblActuals35415192327[Team 2],DO$3)</f>
        <v>0</v>
      </c>
      <c r="DP25" s="56">
        <f>SUMIFS(tblActuals35415192327[Team 2 Points],tblActuals35415192327[Team 2],$CU25,tblActuals35415192327[Team 1],DP$3)+SUMIFS(tblActuals35415192327[Team 1 Points],tblActuals35415192327[Team 1],$CU25,tblActuals35415192327[Team 2],DP$3)</f>
        <v>0</v>
      </c>
      <c r="DQ25" s="56">
        <f>SUMIFS(tblActuals35415192327[Team 2 Points],tblActuals35415192327[Team 2],$CU25,tblActuals35415192327[Team 1],DQ$3)+SUMIFS(tblActuals35415192327[Team 1 Points],tblActuals35415192327[Team 1],$CU25,tblActuals35415192327[Team 2],DQ$3)</f>
        <v>0</v>
      </c>
      <c r="DR25" s="56">
        <f>SUMIFS(tblActuals35415192327[Team 2 Points],tblActuals35415192327[Team 2],$CU25,tblActuals35415192327[Team 1],DR$3)+SUMIFS(tblActuals35415192327[Team 1 Points],tblActuals35415192327[Team 1],$CU25,tblActuals35415192327[Team 2],DR$3)</f>
        <v>0</v>
      </c>
      <c r="DS25" s="56">
        <f>SUMIFS(tblActuals35415192327[Team 2 Points],tblActuals35415192327[Team 2],$CU25,tblActuals35415192327[Team 1],DS$3)+SUMIFS(tblActuals35415192327[Team 1 Points],tblActuals35415192327[Team 1],$CU25,tblActuals35415192327[Team 2],DS$3)</f>
        <v>0</v>
      </c>
      <c r="DT25" s="57"/>
      <c r="DU25" s="57"/>
      <c r="DV25" s="57"/>
      <c r="DW25" s="57"/>
      <c r="DX25" s="57"/>
      <c r="DY25" s="57"/>
      <c r="DZ25" s="57"/>
      <c r="EA25" s="57"/>
      <c r="EB25" s="4"/>
      <c r="EC25" s="4" t="s">
        <v>134</v>
      </c>
      <c r="ED25" s="56">
        <f>SUMIFS(tblActuals35415192327[Team 2 GD],tblActuals35415192327[Team 2],$CU25,tblActuals35415192327[Team 1],ED$3)+SUMIFS(tblActuals35415192327[Team 1 GD],tblActuals35415192327[Team 1],$CU25,tblActuals35415192327[Team 2],ED$3)</f>
        <v>0</v>
      </c>
      <c r="EE25" s="56">
        <f>SUMIFS(tblActuals35415192327[Team 2 GD],tblActuals35415192327[Team 2],$CU25,tblActuals35415192327[Team 1],EE$3)+SUMIFS(tblActuals35415192327[Team 1 GD],tblActuals35415192327[Team 1],$CU25,tblActuals35415192327[Team 2],EE$3)</f>
        <v>0</v>
      </c>
      <c r="EF25" s="56">
        <f>SUMIFS(tblActuals35415192327[Team 2 GD],tblActuals35415192327[Team 2],$CU25,tblActuals35415192327[Team 1],EF$3)+SUMIFS(tblActuals35415192327[Team 1 GD],tblActuals35415192327[Team 1],$CU25,tblActuals35415192327[Team 2],EF$3)</f>
        <v>0</v>
      </c>
      <c r="EG25" s="56">
        <f>SUMIFS(tblActuals35415192327[Team 2 GD],tblActuals35415192327[Team 2],$CU25,tblActuals35415192327[Team 1],EG$3)+SUMIFS(tblActuals35415192327[Team 1 GD],tblActuals35415192327[Team 1],$CU25,tblActuals35415192327[Team 2],EG$3)</f>
        <v>0</v>
      </c>
      <c r="EH25" s="56">
        <f>SUMIFS(tblActuals35415192327[Team 2 GD],tblActuals35415192327[Team 2],$CU25,tblActuals35415192327[Team 1],EH$3)+SUMIFS(tblActuals35415192327[Team 1 GD],tblActuals35415192327[Team 1],$CU25,tblActuals35415192327[Team 2],EH$3)</f>
        <v>0</v>
      </c>
      <c r="EI25" s="56">
        <f>SUMIFS(tblActuals35415192327[Team 2 GD],tblActuals35415192327[Team 2],$CU25,tblActuals35415192327[Team 1],EI$3)+SUMIFS(tblActuals35415192327[Team 1 GD],tblActuals35415192327[Team 1],$CU25,tblActuals35415192327[Team 2],EI$3)</f>
        <v>0</v>
      </c>
      <c r="EJ25" s="56">
        <f>SUMIFS(tblActuals35415192327[Team 2 GD],tblActuals35415192327[Team 2],$CU25,tblActuals35415192327[Team 1],EJ$3)+SUMIFS(tblActuals35415192327[Team 1 GD],tblActuals35415192327[Team 1],$CU25,tblActuals35415192327[Team 2],EJ$3)</f>
        <v>0</v>
      </c>
      <c r="EK25" s="56">
        <f>SUMIFS(tblActuals35415192327[Team 2 GD],tblActuals35415192327[Team 2],$CU25,tblActuals35415192327[Team 1],EK$3)+SUMIFS(tblActuals35415192327[Team 1 GD],tblActuals35415192327[Team 1],$CU25,tblActuals35415192327[Team 2],EK$3)</f>
        <v>0</v>
      </c>
      <c r="EL25" s="56">
        <f>SUMIFS(tblActuals35415192327[Team 2 GD],tblActuals35415192327[Team 2],$CU25,tblActuals35415192327[Team 1],EL$3)+SUMIFS(tblActuals35415192327[Team 1 GD],tblActuals35415192327[Team 1],$CU25,tblActuals35415192327[Team 2],EL$3)</f>
        <v>0</v>
      </c>
      <c r="EM25" s="56">
        <f>SUMIFS(tblActuals35415192327[Team 2 GD],tblActuals35415192327[Team 2],$CU25,tblActuals35415192327[Team 1],EM$3)+SUMIFS(tblActuals35415192327[Team 1 GD],tblActuals35415192327[Team 1],$CU25,tblActuals35415192327[Team 2],EM$3)</f>
        <v>0</v>
      </c>
      <c r="EN25" s="56">
        <f>SUMIFS(tblActuals35415192327[Team 2 GD],tblActuals35415192327[Team 2],$CU25,tblActuals35415192327[Team 1],EN$3)+SUMIFS(tblActuals35415192327[Team 1 GD],tblActuals35415192327[Team 1],$CU25,tblActuals35415192327[Team 2],EN$3)</f>
        <v>0</v>
      </c>
      <c r="EO25" s="56">
        <f>SUMIFS(tblActuals35415192327[Team 2 GD],tblActuals35415192327[Team 2],$CU25,tblActuals35415192327[Team 1],EO$3)+SUMIFS(tblActuals35415192327[Team 1 GD],tblActuals35415192327[Team 1],$CU25,tblActuals35415192327[Team 2],EO$3)</f>
        <v>0</v>
      </c>
      <c r="EP25" s="56">
        <f>SUMIFS(tblActuals35415192327[Team 2 GD],tblActuals35415192327[Team 2],$CU25,tblActuals35415192327[Team 1],EP$3)+SUMIFS(tblActuals35415192327[Team 1 GD],tblActuals35415192327[Team 1],$CU25,tblActuals35415192327[Team 2],EP$3)</f>
        <v>0</v>
      </c>
      <c r="EQ25" s="56">
        <f>SUMIFS(tblActuals35415192327[Team 2 GD],tblActuals35415192327[Team 2],$CU25,tblActuals35415192327[Team 1],EQ$3)+SUMIFS(tblActuals35415192327[Team 1 GD],tblActuals35415192327[Team 1],$CU25,tblActuals35415192327[Team 2],EQ$3)</f>
        <v>0</v>
      </c>
      <c r="ER25" s="56">
        <f>SUMIFS(tblActuals35415192327[Team 2 GD],tblActuals35415192327[Team 2],$CU25,tblActuals35415192327[Team 1],ER$3)+SUMIFS(tblActuals35415192327[Team 1 GD],tblActuals35415192327[Team 1],$CU25,tblActuals35415192327[Team 2],ER$3)</f>
        <v>0</v>
      </c>
      <c r="ES25" s="56">
        <f>SUMIFS(tblActuals35415192327[Team 2 GD],tblActuals35415192327[Team 2],$CU25,tblActuals35415192327[Team 1],ES$3)+SUMIFS(tblActuals35415192327[Team 1 GD],tblActuals35415192327[Team 1],$CU25,tblActuals35415192327[Team 2],ES$3)</f>
        <v>0</v>
      </c>
      <c r="ET25" s="56">
        <f>SUMIFS(tblActuals35415192327[Team 2 GD],tblActuals35415192327[Team 2],$CU25,tblActuals35415192327[Team 1],ET$3)+SUMIFS(tblActuals35415192327[Team 1 GD],tblActuals35415192327[Team 1],$CU25,tblActuals35415192327[Team 2],ET$3)</f>
        <v>0</v>
      </c>
      <c r="EU25" s="56">
        <f>SUMIFS(tblActuals35415192327[Team 2 GD],tblActuals35415192327[Team 2],$CU25,tblActuals35415192327[Team 1],EU$3)+SUMIFS(tblActuals35415192327[Team 1 GD],tblActuals35415192327[Team 1],$CU25,tblActuals35415192327[Team 2],EU$3)</f>
        <v>0</v>
      </c>
      <c r="EV25" s="56">
        <f>SUMIFS(tblActuals35415192327[Team 2 GD],tblActuals35415192327[Team 2],$CU25,tblActuals35415192327[Team 1],EV$3)+SUMIFS(tblActuals35415192327[Team 1 GD],tblActuals35415192327[Team 1],$CU25,tblActuals35415192327[Team 2],EV$3)</f>
        <v>0</v>
      </c>
      <c r="EW25" s="56">
        <f>SUMIFS(tblActuals35415192327[Team 2 GD],tblActuals35415192327[Team 2],$CU25,tblActuals35415192327[Team 1],EW$3)+SUMIFS(tblActuals35415192327[Team 1 GD],tblActuals35415192327[Team 1],$CU25,tblActuals35415192327[Team 2],EW$3)</f>
        <v>0</v>
      </c>
      <c r="EX25" s="56">
        <f>SUMIFS(tblActuals35415192327[Team 2 GD],tblActuals35415192327[Team 2],$CU25,tblActuals35415192327[Team 1],EX$3)+SUMIFS(tblActuals35415192327[Team 1 GD],tblActuals35415192327[Team 1],$CU25,tblActuals35415192327[Team 2],EX$3)</f>
        <v>0</v>
      </c>
      <c r="EY25" s="56">
        <f>SUMIFS(tblActuals35415192327[Team 2 GD],tblActuals35415192327[Team 2],$CU25,tblActuals35415192327[Team 1],EY$3)+SUMIFS(tblActuals35415192327[Team 1 GD],tblActuals35415192327[Team 1],$CU25,tblActuals35415192327[Team 2],EY$3)</f>
        <v>0</v>
      </c>
      <c r="EZ25" s="56">
        <f>SUMIFS(tblActuals35415192327[Team 2 GD],tblActuals35415192327[Team 2],$CU25,tblActuals35415192327[Team 1],EZ$3)+SUMIFS(tblActuals35415192327[Team 1 GD],tblActuals35415192327[Team 1],$CU25,tblActuals35415192327[Team 2],EZ$3)</f>
        <v>0</v>
      </c>
      <c r="FA25" s="56">
        <f>SUMIFS(tblActuals35415192327[Team 2 GD],tblActuals35415192327[Team 2],$CU25,tblActuals35415192327[Team 1],FA$3)+SUMIFS(tblActuals35415192327[Team 1 GD],tblActuals35415192327[Team 1],$CU25,tblActuals35415192327[Team 2],FA$3)</f>
        <v>0</v>
      </c>
      <c r="FB25" s="57"/>
      <c r="FC25" s="57"/>
      <c r="FD25" s="57"/>
      <c r="FE25" s="57"/>
      <c r="FF25" s="57"/>
      <c r="FG25" s="57"/>
      <c r="FH25" s="57"/>
      <c r="FI25" s="57"/>
      <c r="FJ25" s="4"/>
      <c r="FK25" s="4" t="s">
        <v>134</v>
      </c>
      <c r="FL25" s="56">
        <f>SUMIFS(tblActuals35415192327[Team 2 Goals],tblActuals35415192327[Team 2],$CU25,tblActuals35415192327[Team 1],FL$3)+SUMIFS(tblActuals35415192327[Team 1 Goals],tblActuals35415192327[Team 1],$CU25,tblActuals35415192327[Team 2],FL$3)</f>
        <v>0</v>
      </c>
      <c r="FM25" s="56">
        <f>SUMIFS(tblActuals35415192327[Team 2 Goals],tblActuals35415192327[Team 2],$CU25,tblActuals35415192327[Team 1],FM$3)+SUMIFS(tblActuals35415192327[Team 1 Goals],tblActuals35415192327[Team 1],$CU25,tblActuals35415192327[Team 2],FM$3)</f>
        <v>0</v>
      </c>
      <c r="FN25" s="56">
        <f>SUMIFS(tblActuals35415192327[Team 2 Goals],tblActuals35415192327[Team 2],$CU25,tblActuals35415192327[Team 1],FN$3)+SUMIFS(tblActuals35415192327[Team 1 Goals],tblActuals35415192327[Team 1],$CU25,tblActuals35415192327[Team 2],FN$3)</f>
        <v>0</v>
      </c>
      <c r="FO25" s="56">
        <f>SUMIFS(tblActuals35415192327[Team 2 Goals],tblActuals35415192327[Team 2],$CU25,tblActuals35415192327[Team 1],FO$3)+SUMIFS(tblActuals35415192327[Team 1 Goals],tblActuals35415192327[Team 1],$CU25,tblActuals35415192327[Team 2],FO$3)</f>
        <v>0</v>
      </c>
      <c r="FP25" s="56">
        <f>SUMIFS(tblActuals35415192327[Team 2 Goals],tblActuals35415192327[Team 2],$CU25,tblActuals35415192327[Team 1],FP$3)+SUMIFS(tblActuals35415192327[Team 1 Goals],tblActuals35415192327[Team 1],$CU25,tblActuals35415192327[Team 2],FP$3)</f>
        <v>0</v>
      </c>
      <c r="FQ25" s="56">
        <f>SUMIFS(tblActuals35415192327[Team 2 Goals],tblActuals35415192327[Team 2],$CU25,tblActuals35415192327[Team 1],FQ$3)+SUMIFS(tblActuals35415192327[Team 1 Goals],tblActuals35415192327[Team 1],$CU25,tblActuals35415192327[Team 2],FQ$3)</f>
        <v>0</v>
      </c>
      <c r="FR25" s="56">
        <f>SUMIFS(tblActuals35415192327[Team 2 Goals],tblActuals35415192327[Team 2],$CU25,tblActuals35415192327[Team 1],FR$3)+SUMIFS(tblActuals35415192327[Team 1 Goals],tblActuals35415192327[Team 1],$CU25,tblActuals35415192327[Team 2],FR$3)</f>
        <v>0</v>
      </c>
      <c r="FS25" s="56">
        <f>SUMIFS(tblActuals35415192327[Team 2 Goals],tblActuals35415192327[Team 2],$CU25,tblActuals35415192327[Team 1],FS$3)+SUMIFS(tblActuals35415192327[Team 1 Goals],tblActuals35415192327[Team 1],$CU25,tblActuals35415192327[Team 2],FS$3)</f>
        <v>0</v>
      </c>
      <c r="FT25" s="56">
        <f>SUMIFS(tblActuals35415192327[Team 2 Goals],tblActuals35415192327[Team 2],$CU25,tblActuals35415192327[Team 1],FT$3)+SUMIFS(tblActuals35415192327[Team 1 Goals],tblActuals35415192327[Team 1],$CU25,tblActuals35415192327[Team 2],FT$3)</f>
        <v>0</v>
      </c>
      <c r="FU25" s="56">
        <f>SUMIFS(tblActuals35415192327[Team 2 Goals],tblActuals35415192327[Team 2],$CU25,tblActuals35415192327[Team 1],FU$3)+SUMIFS(tblActuals35415192327[Team 1 Goals],tblActuals35415192327[Team 1],$CU25,tblActuals35415192327[Team 2],FU$3)</f>
        <v>0</v>
      </c>
      <c r="FV25" s="56">
        <f>SUMIFS(tblActuals35415192327[Team 2 Goals],tblActuals35415192327[Team 2],$CU25,tblActuals35415192327[Team 1],FV$3)+SUMIFS(tblActuals35415192327[Team 1 Goals],tblActuals35415192327[Team 1],$CU25,tblActuals35415192327[Team 2],FV$3)</f>
        <v>0</v>
      </c>
      <c r="FW25" s="56">
        <f>SUMIFS(tblActuals35415192327[Team 2 Goals],tblActuals35415192327[Team 2],$CU25,tblActuals35415192327[Team 1],FW$3)+SUMIFS(tblActuals35415192327[Team 1 Goals],tblActuals35415192327[Team 1],$CU25,tblActuals35415192327[Team 2],FW$3)</f>
        <v>0</v>
      </c>
      <c r="FX25" s="56">
        <f>SUMIFS(tblActuals35415192327[Team 2 Goals],tblActuals35415192327[Team 2],$CU25,tblActuals35415192327[Team 1],FX$3)+SUMIFS(tblActuals35415192327[Team 1 Goals],tblActuals35415192327[Team 1],$CU25,tblActuals35415192327[Team 2],FX$3)</f>
        <v>0</v>
      </c>
      <c r="FY25" s="56">
        <f>SUMIFS(tblActuals35415192327[Team 2 Goals],tblActuals35415192327[Team 2],$CU25,tblActuals35415192327[Team 1],FY$3)+SUMIFS(tblActuals35415192327[Team 1 Goals],tblActuals35415192327[Team 1],$CU25,tblActuals35415192327[Team 2],FY$3)</f>
        <v>0</v>
      </c>
      <c r="FZ25" s="56">
        <f>SUMIFS(tblActuals35415192327[Team 2 Goals],tblActuals35415192327[Team 2],$CU25,tblActuals35415192327[Team 1],FZ$3)+SUMIFS(tblActuals35415192327[Team 1 Goals],tblActuals35415192327[Team 1],$CU25,tblActuals35415192327[Team 2],FZ$3)</f>
        <v>0</v>
      </c>
      <c r="GA25" s="56">
        <f>SUMIFS(tblActuals35415192327[Team 2 Goals],tblActuals35415192327[Team 2],$CU25,tblActuals35415192327[Team 1],GA$3)+SUMIFS(tblActuals35415192327[Team 1 Goals],tblActuals35415192327[Team 1],$CU25,tblActuals35415192327[Team 2],GA$3)</f>
        <v>0</v>
      </c>
      <c r="GB25" s="56">
        <f>SUMIFS(tblActuals35415192327[Team 2 Goals],tblActuals35415192327[Team 2],$CU25,tblActuals35415192327[Team 1],GB$3)+SUMIFS(tblActuals35415192327[Team 1 Goals],tblActuals35415192327[Team 1],$CU25,tblActuals35415192327[Team 2],GB$3)</f>
        <v>0</v>
      </c>
      <c r="GC25" s="56">
        <f>SUMIFS(tblActuals35415192327[Team 2 Goals],tblActuals35415192327[Team 2],$CU25,tblActuals35415192327[Team 1],GC$3)+SUMIFS(tblActuals35415192327[Team 1 Goals],tblActuals35415192327[Team 1],$CU25,tblActuals35415192327[Team 2],GC$3)</f>
        <v>0</v>
      </c>
      <c r="GD25" s="56">
        <f>SUMIFS(tblActuals35415192327[Team 2 Goals],tblActuals35415192327[Team 2],$CU25,tblActuals35415192327[Team 1],GD$3)+SUMIFS(tblActuals35415192327[Team 1 Goals],tblActuals35415192327[Team 1],$CU25,tblActuals35415192327[Team 2],GD$3)</f>
        <v>0</v>
      </c>
      <c r="GE25" s="56">
        <f>SUMIFS(tblActuals35415192327[Team 2 Goals],tblActuals35415192327[Team 2],$CU25,tblActuals35415192327[Team 1],GE$3)+SUMIFS(tblActuals35415192327[Team 1 Goals],tblActuals35415192327[Team 1],$CU25,tblActuals35415192327[Team 2],GE$3)</f>
        <v>0</v>
      </c>
      <c r="GF25" s="56">
        <f>SUMIFS(tblActuals35415192327[Team 2 Goals],tblActuals35415192327[Team 2],$CU25,tblActuals35415192327[Team 1],GF$3)+SUMIFS(tblActuals35415192327[Team 1 Goals],tblActuals35415192327[Team 1],$CU25,tblActuals35415192327[Team 2],GF$3)</f>
        <v>0</v>
      </c>
      <c r="GG25" s="56">
        <f>SUMIFS(tblActuals35415192327[Team 2 Goals],tblActuals35415192327[Team 2],$CU25,tblActuals35415192327[Team 1],GG$3)+SUMIFS(tblActuals35415192327[Team 1 Goals],tblActuals35415192327[Team 1],$CU25,tblActuals35415192327[Team 2],GG$3)</f>
        <v>0</v>
      </c>
      <c r="GH25" s="56">
        <f>SUMIFS(tblActuals35415192327[Team 2 Goals],tblActuals35415192327[Team 2],$CU25,tblActuals35415192327[Team 1],GH$3)+SUMIFS(tblActuals35415192327[Team 1 Goals],tblActuals35415192327[Team 1],$CU25,tblActuals35415192327[Team 2],GH$3)</f>
        <v>0</v>
      </c>
      <c r="GI25" s="56">
        <f>SUMIFS(tblActuals35415192327[Team 2 Goals],tblActuals35415192327[Team 2],$CU25,tblActuals35415192327[Team 1],GI$3)+SUMIFS(tblActuals35415192327[Team 1 Goals],tblActuals35415192327[Team 1],$CU25,tblActuals35415192327[Team 2],GI$3)</f>
        <v>0</v>
      </c>
      <c r="GJ25" s="57"/>
      <c r="GK25" s="57"/>
      <c r="GL25" s="37"/>
      <c r="GM25" s="37"/>
      <c r="GN25" s="37"/>
      <c r="GO25" s="37"/>
      <c r="GP25" s="37"/>
      <c r="GQ25" s="37"/>
      <c r="GR25" s="75"/>
      <c r="GS25" s="148"/>
      <c r="GT25" s="148"/>
      <c r="GU25" s="75"/>
      <c r="GV25" s="75"/>
      <c r="GW25" s="75"/>
      <c r="GX25" s="75"/>
      <c r="GY25" s="75"/>
      <c r="GZ25" s="75"/>
    </row>
    <row r="26" spans="1:221" s="11" customFormat="1" ht="30" customHeight="1" x14ac:dyDescent="0.25">
      <c r="A26" s="20"/>
      <c r="B26" s="122">
        <v>23</v>
      </c>
      <c r="C26" s="122" t="s">
        <v>45</v>
      </c>
      <c r="D26" s="123">
        <v>45465</v>
      </c>
      <c r="E26" s="122" t="s">
        <v>81</v>
      </c>
      <c r="F26" s="124">
        <v>0.75</v>
      </c>
      <c r="G26" s="125">
        <f t="shared" si="11"/>
        <v>45465.5</v>
      </c>
      <c r="H26" s="122" t="s">
        <v>111</v>
      </c>
      <c r="I26" s="126"/>
      <c r="J26" s="118"/>
      <c r="K26" s="118"/>
      <c r="L26" s="174">
        <f>IF(I26="",0,IFERROR(IF(SCORING.RULES!$C$8="No",1,((VLOOKUP($B26,ACTUALS!$B$4:$L$100,7,FALSE)=$H26)+(VLOOKUP($B26,ACTUALS!$B$4:$L$100,7,FALSE)=S26)))*(M26+N26+O26+P26+Q26),0))+$R26</f>
        <v>0</v>
      </c>
      <c r="M26" s="168">
        <f>IFERROR(IF($B26="","",IF(U26=INDEX(ACTUALS!$AA$4:$AA$100,MATCH($B26,ACTUALS!$B$4:$B$100,0),1),CorrectScore,0)),0)</f>
        <v>0</v>
      </c>
      <c r="N26" s="157" t="str">
        <f>IFERROR(IF(I26="","",IF(INDEX(ACTUALS!$AB$4:$AB$100,MATCH($B26,ACTUALS!$B$4:$B$100,0),1)=(AB26+AC26+AH26+AI26),CorrectNumberofGoals,0)),0)</f>
        <v/>
      </c>
      <c r="O26" s="157"/>
      <c r="P26" s="157">
        <f>IFERROR(IF(B26="","",IF(INDEX(ACTUALS!$L$4:$L$100,MATCH($B26,ACTUALS!$B$4:$B$100,0),1)=W26,CorrectResult,0)),0)</f>
        <v>3</v>
      </c>
      <c r="Q26" s="157"/>
      <c r="R26" s="157"/>
      <c r="S26" s="157" t="str">
        <f t="shared" si="0"/>
        <v/>
      </c>
      <c r="T26" s="157"/>
      <c r="U26" s="157" t="str">
        <f t="shared" si="1"/>
        <v/>
      </c>
      <c r="V26" s="157" t="str">
        <f t="shared" si="2"/>
        <v/>
      </c>
      <c r="W26" s="119" t="str">
        <f>IF(tblActuals35415192327[[#This Row],[SCORE]]="","",IF(AB26=AC26,"Draw",IF(AB26&gt;AC26,X26,Y26)))</f>
        <v/>
      </c>
      <c r="X26" s="120" t="str">
        <f>IF(tblActuals35415192327[[#This Row],[TEAMS]]="","",LEFT(H26,FIND(" -",H26,1)-1))</f>
        <v>Turkey</v>
      </c>
      <c r="Y26" s="120" t="str">
        <f>IF(tblActuals35415192327[[#This Row],[TEAMS]]="","",MID(H26,FIND("-",H26,1)+2,LEN(H26)-FIND("-",H26,1)+2))</f>
        <v>Portugal</v>
      </c>
      <c r="Z26" s="120" t="str">
        <f>IF(tblActuals35415192327[[#This Row],[Team 1 Goals]]&gt;tblActuals35415192327[[#This Row],[Team 2 Goals]],tblActuals35415192327[[#This Row],[Team 1]],IF(tblActuals35415192327[[#This Row],[Team 2 Goals]]&gt;tblActuals35415192327[[#This Row],[Team 1 Goals]],tblActuals35415192327[[#This Row],[Team 2]],""))</f>
        <v/>
      </c>
      <c r="AA26" s="120" t="str">
        <f>IF(tblActuals35415192327[[#This Row],[Winner]]=tblActuals35415192327[[#This Row],[Team 1]],tblActuals35415192327[[#This Row],[Team 2]],IF(tblActuals35415192327[[#This Row],[Winner]]=tblActuals35415192327[[#This Row],[Team 2]],tblActuals35415192327[[#This Row],[Team 1]],""))</f>
        <v/>
      </c>
      <c r="AB26" s="120" t="str">
        <f>IF(tblActuals35415192327[[#This Row],[SCORE]]="","",LEFT(I26,FIND(":",I26,1)-1)*1)</f>
        <v/>
      </c>
      <c r="AC26" s="120" t="str">
        <f>IF(tblActuals35415192327[[#This Row],[SCORE]]="","",MID(I26,FIND(":",I26,1)+1,LEN(I26)-FIND(":",I26,1)+1)*1)</f>
        <v/>
      </c>
      <c r="AD26" s="120" t="str">
        <f>IF(OR(tblActuals35415192327[[#This Row],[Team 1 Goals]]="",tblActuals35415192327[[#This Row],[Team 2 Goals]]=""),"",tblActuals35415192327[[#This Row],[Team 1 Goals]]-tblActuals35415192327[[#This Row],[Team 2 Goals]])</f>
        <v/>
      </c>
      <c r="AE26" s="120" t="str">
        <f>IF(OR(tblActuals35415192327[[#This Row],[Team 1 Goals]]="",tblActuals35415192327[[#This Row],[Team 2 Goals]]=""),"",tblActuals35415192327[[#This Row],[Team 2 Goals]]-tblActuals35415192327[[#This Row],[Team 1 Goals]])</f>
        <v/>
      </c>
      <c r="AF26" s="120" t="str">
        <f>IF(tblActuals35415192327[[#This Row],[SCORE]]="","",IF(tblActuals35415192327[[#This Row],[WINNER / RESULT]]="Draw",1,IF(tblActuals35415192327[[#This Row],[WINNER / RESULT]]=tblActuals35415192327[[#This Row],[Team 1]],3,0)))</f>
        <v/>
      </c>
      <c r="AG26" s="120" t="str">
        <f>IF(tblActuals35415192327[[#This Row],[SCORE]]="","",IF(tblActuals35415192327[[#This Row],[WINNER / RESULT]]="Draw",1,IF(tblActuals35415192327[[#This Row],[WINNER / RESULT]]=tblActuals35415192327[[#This Row],[Team 2]],3,0)))</f>
        <v/>
      </c>
      <c r="AH26" s="121"/>
      <c r="AI26" s="121"/>
      <c r="AJ26" s="121"/>
      <c r="AK26" s="121"/>
      <c r="AL26" s="120" t="e">
        <f>tblActuals35415192327[[#This Row],[Team 1 Goals]]+tblActuals35415192327[[#This Row],[Team 1 ET Goals]]&amp;":"&amp;tblActuals35415192327[[#This Row],[Team 2 Goals]]+tblActuals35415192327[[#This Row],[Team 2 ET Goals]]</f>
        <v>#VALUE!</v>
      </c>
      <c r="AM26" s="120" t="e">
        <f>+tblActuals35415192327[[#This Row],[Team 1 Goals]]+tblActuals35415192327[[#This Row],[Team 2 Goals]]</f>
        <v>#VALUE!</v>
      </c>
      <c r="AN26" s="161">
        <f t="shared" si="3"/>
        <v>45465</v>
      </c>
      <c r="AT26" s="77" t="s">
        <v>7</v>
      </c>
      <c r="AU26" s="142">
        <v>3</v>
      </c>
      <c r="AV26" s="143" t="str">
        <f ca="1">IFERROR(INDEX(BD:BD,MATCH("3"&amp;AT26,BN:BN,0),1),"")</f>
        <v>Netherlands</v>
      </c>
      <c r="AW26" s="143" t="str">
        <f ca="1">IF(AV26="","",VLOOKUP(AV26,BD:BI,2,FALSE)&amp;"-"&amp;VLOOKUP(AV26,BD:BI,3,FALSE)&amp;"-"&amp;VLOOKUP(AV26,BD:BI,4,FALSE))</f>
        <v>0-0-0</v>
      </c>
      <c r="AX26" s="143">
        <f ca="1">IF(AV26="","",VLOOKUP(AV26,BD:BK,8,FALSE))</f>
        <v>0</v>
      </c>
      <c r="AY26" s="144">
        <f ca="1">IF(AV26="","",VLOOKUP(AV26,BD:BN,5,FALSE))</f>
        <v>0</v>
      </c>
      <c r="AZ26" s="75" t="str">
        <f ca="1">IF(INDEX($AU$43:$AU$48,MATCH(AV26,$AV$43:$AV$48,0),1)&lt;=4,"X","")</f>
        <v>X</v>
      </c>
      <c r="BA26" s="4"/>
      <c r="BB26" s="4"/>
      <c r="BC26" s="4" t="s">
        <v>12</v>
      </c>
      <c r="BD26" s="4" t="s">
        <v>130</v>
      </c>
      <c r="BE26" s="4">
        <f>COUNTIF(tblActuals35415192327[Winner],BD26)</f>
        <v>0</v>
      </c>
      <c r="BF26" s="4">
        <f>COUNTIFS(tblActuals35415192327[Team 2],BD26,tblActuals35415192327[WINNER / RESULT],"Draw")+COUNTIFS(tblActuals35415192327[Team 1],BD26,tblActuals35415192327[WINNER / RESULT],"Draw")</f>
        <v>0</v>
      </c>
      <c r="BG26" s="4">
        <f>COUNTIF(tblActuals35415192327[Loser],BD26)</f>
        <v>0</v>
      </c>
      <c r="BH26" s="4">
        <f>BF26+(3*BE26)</f>
        <v>0</v>
      </c>
      <c r="BI26" s="4">
        <f>SUMIFS(tblActuals35415192327[Team 1 Goals],tblActuals35415192327[Team 1],BD26)+SUMIFS(tblActuals35415192327[Team 2 Goals],tblActuals35415192327[Team 2],BD26)</f>
        <v>0</v>
      </c>
      <c r="BJ26" s="4">
        <f>SUMIFS(tblActuals35415192327[Team 2 Goals],tblActuals35415192327[Team 1],BD26)+SUMIFS(tblActuals35415192327[Team 1 Goals],tblActuals35415192327[Team 2],BD26)</f>
        <v>0</v>
      </c>
      <c r="BK26" s="4">
        <f>BI26-BJ26</f>
        <v>0</v>
      </c>
      <c r="BL26" s="4">
        <f ca="1">RANK(BY26,$BY$24:$BY$27,1)</f>
        <v>3</v>
      </c>
      <c r="BM26" s="4" t="str">
        <f t="shared" si="4"/>
        <v/>
      </c>
      <c r="BN26" s="4" t="str">
        <f ca="1">IF(BM26="",BL26&amp;BC26,BM26&amp;BC26)</f>
        <v>3E</v>
      </c>
      <c r="BO26" s="4">
        <f>RANK(BH26,$BH$24:$BH$27,0)</f>
        <v>1</v>
      </c>
      <c r="BP26" s="4" cm="1">
        <f t="array" aca="1" ref="BP26" ca="1">SUMPRODUCT((OFFSET($CV$3:$EA$3,MATCH($BD26,$CU$4:$CU$35,0),0))*((IF($BO24=$BO26,$CV$3:$EA$3=$BD24,0))+(IF($BO27=$BO26,$CV$3:$EA$3=$BD27,0))+(IF($BO25=$BO26,$CV$3:$EA$3=$BD25,0))))</f>
        <v>0</v>
      </c>
      <c r="BQ26" s="4" cm="1">
        <f t="array" aca="1" ref="BQ26" ca="1">SUMPRODUCT((OFFSET($ED$3:$FI$3,MATCH($BD26,$EC$4:$EC$35,0),0))*((IF($BO24=$BO26,$ED$3:$FI$3=$BD24,0))+(IF($BO27=$BO26,$ED$3:$FI$3=$BD27,0))+(IF($BO25=$BO26,$ED$3:$FI$3=$BD25,0))))</f>
        <v>0</v>
      </c>
      <c r="BR26" s="4" cm="1">
        <f t="array" aca="1" ref="BR26" ca="1">SUMPRODUCT((OFFSET($FL$3:$GQ$3,MATCH($BD26,$FK$4:$FK$35,0),0))*((IF($BO24=$BO26,$FL$3:$GQ$3=$BD24,0))+(IF($BO27=$BO26,$FL$3:$GQ$3=$BD27,0))+(IF($BO25=$BO26,$FL$3:$GQ$3=$BD25,0))))</f>
        <v>0</v>
      </c>
      <c r="BS26" s="4" cm="1">
        <f t="array" aca="1" ref="BS26" ca="1">SUMPRODUCT((OFFSET($CV$3:$EA$3,MATCH($BD26,$CU$4:$CU$35,0),0))*((IF($BO24&lt;&gt;$BO26,$CV$3:$EA$3=$BD24,0))+(IF($BO27&lt;&gt;$BO26,$CV$3:$EA$3=$BD27,0))+(IF($BO25&lt;&gt;$BO26,$CV$3:$EA$3=$BD25,0))))</f>
        <v>0</v>
      </c>
      <c r="BT26" s="4" cm="1">
        <f t="array" aca="1" ref="BT26" ca="1">SUMPRODUCT((OFFSET($ED$3:$FI$3,MATCH($BD26,$EC$4:$EC$35,0),0))*((IF($BO24&lt;&gt;$BO26,$ED$3:$FI$3=$BD24,0))+(IF($BO27&lt;&gt;$BO26,$ED$3:$FI$3=$BD27,0))+(IF($BO25&lt;&gt;$BO26,$ED$3:$FI$3=$BD25,0))))</f>
        <v>0</v>
      </c>
      <c r="BU26" s="4" cm="1">
        <f t="array" aca="1" ref="BU26" ca="1">SUMPRODUCT((OFFSET($FL$3:$GQ$3,MATCH($BD26,$FK$4:$FK$35,0),0))*((IF($BO24&lt;&gt;$BO26,$FL$3:$GQ$3=$BD24,0))+(IF($BO27&lt;&gt;$BO26,$FL$3:$GQ$3=$BD27,0))+(IF($BO25&lt;&gt;$BO26,$FL$3:$GQ$3=$BD25,0))))</f>
        <v>0</v>
      </c>
      <c r="BV26" s="4">
        <f>BK26</f>
        <v>0</v>
      </c>
      <c r="BW26" s="4">
        <f>BI26</f>
        <v>0</v>
      </c>
      <c r="BX26" s="4">
        <f ca="1">(BP26/10)+(BQ26/100)+(BR26/1000)+(BT26/10000)+(BU26/100000)+(BV26/1000000)+(BW26/10000000)+(ROW(BS25)/100000000)</f>
        <v>2.4999999999999999E-7</v>
      </c>
      <c r="BY26" s="4">
        <f ca="1">+BO26-BX26</f>
        <v>0.99999974999999997</v>
      </c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U26" s="4" t="s">
        <v>30</v>
      </c>
      <c r="CV26" s="56">
        <f>SUMIFS(tblActuals35415192327[Team 2 Points],tblActuals35415192327[Team 2],$CU26,tblActuals35415192327[Team 1],CV$3)+SUMIFS(tblActuals35415192327[Team 1 Points],tblActuals35415192327[Team 1],$CU26,tblActuals35415192327[Team 2],CV$3)</f>
        <v>0</v>
      </c>
      <c r="CW26" s="56">
        <f>SUMIFS(tblActuals35415192327[Team 2 Points],tblActuals35415192327[Team 2],$CU26,tblActuals35415192327[Team 1],CW$3)+SUMIFS(tblActuals35415192327[Team 1 Points],tblActuals35415192327[Team 1],$CU26,tblActuals35415192327[Team 2],CW$3)</f>
        <v>0</v>
      </c>
      <c r="CX26" s="56">
        <f>SUMIFS(tblActuals35415192327[Team 2 Points],tblActuals35415192327[Team 2],$CU26,tblActuals35415192327[Team 1],CX$3)+SUMIFS(tblActuals35415192327[Team 1 Points],tblActuals35415192327[Team 1],$CU26,tblActuals35415192327[Team 2],CX$3)</f>
        <v>0</v>
      </c>
      <c r="CY26" s="56">
        <f>SUMIFS(tblActuals35415192327[Team 2 Points],tblActuals35415192327[Team 2],$CU26,tblActuals35415192327[Team 1],CY$3)+SUMIFS(tblActuals35415192327[Team 1 Points],tblActuals35415192327[Team 1],$CU26,tblActuals35415192327[Team 2],CY$3)</f>
        <v>0</v>
      </c>
      <c r="CZ26" s="56">
        <f>SUMIFS(tblActuals35415192327[Team 2 Points],tblActuals35415192327[Team 2],$CU26,tblActuals35415192327[Team 1],CZ$3)+SUMIFS(tblActuals35415192327[Team 1 Points],tblActuals35415192327[Team 1],$CU26,tblActuals35415192327[Team 2],CZ$3)</f>
        <v>0</v>
      </c>
      <c r="DA26" s="56">
        <f>SUMIFS(tblActuals35415192327[Team 2 Points],tblActuals35415192327[Team 2],$CU26,tblActuals35415192327[Team 1],DA$3)+SUMIFS(tblActuals35415192327[Team 1 Points],tblActuals35415192327[Team 1],$CU26,tblActuals35415192327[Team 2],DA$3)</f>
        <v>0</v>
      </c>
      <c r="DB26" s="56">
        <f>SUMIFS(tblActuals35415192327[Team 2 Points],tblActuals35415192327[Team 2],$CU26,tblActuals35415192327[Team 1],DB$3)+SUMIFS(tblActuals35415192327[Team 1 Points],tblActuals35415192327[Team 1],$CU26,tblActuals35415192327[Team 2],DB$3)</f>
        <v>0</v>
      </c>
      <c r="DC26" s="56">
        <f>SUMIFS(tblActuals35415192327[Team 2 Points],tblActuals35415192327[Team 2],$CU26,tblActuals35415192327[Team 1],DC$3)+SUMIFS(tblActuals35415192327[Team 1 Points],tblActuals35415192327[Team 1],$CU26,tblActuals35415192327[Team 2],DC$3)</f>
        <v>0</v>
      </c>
      <c r="DD26" s="56">
        <f>SUMIFS(tblActuals35415192327[Team 2 Points],tblActuals35415192327[Team 2],$CU26,tblActuals35415192327[Team 1],DD$3)+SUMIFS(tblActuals35415192327[Team 1 Points],tblActuals35415192327[Team 1],$CU26,tblActuals35415192327[Team 2],DD$3)</f>
        <v>0</v>
      </c>
      <c r="DE26" s="56">
        <f>SUMIFS(tblActuals35415192327[Team 2 Points],tblActuals35415192327[Team 2],$CU26,tblActuals35415192327[Team 1],DE$3)+SUMIFS(tblActuals35415192327[Team 1 Points],tblActuals35415192327[Team 1],$CU26,tblActuals35415192327[Team 2],DE$3)</f>
        <v>0</v>
      </c>
      <c r="DF26" s="56">
        <f>SUMIFS(tblActuals35415192327[Team 2 Points],tblActuals35415192327[Team 2],$CU26,tblActuals35415192327[Team 1],DF$3)+SUMIFS(tblActuals35415192327[Team 1 Points],tblActuals35415192327[Team 1],$CU26,tblActuals35415192327[Team 2],DF$3)</f>
        <v>0</v>
      </c>
      <c r="DG26" s="56">
        <f>SUMIFS(tblActuals35415192327[Team 2 Points],tblActuals35415192327[Team 2],$CU26,tblActuals35415192327[Team 1],DG$3)+SUMIFS(tblActuals35415192327[Team 1 Points],tblActuals35415192327[Team 1],$CU26,tblActuals35415192327[Team 2],DG$3)</f>
        <v>0</v>
      </c>
      <c r="DH26" s="56">
        <f>SUMIFS(tblActuals35415192327[Team 2 Points],tblActuals35415192327[Team 2],$CU26,tblActuals35415192327[Team 1],DH$3)+SUMIFS(tblActuals35415192327[Team 1 Points],tblActuals35415192327[Team 1],$CU26,tblActuals35415192327[Team 2],DH$3)</f>
        <v>0</v>
      </c>
      <c r="DI26" s="56">
        <f>SUMIFS(tblActuals35415192327[Team 2 Points],tblActuals35415192327[Team 2],$CU26,tblActuals35415192327[Team 1],DI$3)+SUMIFS(tblActuals35415192327[Team 1 Points],tblActuals35415192327[Team 1],$CU26,tblActuals35415192327[Team 2],DI$3)</f>
        <v>0</v>
      </c>
      <c r="DJ26" s="56">
        <f>SUMIFS(tblActuals35415192327[Team 2 Points],tblActuals35415192327[Team 2],$CU26,tblActuals35415192327[Team 1],DJ$3)+SUMIFS(tblActuals35415192327[Team 1 Points],tblActuals35415192327[Team 1],$CU26,tblActuals35415192327[Team 2],DJ$3)</f>
        <v>0</v>
      </c>
      <c r="DK26" s="56">
        <f>SUMIFS(tblActuals35415192327[Team 2 Points],tblActuals35415192327[Team 2],$CU26,tblActuals35415192327[Team 1],DK$3)+SUMIFS(tblActuals35415192327[Team 1 Points],tblActuals35415192327[Team 1],$CU26,tblActuals35415192327[Team 2],DK$3)</f>
        <v>0</v>
      </c>
      <c r="DL26" s="56">
        <f>SUMIFS(tblActuals35415192327[Team 2 Points],tblActuals35415192327[Team 2],$CU26,tblActuals35415192327[Team 1],DL$3)+SUMIFS(tblActuals35415192327[Team 1 Points],tblActuals35415192327[Team 1],$CU26,tblActuals35415192327[Team 2],DL$3)</f>
        <v>0</v>
      </c>
      <c r="DM26" s="56">
        <f>SUMIFS(tblActuals35415192327[Team 2 Points],tblActuals35415192327[Team 2],$CU26,tblActuals35415192327[Team 1],DM$3)+SUMIFS(tblActuals35415192327[Team 1 Points],tblActuals35415192327[Team 1],$CU26,tblActuals35415192327[Team 2],DM$3)</f>
        <v>0</v>
      </c>
      <c r="DN26" s="56">
        <f>SUMIFS(tblActuals35415192327[Team 2 Points],tblActuals35415192327[Team 2],$CU26,tblActuals35415192327[Team 1],DN$3)+SUMIFS(tblActuals35415192327[Team 1 Points],tblActuals35415192327[Team 1],$CU26,tblActuals35415192327[Team 2],DN$3)</f>
        <v>0</v>
      </c>
      <c r="DO26" s="56">
        <f>SUMIFS(tblActuals35415192327[Team 2 Points],tblActuals35415192327[Team 2],$CU26,tblActuals35415192327[Team 1],DO$3)+SUMIFS(tblActuals35415192327[Team 1 Points],tblActuals35415192327[Team 1],$CU26,tblActuals35415192327[Team 2],DO$3)</f>
        <v>0</v>
      </c>
      <c r="DP26" s="56">
        <f>SUMIFS(tblActuals35415192327[Team 2 Points],tblActuals35415192327[Team 2],$CU26,tblActuals35415192327[Team 1],DP$3)+SUMIFS(tblActuals35415192327[Team 1 Points],tblActuals35415192327[Team 1],$CU26,tblActuals35415192327[Team 2],DP$3)</f>
        <v>0</v>
      </c>
      <c r="DQ26" s="56">
        <f>SUMIFS(tblActuals35415192327[Team 2 Points],tblActuals35415192327[Team 2],$CU26,tblActuals35415192327[Team 1],DQ$3)+SUMIFS(tblActuals35415192327[Team 1 Points],tblActuals35415192327[Team 1],$CU26,tblActuals35415192327[Team 2],DQ$3)</f>
        <v>0</v>
      </c>
      <c r="DR26" s="56">
        <f>SUMIFS(tblActuals35415192327[Team 2 Points],tblActuals35415192327[Team 2],$CU26,tblActuals35415192327[Team 1],DR$3)+SUMIFS(tblActuals35415192327[Team 1 Points],tblActuals35415192327[Team 1],$CU26,tblActuals35415192327[Team 2],DR$3)</f>
        <v>0</v>
      </c>
      <c r="DS26" s="56">
        <f>SUMIFS(tblActuals35415192327[Team 2 Points],tblActuals35415192327[Team 2],$CU26,tblActuals35415192327[Team 1],DS$3)+SUMIFS(tblActuals35415192327[Team 1 Points],tblActuals35415192327[Team 1],$CU26,tblActuals35415192327[Team 2],DS$3)</f>
        <v>0</v>
      </c>
      <c r="DT26" s="57"/>
      <c r="DU26" s="57"/>
      <c r="DV26" s="57"/>
      <c r="DW26" s="57"/>
      <c r="DX26" s="57"/>
      <c r="DY26" s="57"/>
      <c r="DZ26" s="57"/>
      <c r="EA26" s="57"/>
      <c r="EB26" s="4"/>
      <c r="EC26" s="4" t="s">
        <v>30</v>
      </c>
      <c r="ED26" s="56">
        <f>SUMIFS(tblActuals35415192327[Team 2 GD],tblActuals35415192327[Team 2],$CU26,tblActuals35415192327[Team 1],ED$3)+SUMIFS(tblActuals35415192327[Team 1 GD],tblActuals35415192327[Team 1],$CU26,tblActuals35415192327[Team 2],ED$3)</f>
        <v>0</v>
      </c>
      <c r="EE26" s="56">
        <f>SUMIFS(tblActuals35415192327[Team 2 GD],tblActuals35415192327[Team 2],$CU26,tblActuals35415192327[Team 1],EE$3)+SUMIFS(tblActuals35415192327[Team 1 GD],tblActuals35415192327[Team 1],$CU26,tblActuals35415192327[Team 2],EE$3)</f>
        <v>0</v>
      </c>
      <c r="EF26" s="56">
        <f>SUMIFS(tblActuals35415192327[Team 2 GD],tblActuals35415192327[Team 2],$CU26,tblActuals35415192327[Team 1],EF$3)+SUMIFS(tblActuals35415192327[Team 1 GD],tblActuals35415192327[Team 1],$CU26,tblActuals35415192327[Team 2],EF$3)</f>
        <v>0</v>
      </c>
      <c r="EG26" s="56">
        <f>SUMIFS(tblActuals35415192327[Team 2 GD],tblActuals35415192327[Team 2],$CU26,tblActuals35415192327[Team 1],EG$3)+SUMIFS(tblActuals35415192327[Team 1 GD],tblActuals35415192327[Team 1],$CU26,tblActuals35415192327[Team 2],EG$3)</f>
        <v>0</v>
      </c>
      <c r="EH26" s="56">
        <f>SUMIFS(tblActuals35415192327[Team 2 GD],tblActuals35415192327[Team 2],$CU26,tblActuals35415192327[Team 1],EH$3)+SUMIFS(tblActuals35415192327[Team 1 GD],tblActuals35415192327[Team 1],$CU26,tblActuals35415192327[Team 2],EH$3)</f>
        <v>0</v>
      </c>
      <c r="EI26" s="56">
        <f>SUMIFS(tblActuals35415192327[Team 2 GD],tblActuals35415192327[Team 2],$CU26,tblActuals35415192327[Team 1],EI$3)+SUMIFS(tblActuals35415192327[Team 1 GD],tblActuals35415192327[Team 1],$CU26,tblActuals35415192327[Team 2],EI$3)</f>
        <v>0</v>
      </c>
      <c r="EJ26" s="56">
        <f>SUMIFS(tblActuals35415192327[Team 2 GD],tblActuals35415192327[Team 2],$CU26,tblActuals35415192327[Team 1],EJ$3)+SUMIFS(tblActuals35415192327[Team 1 GD],tblActuals35415192327[Team 1],$CU26,tblActuals35415192327[Team 2],EJ$3)</f>
        <v>0</v>
      </c>
      <c r="EK26" s="56">
        <f>SUMIFS(tblActuals35415192327[Team 2 GD],tblActuals35415192327[Team 2],$CU26,tblActuals35415192327[Team 1],EK$3)+SUMIFS(tblActuals35415192327[Team 1 GD],tblActuals35415192327[Team 1],$CU26,tblActuals35415192327[Team 2],EK$3)</f>
        <v>0</v>
      </c>
      <c r="EL26" s="56">
        <f>SUMIFS(tblActuals35415192327[Team 2 GD],tblActuals35415192327[Team 2],$CU26,tblActuals35415192327[Team 1],EL$3)+SUMIFS(tblActuals35415192327[Team 1 GD],tblActuals35415192327[Team 1],$CU26,tblActuals35415192327[Team 2],EL$3)</f>
        <v>0</v>
      </c>
      <c r="EM26" s="56">
        <f>SUMIFS(tblActuals35415192327[Team 2 GD],tblActuals35415192327[Team 2],$CU26,tblActuals35415192327[Team 1],EM$3)+SUMIFS(tblActuals35415192327[Team 1 GD],tblActuals35415192327[Team 1],$CU26,tblActuals35415192327[Team 2],EM$3)</f>
        <v>0</v>
      </c>
      <c r="EN26" s="56">
        <f>SUMIFS(tblActuals35415192327[Team 2 GD],tblActuals35415192327[Team 2],$CU26,tblActuals35415192327[Team 1],EN$3)+SUMIFS(tblActuals35415192327[Team 1 GD],tblActuals35415192327[Team 1],$CU26,tblActuals35415192327[Team 2],EN$3)</f>
        <v>0</v>
      </c>
      <c r="EO26" s="56">
        <f>SUMIFS(tblActuals35415192327[Team 2 GD],tblActuals35415192327[Team 2],$CU26,tblActuals35415192327[Team 1],EO$3)+SUMIFS(tblActuals35415192327[Team 1 GD],tblActuals35415192327[Team 1],$CU26,tblActuals35415192327[Team 2],EO$3)</f>
        <v>0</v>
      </c>
      <c r="EP26" s="56">
        <f>SUMIFS(tblActuals35415192327[Team 2 GD],tblActuals35415192327[Team 2],$CU26,tblActuals35415192327[Team 1],EP$3)+SUMIFS(tblActuals35415192327[Team 1 GD],tblActuals35415192327[Team 1],$CU26,tblActuals35415192327[Team 2],EP$3)</f>
        <v>0</v>
      </c>
      <c r="EQ26" s="56">
        <f>SUMIFS(tblActuals35415192327[Team 2 GD],tblActuals35415192327[Team 2],$CU26,tblActuals35415192327[Team 1],EQ$3)+SUMIFS(tblActuals35415192327[Team 1 GD],tblActuals35415192327[Team 1],$CU26,tblActuals35415192327[Team 2],EQ$3)</f>
        <v>0</v>
      </c>
      <c r="ER26" s="56">
        <f>SUMIFS(tblActuals35415192327[Team 2 GD],tblActuals35415192327[Team 2],$CU26,tblActuals35415192327[Team 1],ER$3)+SUMIFS(tblActuals35415192327[Team 1 GD],tblActuals35415192327[Team 1],$CU26,tblActuals35415192327[Team 2],ER$3)</f>
        <v>0</v>
      </c>
      <c r="ES26" s="56">
        <f>SUMIFS(tblActuals35415192327[Team 2 GD],tblActuals35415192327[Team 2],$CU26,tblActuals35415192327[Team 1],ES$3)+SUMIFS(tblActuals35415192327[Team 1 GD],tblActuals35415192327[Team 1],$CU26,tblActuals35415192327[Team 2],ES$3)</f>
        <v>0</v>
      </c>
      <c r="ET26" s="56">
        <f>SUMIFS(tblActuals35415192327[Team 2 GD],tblActuals35415192327[Team 2],$CU26,tblActuals35415192327[Team 1],ET$3)+SUMIFS(tblActuals35415192327[Team 1 GD],tblActuals35415192327[Team 1],$CU26,tblActuals35415192327[Team 2],ET$3)</f>
        <v>0</v>
      </c>
      <c r="EU26" s="56">
        <f>SUMIFS(tblActuals35415192327[Team 2 GD],tblActuals35415192327[Team 2],$CU26,tblActuals35415192327[Team 1],EU$3)+SUMIFS(tblActuals35415192327[Team 1 GD],tblActuals35415192327[Team 1],$CU26,tblActuals35415192327[Team 2],EU$3)</f>
        <v>0</v>
      </c>
      <c r="EV26" s="56">
        <f>SUMIFS(tblActuals35415192327[Team 2 GD],tblActuals35415192327[Team 2],$CU26,tblActuals35415192327[Team 1],EV$3)+SUMIFS(tblActuals35415192327[Team 1 GD],tblActuals35415192327[Team 1],$CU26,tblActuals35415192327[Team 2],EV$3)</f>
        <v>0</v>
      </c>
      <c r="EW26" s="56">
        <f>SUMIFS(tblActuals35415192327[Team 2 GD],tblActuals35415192327[Team 2],$CU26,tblActuals35415192327[Team 1],EW$3)+SUMIFS(tblActuals35415192327[Team 1 GD],tblActuals35415192327[Team 1],$CU26,tblActuals35415192327[Team 2],EW$3)</f>
        <v>0</v>
      </c>
      <c r="EX26" s="56">
        <f>SUMIFS(tblActuals35415192327[Team 2 GD],tblActuals35415192327[Team 2],$CU26,tblActuals35415192327[Team 1],EX$3)+SUMIFS(tblActuals35415192327[Team 1 GD],tblActuals35415192327[Team 1],$CU26,tblActuals35415192327[Team 2],EX$3)</f>
        <v>0</v>
      </c>
      <c r="EY26" s="56">
        <f>SUMIFS(tblActuals35415192327[Team 2 GD],tblActuals35415192327[Team 2],$CU26,tblActuals35415192327[Team 1],EY$3)+SUMIFS(tblActuals35415192327[Team 1 GD],tblActuals35415192327[Team 1],$CU26,tblActuals35415192327[Team 2],EY$3)</f>
        <v>0</v>
      </c>
      <c r="EZ26" s="56">
        <f>SUMIFS(tblActuals35415192327[Team 2 GD],tblActuals35415192327[Team 2],$CU26,tblActuals35415192327[Team 1],EZ$3)+SUMIFS(tblActuals35415192327[Team 1 GD],tblActuals35415192327[Team 1],$CU26,tblActuals35415192327[Team 2],EZ$3)</f>
        <v>0</v>
      </c>
      <c r="FA26" s="56">
        <f>SUMIFS(tblActuals35415192327[Team 2 GD],tblActuals35415192327[Team 2],$CU26,tblActuals35415192327[Team 1],FA$3)+SUMIFS(tblActuals35415192327[Team 1 GD],tblActuals35415192327[Team 1],$CU26,tblActuals35415192327[Team 2],FA$3)</f>
        <v>0</v>
      </c>
      <c r="FB26" s="57"/>
      <c r="FC26" s="57"/>
      <c r="FD26" s="57"/>
      <c r="FE26" s="57"/>
      <c r="FF26" s="57"/>
      <c r="FG26" s="57"/>
      <c r="FH26" s="57"/>
      <c r="FI26" s="57"/>
      <c r="FJ26" s="4"/>
      <c r="FK26" s="4" t="s">
        <v>30</v>
      </c>
      <c r="FL26" s="56">
        <f>SUMIFS(tblActuals35415192327[Team 2 Goals],tblActuals35415192327[Team 2],$CU26,tblActuals35415192327[Team 1],FL$3)+SUMIFS(tblActuals35415192327[Team 1 Goals],tblActuals35415192327[Team 1],$CU26,tblActuals35415192327[Team 2],FL$3)</f>
        <v>0</v>
      </c>
      <c r="FM26" s="56">
        <f>SUMIFS(tblActuals35415192327[Team 2 Goals],tblActuals35415192327[Team 2],$CU26,tblActuals35415192327[Team 1],FM$3)+SUMIFS(tblActuals35415192327[Team 1 Goals],tblActuals35415192327[Team 1],$CU26,tblActuals35415192327[Team 2],FM$3)</f>
        <v>0</v>
      </c>
      <c r="FN26" s="56">
        <f>SUMIFS(tblActuals35415192327[Team 2 Goals],tblActuals35415192327[Team 2],$CU26,tblActuals35415192327[Team 1],FN$3)+SUMIFS(tblActuals35415192327[Team 1 Goals],tblActuals35415192327[Team 1],$CU26,tblActuals35415192327[Team 2],FN$3)</f>
        <v>0</v>
      </c>
      <c r="FO26" s="56">
        <f>SUMIFS(tblActuals35415192327[Team 2 Goals],tblActuals35415192327[Team 2],$CU26,tblActuals35415192327[Team 1],FO$3)+SUMIFS(tblActuals35415192327[Team 1 Goals],tblActuals35415192327[Team 1],$CU26,tblActuals35415192327[Team 2],FO$3)</f>
        <v>0</v>
      </c>
      <c r="FP26" s="56">
        <f>SUMIFS(tblActuals35415192327[Team 2 Goals],tblActuals35415192327[Team 2],$CU26,tblActuals35415192327[Team 1],FP$3)+SUMIFS(tblActuals35415192327[Team 1 Goals],tblActuals35415192327[Team 1],$CU26,tblActuals35415192327[Team 2],FP$3)</f>
        <v>0</v>
      </c>
      <c r="FQ26" s="56">
        <f>SUMIFS(tblActuals35415192327[Team 2 Goals],tblActuals35415192327[Team 2],$CU26,tblActuals35415192327[Team 1],FQ$3)+SUMIFS(tblActuals35415192327[Team 1 Goals],tblActuals35415192327[Team 1],$CU26,tblActuals35415192327[Team 2],FQ$3)</f>
        <v>0</v>
      </c>
      <c r="FR26" s="56">
        <f>SUMIFS(tblActuals35415192327[Team 2 Goals],tblActuals35415192327[Team 2],$CU26,tblActuals35415192327[Team 1],FR$3)+SUMIFS(tblActuals35415192327[Team 1 Goals],tblActuals35415192327[Team 1],$CU26,tblActuals35415192327[Team 2],FR$3)</f>
        <v>0</v>
      </c>
      <c r="FS26" s="56">
        <f>SUMIFS(tblActuals35415192327[Team 2 Goals],tblActuals35415192327[Team 2],$CU26,tblActuals35415192327[Team 1],FS$3)+SUMIFS(tblActuals35415192327[Team 1 Goals],tblActuals35415192327[Team 1],$CU26,tblActuals35415192327[Team 2],FS$3)</f>
        <v>0</v>
      </c>
      <c r="FT26" s="56">
        <f>SUMIFS(tblActuals35415192327[Team 2 Goals],tblActuals35415192327[Team 2],$CU26,tblActuals35415192327[Team 1],FT$3)+SUMIFS(tblActuals35415192327[Team 1 Goals],tblActuals35415192327[Team 1],$CU26,tblActuals35415192327[Team 2],FT$3)</f>
        <v>0</v>
      </c>
      <c r="FU26" s="56">
        <f>SUMIFS(tblActuals35415192327[Team 2 Goals],tblActuals35415192327[Team 2],$CU26,tblActuals35415192327[Team 1],FU$3)+SUMIFS(tblActuals35415192327[Team 1 Goals],tblActuals35415192327[Team 1],$CU26,tblActuals35415192327[Team 2],FU$3)</f>
        <v>0</v>
      </c>
      <c r="FV26" s="56">
        <f>SUMIFS(tblActuals35415192327[Team 2 Goals],tblActuals35415192327[Team 2],$CU26,tblActuals35415192327[Team 1],FV$3)+SUMIFS(tblActuals35415192327[Team 1 Goals],tblActuals35415192327[Team 1],$CU26,tblActuals35415192327[Team 2],FV$3)</f>
        <v>0</v>
      </c>
      <c r="FW26" s="56">
        <f>SUMIFS(tblActuals35415192327[Team 2 Goals],tblActuals35415192327[Team 2],$CU26,tblActuals35415192327[Team 1],FW$3)+SUMIFS(tblActuals35415192327[Team 1 Goals],tblActuals35415192327[Team 1],$CU26,tblActuals35415192327[Team 2],FW$3)</f>
        <v>0</v>
      </c>
      <c r="FX26" s="56">
        <f>SUMIFS(tblActuals35415192327[Team 2 Goals],tblActuals35415192327[Team 2],$CU26,tblActuals35415192327[Team 1],FX$3)+SUMIFS(tblActuals35415192327[Team 1 Goals],tblActuals35415192327[Team 1],$CU26,tblActuals35415192327[Team 2],FX$3)</f>
        <v>0</v>
      </c>
      <c r="FY26" s="56">
        <f>SUMIFS(tblActuals35415192327[Team 2 Goals],tblActuals35415192327[Team 2],$CU26,tblActuals35415192327[Team 1],FY$3)+SUMIFS(tblActuals35415192327[Team 1 Goals],tblActuals35415192327[Team 1],$CU26,tblActuals35415192327[Team 2],FY$3)</f>
        <v>0</v>
      </c>
      <c r="FZ26" s="56">
        <f>SUMIFS(tblActuals35415192327[Team 2 Goals],tblActuals35415192327[Team 2],$CU26,tblActuals35415192327[Team 1],FZ$3)+SUMIFS(tblActuals35415192327[Team 1 Goals],tblActuals35415192327[Team 1],$CU26,tblActuals35415192327[Team 2],FZ$3)</f>
        <v>0</v>
      </c>
      <c r="GA26" s="56">
        <f>SUMIFS(tblActuals35415192327[Team 2 Goals],tblActuals35415192327[Team 2],$CU26,tblActuals35415192327[Team 1],GA$3)+SUMIFS(tblActuals35415192327[Team 1 Goals],tblActuals35415192327[Team 1],$CU26,tblActuals35415192327[Team 2],GA$3)</f>
        <v>0</v>
      </c>
      <c r="GB26" s="56">
        <f>SUMIFS(tblActuals35415192327[Team 2 Goals],tblActuals35415192327[Team 2],$CU26,tblActuals35415192327[Team 1],GB$3)+SUMIFS(tblActuals35415192327[Team 1 Goals],tblActuals35415192327[Team 1],$CU26,tblActuals35415192327[Team 2],GB$3)</f>
        <v>0</v>
      </c>
      <c r="GC26" s="56">
        <f>SUMIFS(tblActuals35415192327[Team 2 Goals],tblActuals35415192327[Team 2],$CU26,tblActuals35415192327[Team 1],GC$3)+SUMIFS(tblActuals35415192327[Team 1 Goals],tblActuals35415192327[Team 1],$CU26,tblActuals35415192327[Team 2],GC$3)</f>
        <v>0</v>
      </c>
      <c r="GD26" s="56">
        <f>SUMIFS(tblActuals35415192327[Team 2 Goals],tblActuals35415192327[Team 2],$CU26,tblActuals35415192327[Team 1],GD$3)+SUMIFS(tblActuals35415192327[Team 1 Goals],tblActuals35415192327[Team 1],$CU26,tblActuals35415192327[Team 2],GD$3)</f>
        <v>0</v>
      </c>
      <c r="GE26" s="56">
        <f>SUMIFS(tblActuals35415192327[Team 2 Goals],tblActuals35415192327[Team 2],$CU26,tblActuals35415192327[Team 1],GE$3)+SUMIFS(tblActuals35415192327[Team 1 Goals],tblActuals35415192327[Team 1],$CU26,tblActuals35415192327[Team 2],GE$3)</f>
        <v>0</v>
      </c>
      <c r="GF26" s="56">
        <f>SUMIFS(tblActuals35415192327[Team 2 Goals],tblActuals35415192327[Team 2],$CU26,tblActuals35415192327[Team 1],GF$3)+SUMIFS(tblActuals35415192327[Team 1 Goals],tblActuals35415192327[Team 1],$CU26,tblActuals35415192327[Team 2],GF$3)</f>
        <v>0</v>
      </c>
      <c r="GG26" s="56">
        <f>SUMIFS(tblActuals35415192327[Team 2 Goals],tblActuals35415192327[Team 2],$CU26,tblActuals35415192327[Team 1],GG$3)+SUMIFS(tblActuals35415192327[Team 1 Goals],tblActuals35415192327[Team 1],$CU26,tblActuals35415192327[Team 2],GG$3)</f>
        <v>0</v>
      </c>
      <c r="GH26" s="56">
        <f>SUMIFS(tblActuals35415192327[Team 2 Goals],tblActuals35415192327[Team 2],$CU26,tblActuals35415192327[Team 1],GH$3)+SUMIFS(tblActuals35415192327[Team 1 Goals],tblActuals35415192327[Team 1],$CU26,tblActuals35415192327[Team 2],GH$3)</f>
        <v>0</v>
      </c>
      <c r="GI26" s="56">
        <f>SUMIFS(tblActuals35415192327[Team 2 Goals],tblActuals35415192327[Team 2],$CU26,tblActuals35415192327[Team 1],GI$3)+SUMIFS(tblActuals35415192327[Team 1 Goals],tblActuals35415192327[Team 1],$CU26,tblActuals35415192327[Team 2],GI$3)</f>
        <v>0</v>
      </c>
      <c r="GJ26" s="57"/>
      <c r="GK26" s="57"/>
      <c r="GL26" s="37"/>
      <c r="GM26" s="37"/>
      <c r="GN26" s="37"/>
      <c r="GO26" s="37"/>
      <c r="GP26" s="37"/>
      <c r="GQ26" s="37"/>
      <c r="GR26" s="75"/>
      <c r="GS26" s="148"/>
      <c r="GT26" s="148"/>
      <c r="GU26" s="75"/>
      <c r="GV26" s="75"/>
      <c r="GW26" s="75"/>
      <c r="GX26" s="75"/>
      <c r="GY26" s="75"/>
      <c r="GZ26" s="75"/>
    </row>
    <row r="27" spans="1:221" s="11" customFormat="1" ht="30" customHeight="1" thickBot="1" x14ac:dyDescent="0.3">
      <c r="A27" s="20"/>
      <c r="B27" s="122">
        <v>24</v>
      </c>
      <c r="C27" s="122" t="s">
        <v>45</v>
      </c>
      <c r="D27" s="123">
        <v>45465</v>
      </c>
      <c r="E27" s="122" t="s">
        <v>84</v>
      </c>
      <c r="F27" s="124">
        <v>0.625</v>
      </c>
      <c r="G27" s="125">
        <f t="shared" si="11"/>
        <v>45465.375</v>
      </c>
      <c r="H27" s="122" t="s">
        <v>112</v>
      </c>
      <c r="I27" s="126"/>
      <c r="J27" s="118"/>
      <c r="K27" s="118"/>
      <c r="L27" s="174">
        <f>IF(I27="",0,IFERROR(IF(SCORING.RULES!$C$8="No",1,((VLOOKUP($B27,ACTUALS!$B$4:$L$100,7,FALSE)=$H27)+(VLOOKUP($B27,ACTUALS!$B$4:$L$100,7,FALSE)=S27)))*(M27+N27+O27+P27+Q27),0))+$R27</f>
        <v>0</v>
      </c>
      <c r="M27" s="168">
        <f>IFERROR(IF($B27="","",IF(U27=INDEX(ACTUALS!$AA$4:$AA$100,MATCH($B27,ACTUALS!$B$4:$B$100,0),1),CorrectScore,0)),0)</f>
        <v>0</v>
      </c>
      <c r="N27" s="157" t="str">
        <f>IFERROR(IF(I27="","",IF(INDEX(ACTUALS!$AB$4:$AB$100,MATCH($B27,ACTUALS!$B$4:$B$100,0),1)=(AB27+AC27+AH27+AI27),CorrectNumberofGoals,0)),0)</f>
        <v/>
      </c>
      <c r="O27" s="157"/>
      <c r="P27" s="157">
        <f>IFERROR(IF(B27="","",IF(INDEX(ACTUALS!$L$4:$L$100,MATCH($B27,ACTUALS!$B$4:$B$100,0),1)=W27,CorrectResult,0)),0)</f>
        <v>3</v>
      </c>
      <c r="Q27" s="157"/>
      <c r="R27" s="157"/>
      <c r="S27" s="157" t="str">
        <f t="shared" si="0"/>
        <v/>
      </c>
      <c r="T27" s="157"/>
      <c r="U27" s="157" t="str">
        <f t="shared" si="1"/>
        <v/>
      </c>
      <c r="V27" s="157" t="str">
        <f t="shared" si="2"/>
        <v/>
      </c>
      <c r="W27" s="119" t="str">
        <f>IF(tblActuals35415192327[[#This Row],[SCORE]]="","",IF(AB27=AC27,"Draw",IF(AB27&gt;AC27,X27,Y27)))</f>
        <v/>
      </c>
      <c r="X27" s="120" t="str">
        <f>IF(tblActuals35415192327[[#This Row],[TEAMS]]="","",LEFT(H27,FIND(" -",H27,1)-1))</f>
        <v>Georgia</v>
      </c>
      <c r="Y27" s="120" t="str">
        <f>IF(tblActuals35415192327[[#This Row],[TEAMS]]="","",MID(H27,FIND("-",H27,1)+2,LEN(H27)-FIND("-",H27,1)+2))</f>
        <v>Czechia</v>
      </c>
      <c r="Z27" s="120" t="str">
        <f>IF(tblActuals35415192327[[#This Row],[Team 1 Goals]]&gt;tblActuals35415192327[[#This Row],[Team 2 Goals]],tblActuals35415192327[[#This Row],[Team 1]],IF(tblActuals35415192327[[#This Row],[Team 2 Goals]]&gt;tblActuals35415192327[[#This Row],[Team 1 Goals]],tblActuals35415192327[[#This Row],[Team 2]],""))</f>
        <v/>
      </c>
      <c r="AA27" s="120" t="str">
        <f>IF(tblActuals35415192327[[#This Row],[Winner]]=tblActuals35415192327[[#This Row],[Team 1]],tblActuals35415192327[[#This Row],[Team 2]],IF(tblActuals35415192327[[#This Row],[Winner]]=tblActuals35415192327[[#This Row],[Team 2]],tblActuals35415192327[[#This Row],[Team 1]],""))</f>
        <v/>
      </c>
      <c r="AB27" s="120" t="str">
        <f>IF(tblActuals35415192327[[#This Row],[SCORE]]="","",LEFT(I27,FIND(":",I27,1)-1)*1)</f>
        <v/>
      </c>
      <c r="AC27" s="120" t="str">
        <f>IF(tblActuals35415192327[[#This Row],[SCORE]]="","",MID(I27,FIND(":",I27,1)+1,LEN(I27)-FIND(":",I27,1)+1)*1)</f>
        <v/>
      </c>
      <c r="AD27" s="120" t="str">
        <f>IF(OR(tblActuals35415192327[[#This Row],[Team 1 Goals]]="",tblActuals35415192327[[#This Row],[Team 2 Goals]]=""),"",tblActuals35415192327[[#This Row],[Team 1 Goals]]-tblActuals35415192327[[#This Row],[Team 2 Goals]])</f>
        <v/>
      </c>
      <c r="AE27" s="120" t="str">
        <f>IF(OR(tblActuals35415192327[[#This Row],[Team 1 Goals]]="",tblActuals35415192327[[#This Row],[Team 2 Goals]]=""),"",tblActuals35415192327[[#This Row],[Team 2 Goals]]-tblActuals35415192327[[#This Row],[Team 1 Goals]])</f>
        <v/>
      </c>
      <c r="AF27" s="120" t="str">
        <f>IF(tblActuals35415192327[[#This Row],[SCORE]]="","",IF(tblActuals35415192327[[#This Row],[WINNER / RESULT]]="Draw",1,IF(tblActuals35415192327[[#This Row],[WINNER / RESULT]]=tblActuals35415192327[[#This Row],[Team 1]],3,0)))</f>
        <v/>
      </c>
      <c r="AG27" s="120" t="str">
        <f>IF(tblActuals35415192327[[#This Row],[SCORE]]="","",IF(tblActuals35415192327[[#This Row],[WINNER / RESULT]]="Draw",1,IF(tblActuals35415192327[[#This Row],[WINNER / RESULT]]=tblActuals35415192327[[#This Row],[Team 2]],3,0)))</f>
        <v/>
      </c>
      <c r="AH27" s="121"/>
      <c r="AI27" s="121"/>
      <c r="AJ27" s="121"/>
      <c r="AK27" s="121"/>
      <c r="AL27" s="120" t="e">
        <f>tblActuals35415192327[[#This Row],[Team 1 Goals]]+tblActuals35415192327[[#This Row],[Team 1 ET Goals]]&amp;":"&amp;tblActuals35415192327[[#This Row],[Team 2 Goals]]+tblActuals35415192327[[#This Row],[Team 2 ET Goals]]</f>
        <v>#VALUE!</v>
      </c>
      <c r="AM27" s="120" t="e">
        <f>+tblActuals35415192327[[#This Row],[Team 1 Goals]]+tblActuals35415192327[[#This Row],[Team 2 Goals]]</f>
        <v>#VALUE!</v>
      </c>
      <c r="AN27" s="161">
        <f t="shared" si="3"/>
        <v>45465</v>
      </c>
      <c r="AT27" s="77" t="s">
        <v>7</v>
      </c>
      <c r="AU27" s="145">
        <v>4</v>
      </c>
      <c r="AV27" s="146" t="str">
        <f ca="1">IFERROR(INDEX(BD:BD,MATCH("4"&amp;AT27,BN:BN,0),1),"")</f>
        <v>Poland</v>
      </c>
      <c r="AW27" s="146" t="str">
        <f ca="1">IF(AV27="","",VLOOKUP(AV27,BD:BI,2,FALSE)&amp;"-"&amp;VLOOKUP(AV27,BD:BI,3,FALSE)&amp;"-"&amp;VLOOKUP(AV27,BD:BI,4,FALSE))</f>
        <v>0-0-0</v>
      </c>
      <c r="AX27" s="146">
        <f ca="1">IF(AV27="","",VLOOKUP(AV27,BD:BK,8,FALSE))</f>
        <v>0</v>
      </c>
      <c r="AY27" s="147">
        <f ca="1">IF(AV27="","",VLOOKUP(AV27,BD:BN,5,FALSE))</f>
        <v>0</v>
      </c>
      <c r="AZ27" s="75"/>
      <c r="BA27" s="4"/>
      <c r="BB27" s="4"/>
      <c r="BC27" s="4" t="s">
        <v>12</v>
      </c>
      <c r="BD27" s="4" t="s">
        <v>132</v>
      </c>
      <c r="BE27" s="4">
        <f>COUNTIF(tblActuals35415192327[Winner],BD27)</f>
        <v>0</v>
      </c>
      <c r="BF27" s="4">
        <f>COUNTIFS(tblActuals35415192327[Team 2],BD27,tblActuals35415192327[WINNER / RESULT],"Draw")+COUNTIFS(tblActuals35415192327[Team 1],BD27,tblActuals35415192327[WINNER / RESULT],"Draw")</f>
        <v>0</v>
      </c>
      <c r="BG27" s="4">
        <f>COUNTIF(tblActuals35415192327[Loser],BD27)</f>
        <v>0</v>
      </c>
      <c r="BH27" s="4">
        <f>BF27+(3*BE27)</f>
        <v>0</v>
      </c>
      <c r="BI27" s="4">
        <f>SUMIFS(tblActuals35415192327[Team 1 Goals],tblActuals35415192327[Team 1],BD27)+SUMIFS(tblActuals35415192327[Team 2 Goals],tblActuals35415192327[Team 2],BD27)</f>
        <v>0</v>
      </c>
      <c r="BJ27" s="4">
        <f>SUMIFS(tblActuals35415192327[Team 2 Goals],tblActuals35415192327[Team 1],BD27)+SUMIFS(tblActuals35415192327[Team 1 Goals],tblActuals35415192327[Team 2],BD27)</f>
        <v>0</v>
      </c>
      <c r="BK27" s="4">
        <f>BI27-BJ27</f>
        <v>0</v>
      </c>
      <c r="BL27" s="4">
        <f ca="1">RANK(BY27,$BY$24:$BY$27,1)</f>
        <v>4</v>
      </c>
      <c r="BM27" s="4" t="str">
        <f t="shared" si="4"/>
        <v/>
      </c>
      <c r="BN27" s="4" t="str">
        <f ca="1">IF(BM27="",BL27&amp;BC27,BM27&amp;BC27)</f>
        <v>4E</v>
      </c>
      <c r="BO27" s="4">
        <f>RANK(BH27,$BH$24:$BH$27,0)</f>
        <v>1</v>
      </c>
      <c r="BP27" s="4" cm="1">
        <f t="array" aca="1" ref="BP27" ca="1">SUMPRODUCT((OFFSET($CV$3:$EA$3,MATCH($BD27,$CU$4:$CU$35,0),0))*((IF($BO25=$BO27,$CV$3:$EA$3=$BD25,0))+(IF($BO24=$BO27,$CV$3:$EA$3=$BD24,0))+(IF($BO26=$BO27,$CV$3:$EA$3=$BD26,0))))</f>
        <v>0</v>
      </c>
      <c r="BQ27" s="4" cm="1">
        <f t="array" aca="1" ref="BQ27" ca="1">SUMPRODUCT((OFFSET($ED$3:$FI$3,MATCH($BD27,$EC$4:$EC$35,0),0))*((IF($BO25=$BO27,$ED$3:$FI$3=$BD25,0))+(IF($BO24=$BO27,$ED$3:$FI$3=$BD24,0))+(IF($BO26=$BO27,$ED$3:$FI$3=$BD26,0))))</f>
        <v>0</v>
      </c>
      <c r="BR27" s="4" cm="1">
        <f t="array" aca="1" ref="BR27" ca="1">SUMPRODUCT((OFFSET($FL$3:$GQ$3,MATCH($BD27,$FK$4:$FK$35,0),0))*((IF($BO25=$BO27,$FL$3:$GQ$3=$BD25,0))+(IF($BO24=$BO27,$FL$3:$GQ$3=$BD24,0))+(IF($BO26=$BO27,$FL$3:$GQ$3=$BD26,0))))</f>
        <v>0</v>
      </c>
      <c r="BS27" s="4" cm="1">
        <f t="array" aca="1" ref="BS27" ca="1">SUMPRODUCT((OFFSET($CV$3:$EA$3,MATCH($BD27,$CU$4:$CU$35,0),0))*((IF($BO25&lt;&gt;$BO27,$CV$3:$EA$3=$BD25,0))+(IF($BO24&lt;&gt;$BO27,$CV$3:$EA$3=$BD24,0))+(IF($BO26&lt;&gt;$BO27,$CV$3:$EA$3=$BD26,0))))</f>
        <v>0</v>
      </c>
      <c r="BT27" s="4" cm="1">
        <f t="array" aca="1" ref="BT27" ca="1">SUMPRODUCT((OFFSET($ED$3:$FI$3,MATCH($BD27,$EC$4:$EC$35,0),0))*((IF($BO25&lt;&gt;$BO27,$ED$3:$FI$3=$BD25,0))+(IF($BO24&lt;&gt;$BO27,$ED$3:$FI$3=$BD24,0))+(IF($BO26&lt;&gt;$BO27,$ED$3:$FI$3=$BD26,0))))</f>
        <v>0</v>
      </c>
      <c r="BU27" s="4" cm="1">
        <f t="array" aca="1" ref="BU27" ca="1">SUMPRODUCT((OFFSET($FL$3:$GQ$3,MATCH($BD27,$FK$4:$FK$35,0),0))*((IF($BO25&lt;&gt;$BO27,$FL$3:$GQ$3=$BD25,0))+(IF($BO24&lt;&gt;$BO27,$FL$3:$GQ$3=$BD24,0))+(IF($BO26&lt;&gt;$BO27,$FL$3:$GQ$3=$BD26,0))))</f>
        <v>0</v>
      </c>
      <c r="BV27" s="4">
        <f>BK27</f>
        <v>0</v>
      </c>
      <c r="BW27" s="4">
        <f>BI27</f>
        <v>0</v>
      </c>
      <c r="BX27" s="4">
        <f ca="1">(BP27/10)+(BQ27/100)+(BR27/1000)+(BT27/10000)+(BU27/100000)+(BV27/1000000)+(BW27/10000000)+(ROW(BS24)/100000000)</f>
        <v>2.3999999999999998E-7</v>
      </c>
      <c r="BY27" s="4">
        <f ca="1">+BO27-BX27</f>
        <v>0.99999976000000002</v>
      </c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U27" s="4" t="s">
        <v>135</v>
      </c>
      <c r="CV27" s="56">
        <f>SUMIFS(tblActuals35415192327[Team 2 Points],tblActuals35415192327[Team 2],$CU27,tblActuals35415192327[Team 1],CV$3)+SUMIFS(tblActuals35415192327[Team 1 Points],tblActuals35415192327[Team 1],$CU27,tblActuals35415192327[Team 2],CV$3)</f>
        <v>0</v>
      </c>
      <c r="CW27" s="56">
        <f>SUMIFS(tblActuals35415192327[Team 2 Points],tblActuals35415192327[Team 2],$CU27,tblActuals35415192327[Team 1],CW$3)+SUMIFS(tblActuals35415192327[Team 1 Points],tblActuals35415192327[Team 1],$CU27,tblActuals35415192327[Team 2],CW$3)</f>
        <v>0</v>
      </c>
      <c r="CX27" s="56">
        <f>SUMIFS(tblActuals35415192327[Team 2 Points],tblActuals35415192327[Team 2],$CU27,tblActuals35415192327[Team 1],CX$3)+SUMIFS(tblActuals35415192327[Team 1 Points],tblActuals35415192327[Team 1],$CU27,tblActuals35415192327[Team 2],CX$3)</f>
        <v>0</v>
      </c>
      <c r="CY27" s="56">
        <f>SUMIFS(tblActuals35415192327[Team 2 Points],tblActuals35415192327[Team 2],$CU27,tblActuals35415192327[Team 1],CY$3)+SUMIFS(tblActuals35415192327[Team 1 Points],tblActuals35415192327[Team 1],$CU27,tblActuals35415192327[Team 2],CY$3)</f>
        <v>0</v>
      </c>
      <c r="CZ27" s="56">
        <f>SUMIFS(tblActuals35415192327[Team 2 Points],tblActuals35415192327[Team 2],$CU27,tblActuals35415192327[Team 1],CZ$3)+SUMIFS(tblActuals35415192327[Team 1 Points],tblActuals35415192327[Team 1],$CU27,tblActuals35415192327[Team 2],CZ$3)</f>
        <v>0</v>
      </c>
      <c r="DA27" s="56">
        <f>SUMIFS(tblActuals35415192327[Team 2 Points],tblActuals35415192327[Team 2],$CU27,tblActuals35415192327[Team 1],DA$3)+SUMIFS(tblActuals35415192327[Team 1 Points],tblActuals35415192327[Team 1],$CU27,tblActuals35415192327[Team 2],DA$3)</f>
        <v>0</v>
      </c>
      <c r="DB27" s="56">
        <f>SUMIFS(tblActuals35415192327[Team 2 Points],tblActuals35415192327[Team 2],$CU27,tblActuals35415192327[Team 1],DB$3)+SUMIFS(tblActuals35415192327[Team 1 Points],tblActuals35415192327[Team 1],$CU27,tblActuals35415192327[Team 2],DB$3)</f>
        <v>0</v>
      </c>
      <c r="DC27" s="56">
        <f>SUMIFS(tblActuals35415192327[Team 2 Points],tblActuals35415192327[Team 2],$CU27,tblActuals35415192327[Team 1],DC$3)+SUMIFS(tblActuals35415192327[Team 1 Points],tblActuals35415192327[Team 1],$CU27,tblActuals35415192327[Team 2],DC$3)</f>
        <v>0</v>
      </c>
      <c r="DD27" s="56">
        <f>SUMIFS(tblActuals35415192327[Team 2 Points],tblActuals35415192327[Team 2],$CU27,tblActuals35415192327[Team 1],DD$3)+SUMIFS(tblActuals35415192327[Team 1 Points],tblActuals35415192327[Team 1],$CU27,tblActuals35415192327[Team 2],DD$3)</f>
        <v>0</v>
      </c>
      <c r="DE27" s="56">
        <f>SUMIFS(tblActuals35415192327[Team 2 Points],tblActuals35415192327[Team 2],$CU27,tblActuals35415192327[Team 1],DE$3)+SUMIFS(tblActuals35415192327[Team 1 Points],tblActuals35415192327[Team 1],$CU27,tblActuals35415192327[Team 2],DE$3)</f>
        <v>0</v>
      </c>
      <c r="DF27" s="56">
        <f>SUMIFS(tblActuals35415192327[Team 2 Points],tblActuals35415192327[Team 2],$CU27,tblActuals35415192327[Team 1],DF$3)+SUMIFS(tblActuals35415192327[Team 1 Points],tblActuals35415192327[Team 1],$CU27,tblActuals35415192327[Team 2],DF$3)</f>
        <v>0</v>
      </c>
      <c r="DG27" s="56">
        <f>SUMIFS(tblActuals35415192327[Team 2 Points],tblActuals35415192327[Team 2],$CU27,tblActuals35415192327[Team 1],DG$3)+SUMIFS(tblActuals35415192327[Team 1 Points],tblActuals35415192327[Team 1],$CU27,tblActuals35415192327[Team 2],DG$3)</f>
        <v>0</v>
      </c>
      <c r="DH27" s="56">
        <f>SUMIFS(tblActuals35415192327[Team 2 Points],tblActuals35415192327[Team 2],$CU27,tblActuals35415192327[Team 1],DH$3)+SUMIFS(tblActuals35415192327[Team 1 Points],tblActuals35415192327[Team 1],$CU27,tblActuals35415192327[Team 2],DH$3)</f>
        <v>0</v>
      </c>
      <c r="DI27" s="56">
        <f>SUMIFS(tblActuals35415192327[Team 2 Points],tblActuals35415192327[Team 2],$CU27,tblActuals35415192327[Team 1],DI$3)+SUMIFS(tblActuals35415192327[Team 1 Points],tblActuals35415192327[Team 1],$CU27,tblActuals35415192327[Team 2],DI$3)</f>
        <v>0</v>
      </c>
      <c r="DJ27" s="56">
        <f>SUMIFS(tblActuals35415192327[Team 2 Points],tblActuals35415192327[Team 2],$CU27,tblActuals35415192327[Team 1],DJ$3)+SUMIFS(tblActuals35415192327[Team 1 Points],tblActuals35415192327[Team 1],$CU27,tblActuals35415192327[Team 2],DJ$3)</f>
        <v>0</v>
      </c>
      <c r="DK27" s="56">
        <f>SUMIFS(tblActuals35415192327[Team 2 Points],tblActuals35415192327[Team 2],$CU27,tblActuals35415192327[Team 1],DK$3)+SUMIFS(tblActuals35415192327[Team 1 Points],tblActuals35415192327[Team 1],$CU27,tblActuals35415192327[Team 2],DK$3)</f>
        <v>0</v>
      </c>
      <c r="DL27" s="56">
        <f>SUMIFS(tblActuals35415192327[Team 2 Points],tblActuals35415192327[Team 2],$CU27,tblActuals35415192327[Team 1],DL$3)+SUMIFS(tblActuals35415192327[Team 1 Points],tblActuals35415192327[Team 1],$CU27,tblActuals35415192327[Team 2],DL$3)</f>
        <v>0</v>
      </c>
      <c r="DM27" s="56">
        <f>SUMIFS(tblActuals35415192327[Team 2 Points],tblActuals35415192327[Team 2],$CU27,tblActuals35415192327[Team 1],DM$3)+SUMIFS(tblActuals35415192327[Team 1 Points],tblActuals35415192327[Team 1],$CU27,tblActuals35415192327[Team 2],DM$3)</f>
        <v>0</v>
      </c>
      <c r="DN27" s="56">
        <f>SUMIFS(tblActuals35415192327[Team 2 Points],tblActuals35415192327[Team 2],$CU27,tblActuals35415192327[Team 1],DN$3)+SUMIFS(tblActuals35415192327[Team 1 Points],tblActuals35415192327[Team 1],$CU27,tblActuals35415192327[Team 2],DN$3)</f>
        <v>0</v>
      </c>
      <c r="DO27" s="56">
        <f>SUMIFS(tblActuals35415192327[Team 2 Points],tblActuals35415192327[Team 2],$CU27,tblActuals35415192327[Team 1],DO$3)+SUMIFS(tblActuals35415192327[Team 1 Points],tblActuals35415192327[Team 1],$CU27,tblActuals35415192327[Team 2],DO$3)</f>
        <v>0</v>
      </c>
      <c r="DP27" s="56">
        <f>SUMIFS(tblActuals35415192327[Team 2 Points],tblActuals35415192327[Team 2],$CU27,tblActuals35415192327[Team 1],DP$3)+SUMIFS(tblActuals35415192327[Team 1 Points],tblActuals35415192327[Team 1],$CU27,tblActuals35415192327[Team 2],DP$3)</f>
        <v>0</v>
      </c>
      <c r="DQ27" s="56">
        <f>SUMIFS(tblActuals35415192327[Team 2 Points],tblActuals35415192327[Team 2],$CU27,tblActuals35415192327[Team 1],DQ$3)+SUMIFS(tblActuals35415192327[Team 1 Points],tblActuals35415192327[Team 1],$CU27,tblActuals35415192327[Team 2],DQ$3)</f>
        <v>0</v>
      </c>
      <c r="DR27" s="56">
        <f>SUMIFS(tblActuals35415192327[Team 2 Points],tblActuals35415192327[Team 2],$CU27,tblActuals35415192327[Team 1],DR$3)+SUMIFS(tblActuals35415192327[Team 1 Points],tblActuals35415192327[Team 1],$CU27,tblActuals35415192327[Team 2],DR$3)</f>
        <v>0</v>
      </c>
      <c r="DS27" s="56">
        <f>SUMIFS(tblActuals35415192327[Team 2 Points],tblActuals35415192327[Team 2],$CU27,tblActuals35415192327[Team 1],DS$3)+SUMIFS(tblActuals35415192327[Team 1 Points],tblActuals35415192327[Team 1],$CU27,tblActuals35415192327[Team 2],DS$3)</f>
        <v>0</v>
      </c>
      <c r="DT27" s="57"/>
      <c r="DU27" s="57"/>
      <c r="DV27" s="57"/>
      <c r="DW27" s="57"/>
      <c r="DX27" s="57"/>
      <c r="DY27" s="57"/>
      <c r="DZ27" s="57"/>
      <c r="EA27" s="57"/>
      <c r="EB27" s="4"/>
      <c r="EC27" s="4" t="s">
        <v>135</v>
      </c>
      <c r="ED27" s="56">
        <f>SUMIFS(tblActuals35415192327[Team 2 GD],tblActuals35415192327[Team 2],$CU27,tblActuals35415192327[Team 1],ED$3)+SUMIFS(tblActuals35415192327[Team 1 GD],tblActuals35415192327[Team 1],$CU27,tblActuals35415192327[Team 2],ED$3)</f>
        <v>0</v>
      </c>
      <c r="EE27" s="56">
        <f>SUMIFS(tblActuals35415192327[Team 2 GD],tblActuals35415192327[Team 2],$CU27,tblActuals35415192327[Team 1],EE$3)+SUMIFS(tblActuals35415192327[Team 1 GD],tblActuals35415192327[Team 1],$CU27,tblActuals35415192327[Team 2],EE$3)</f>
        <v>0</v>
      </c>
      <c r="EF27" s="56">
        <f>SUMIFS(tblActuals35415192327[Team 2 GD],tblActuals35415192327[Team 2],$CU27,tblActuals35415192327[Team 1],EF$3)+SUMIFS(tblActuals35415192327[Team 1 GD],tblActuals35415192327[Team 1],$CU27,tblActuals35415192327[Team 2],EF$3)</f>
        <v>0</v>
      </c>
      <c r="EG27" s="56">
        <f>SUMIFS(tblActuals35415192327[Team 2 GD],tblActuals35415192327[Team 2],$CU27,tblActuals35415192327[Team 1],EG$3)+SUMIFS(tblActuals35415192327[Team 1 GD],tblActuals35415192327[Team 1],$CU27,tblActuals35415192327[Team 2],EG$3)</f>
        <v>0</v>
      </c>
      <c r="EH27" s="56">
        <f>SUMIFS(tblActuals35415192327[Team 2 GD],tblActuals35415192327[Team 2],$CU27,tblActuals35415192327[Team 1],EH$3)+SUMIFS(tblActuals35415192327[Team 1 GD],tblActuals35415192327[Team 1],$CU27,tblActuals35415192327[Team 2],EH$3)</f>
        <v>0</v>
      </c>
      <c r="EI27" s="56">
        <f>SUMIFS(tblActuals35415192327[Team 2 GD],tblActuals35415192327[Team 2],$CU27,tblActuals35415192327[Team 1],EI$3)+SUMIFS(tblActuals35415192327[Team 1 GD],tblActuals35415192327[Team 1],$CU27,tblActuals35415192327[Team 2],EI$3)</f>
        <v>0</v>
      </c>
      <c r="EJ27" s="56">
        <f>SUMIFS(tblActuals35415192327[Team 2 GD],tblActuals35415192327[Team 2],$CU27,tblActuals35415192327[Team 1],EJ$3)+SUMIFS(tblActuals35415192327[Team 1 GD],tblActuals35415192327[Team 1],$CU27,tblActuals35415192327[Team 2],EJ$3)</f>
        <v>0</v>
      </c>
      <c r="EK27" s="56">
        <f>SUMIFS(tblActuals35415192327[Team 2 GD],tblActuals35415192327[Team 2],$CU27,tblActuals35415192327[Team 1],EK$3)+SUMIFS(tblActuals35415192327[Team 1 GD],tblActuals35415192327[Team 1],$CU27,tblActuals35415192327[Team 2],EK$3)</f>
        <v>0</v>
      </c>
      <c r="EL27" s="56">
        <f>SUMIFS(tblActuals35415192327[Team 2 GD],tblActuals35415192327[Team 2],$CU27,tblActuals35415192327[Team 1],EL$3)+SUMIFS(tblActuals35415192327[Team 1 GD],tblActuals35415192327[Team 1],$CU27,tblActuals35415192327[Team 2],EL$3)</f>
        <v>0</v>
      </c>
      <c r="EM27" s="56">
        <f>SUMIFS(tblActuals35415192327[Team 2 GD],tblActuals35415192327[Team 2],$CU27,tblActuals35415192327[Team 1],EM$3)+SUMIFS(tblActuals35415192327[Team 1 GD],tblActuals35415192327[Team 1],$CU27,tblActuals35415192327[Team 2],EM$3)</f>
        <v>0</v>
      </c>
      <c r="EN27" s="56">
        <f>SUMIFS(tblActuals35415192327[Team 2 GD],tblActuals35415192327[Team 2],$CU27,tblActuals35415192327[Team 1],EN$3)+SUMIFS(tblActuals35415192327[Team 1 GD],tblActuals35415192327[Team 1],$CU27,tblActuals35415192327[Team 2],EN$3)</f>
        <v>0</v>
      </c>
      <c r="EO27" s="56">
        <f>SUMIFS(tblActuals35415192327[Team 2 GD],tblActuals35415192327[Team 2],$CU27,tblActuals35415192327[Team 1],EO$3)+SUMIFS(tblActuals35415192327[Team 1 GD],tblActuals35415192327[Team 1],$CU27,tblActuals35415192327[Team 2],EO$3)</f>
        <v>0</v>
      </c>
      <c r="EP27" s="56">
        <f>SUMIFS(tblActuals35415192327[Team 2 GD],tblActuals35415192327[Team 2],$CU27,tblActuals35415192327[Team 1],EP$3)+SUMIFS(tblActuals35415192327[Team 1 GD],tblActuals35415192327[Team 1],$CU27,tblActuals35415192327[Team 2],EP$3)</f>
        <v>0</v>
      </c>
      <c r="EQ27" s="56">
        <f>SUMIFS(tblActuals35415192327[Team 2 GD],tblActuals35415192327[Team 2],$CU27,tblActuals35415192327[Team 1],EQ$3)+SUMIFS(tblActuals35415192327[Team 1 GD],tblActuals35415192327[Team 1],$CU27,tblActuals35415192327[Team 2],EQ$3)</f>
        <v>0</v>
      </c>
      <c r="ER27" s="56">
        <f>SUMIFS(tblActuals35415192327[Team 2 GD],tblActuals35415192327[Team 2],$CU27,tblActuals35415192327[Team 1],ER$3)+SUMIFS(tblActuals35415192327[Team 1 GD],tblActuals35415192327[Team 1],$CU27,tblActuals35415192327[Team 2],ER$3)</f>
        <v>0</v>
      </c>
      <c r="ES27" s="56">
        <f>SUMIFS(tblActuals35415192327[Team 2 GD],tblActuals35415192327[Team 2],$CU27,tblActuals35415192327[Team 1],ES$3)+SUMIFS(tblActuals35415192327[Team 1 GD],tblActuals35415192327[Team 1],$CU27,tblActuals35415192327[Team 2],ES$3)</f>
        <v>0</v>
      </c>
      <c r="ET27" s="56">
        <f>SUMIFS(tblActuals35415192327[Team 2 GD],tblActuals35415192327[Team 2],$CU27,tblActuals35415192327[Team 1],ET$3)+SUMIFS(tblActuals35415192327[Team 1 GD],tblActuals35415192327[Team 1],$CU27,tblActuals35415192327[Team 2],ET$3)</f>
        <v>0</v>
      </c>
      <c r="EU27" s="56">
        <f>SUMIFS(tblActuals35415192327[Team 2 GD],tblActuals35415192327[Team 2],$CU27,tblActuals35415192327[Team 1],EU$3)+SUMIFS(tblActuals35415192327[Team 1 GD],tblActuals35415192327[Team 1],$CU27,tblActuals35415192327[Team 2],EU$3)</f>
        <v>0</v>
      </c>
      <c r="EV27" s="56">
        <f>SUMIFS(tblActuals35415192327[Team 2 GD],tblActuals35415192327[Team 2],$CU27,tblActuals35415192327[Team 1],EV$3)+SUMIFS(tblActuals35415192327[Team 1 GD],tblActuals35415192327[Team 1],$CU27,tblActuals35415192327[Team 2],EV$3)</f>
        <v>0</v>
      </c>
      <c r="EW27" s="56">
        <f>SUMIFS(tblActuals35415192327[Team 2 GD],tblActuals35415192327[Team 2],$CU27,tblActuals35415192327[Team 1],EW$3)+SUMIFS(tblActuals35415192327[Team 1 GD],tblActuals35415192327[Team 1],$CU27,tblActuals35415192327[Team 2],EW$3)</f>
        <v>0</v>
      </c>
      <c r="EX27" s="56">
        <f>SUMIFS(tblActuals35415192327[Team 2 GD],tblActuals35415192327[Team 2],$CU27,tblActuals35415192327[Team 1],EX$3)+SUMIFS(tblActuals35415192327[Team 1 GD],tblActuals35415192327[Team 1],$CU27,tblActuals35415192327[Team 2],EX$3)</f>
        <v>0</v>
      </c>
      <c r="EY27" s="56">
        <f>SUMIFS(tblActuals35415192327[Team 2 GD],tblActuals35415192327[Team 2],$CU27,tblActuals35415192327[Team 1],EY$3)+SUMIFS(tblActuals35415192327[Team 1 GD],tblActuals35415192327[Team 1],$CU27,tblActuals35415192327[Team 2],EY$3)</f>
        <v>0</v>
      </c>
      <c r="EZ27" s="56">
        <f>SUMIFS(tblActuals35415192327[Team 2 GD],tblActuals35415192327[Team 2],$CU27,tblActuals35415192327[Team 1],EZ$3)+SUMIFS(tblActuals35415192327[Team 1 GD],tblActuals35415192327[Team 1],$CU27,tblActuals35415192327[Team 2],EZ$3)</f>
        <v>0</v>
      </c>
      <c r="FA27" s="56">
        <f>SUMIFS(tblActuals35415192327[Team 2 GD],tblActuals35415192327[Team 2],$CU27,tblActuals35415192327[Team 1],FA$3)+SUMIFS(tblActuals35415192327[Team 1 GD],tblActuals35415192327[Team 1],$CU27,tblActuals35415192327[Team 2],FA$3)</f>
        <v>0</v>
      </c>
      <c r="FB27" s="57"/>
      <c r="FC27" s="57"/>
      <c r="FD27" s="57"/>
      <c r="FE27" s="57"/>
      <c r="FF27" s="57"/>
      <c r="FG27" s="57"/>
      <c r="FH27" s="57"/>
      <c r="FI27" s="57"/>
      <c r="FJ27" s="4"/>
      <c r="FK27" s="4" t="s">
        <v>135</v>
      </c>
      <c r="FL27" s="56">
        <f>SUMIFS(tblActuals35415192327[Team 2 Goals],tblActuals35415192327[Team 2],$CU27,tblActuals35415192327[Team 1],FL$3)+SUMIFS(tblActuals35415192327[Team 1 Goals],tblActuals35415192327[Team 1],$CU27,tblActuals35415192327[Team 2],FL$3)</f>
        <v>0</v>
      </c>
      <c r="FM27" s="56">
        <f>SUMIFS(tblActuals35415192327[Team 2 Goals],tblActuals35415192327[Team 2],$CU27,tblActuals35415192327[Team 1],FM$3)+SUMIFS(tblActuals35415192327[Team 1 Goals],tblActuals35415192327[Team 1],$CU27,tblActuals35415192327[Team 2],FM$3)</f>
        <v>0</v>
      </c>
      <c r="FN27" s="56">
        <f>SUMIFS(tblActuals35415192327[Team 2 Goals],tblActuals35415192327[Team 2],$CU27,tblActuals35415192327[Team 1],FN$3)+SUMIFS(tblActuals35415192327[Team 1 Goals],tblActuals35415192327[Team 1],$CU27,tblActuals35415192327[Team 2],FN$3)</f>
        <v>0</v>
      </c>
      <c r="FO27" s="56">
        <f>SUMIFS(tblActuals35415192327[Team 2 Goals],tblActuals35415192327[Team 2],$CU27,tblActuals35415192327[Team 1],FO$3)+SUMIFS(tblActuals35415192327[Team 1 Goals],tblActuals35415192327[Team 1],$CU27,tblActuals35415192327[Team 2],FO$3)</f>
        <v>0</v>
      </c>
      <c r="FP27" s="56">
        <f>SUMIFS(tblActuals35415192327[Team 2 Goals],tblActuals35415192327[Team 2],$CU27,tblActuals35415192327[Team 1],FP$3)+SUMIFS(tblActuals35415192327[Team 1 Goals],tblActuals35415192327[Team 1],$CU27,tblActuals35415192327[Team 2],FP$3)</f>
        <v>0</v>
      </c>
      <c r="FQ27" s="56">
        <f>SUMIFS(tblActuals35415192327[Team 2 Goals],tblActuals35415192327[Team 2],$CU27,tblActuals35415192327[Team 1],FQ$3)+SUMIFS(tblActuals35415192327[Team 1 Goals],tblActuals35415192327[Team 1],$CU27,tblActuals35415192327[Team 2],FQ$3)</f>
        <v>0</v>
      </c>
      <c r="FR27" s="56">
        <f>SUMIFS(tblActuals35415192327[Team 2 Goals],tblActuals35415192327[Team 2],$CU27,tblActuals35415192327[Team 1],FR$3)+SUMIFS(tblActuals35415192327[Team 1 Goals],tblActuals35415192327[Team 1],$CU27,tblActuals35415192327[Team 2],FR$3)</f>
        <v>0</v>
      </c>
      <c r="FS27" s="56">
        <f>SUMIFS(tblActuals35415192327[Team 2 Goals],tblActuals35415192327[Team 2],$CU27,tblActuals35415192327[Team 1],FS$3)+SUMIFS(tblActuals35415192327[Team 1 Goals],tblActuals35415192327[Team 1],$CU27,tblActuals35415192327[Team 2],FS$3)</f>
        <v>0</v>
      </c>
      <c r="FT27" s="56">
        <f>SUMIFS(tblActuals35415192327[Team 2 Goals],tblActuals35415192327[Team 2],$CU27,tblActuals35415192327[Team 1],FT$3)+SUMIFS(tblActuals35415192327[Team 1 Goals],tblActuals35415192327[Team 1],$CU27,tblActuals35415192327[Team 2],FT$3)</f>
        <v>0</v>
      </c>
      <c r="FU27" s="56">
        <f>SUMIFS(tblActuals35415192327[Team 2 Goals],tblActuals35415192327[Team 2],$CU27,tblActuals35415192327[Team 1],FU$3)+SUMIFS(tblActuals35415192327[Team 1 Goals],tblActuals35415192327[Team 1],$CU27,tblActuals35415192327[Team 2],FU$3)</f>
        <v>0</v>
      </c>
      <c r="FV27" s="56">
        <f>SUMIFS(tblActuals35415192327[Team 2 Goals],tblActuals35415192327[Team 2],$CU27,tblActuals35415192327[Team 1],FV$3)+SUMIFS(tblActuals35415192327[Team 1 Goals],tblActuals35415192327[Team 1],$CU27,tblActuals35415192327[Team 2],FV$3)</f>
        <v>0</v>
      </c>
      <c r="FW27" s="56">
        <f>SUMIFS(tblActuals35415192327[Team 2 Goals],tblActuals35415192327[Team 2],$CU27,tblActuals35415192327[Team 1],FW$3)+SUMIFS(tblActuals35415192327[Team 1 Goals],tblActuals35415192327[Team 1],$CU27,tblActuals35415192327[Team 2],FW$3)</f>
        <v>0</v>
      </c>
      <c r="FX27" s="56">
        <f>SUMIFS(tblActuals35415192327[Team 2 Goals],tblActuals35415192327[Team 2],$CU27,tblActuals35415192327[Team 1],FX$3)+SUMIFS(tblActuals35415192327[Team 1 Goals],tblActuals35415192327[Team 1],$CU27,tblActuals35415192327[Team 2],FX$3)</f>
        <v>0</v>
      </c>
      <c r="FY27" s="56">
        <f>SUMIFS(tblActuals35415192327[Team 2 Goals],tblActuals35415192327[Team 2],$CU27,tblActuals35415192327[Team 1],FY$3)+SUMIFS(tblActuals35415192327[Team 1 Goals],tblActuals35415192327[Team 1],$CU27,tblActuals35415192327[Team 2],FY$3)</f>
        <v>0</v>
      </c>
      <c r="FZ27" s="56">
        <f>SUMIFS(tblActuals35415192327[Team 2 Goals],tblActuals35415192327[Team 2],$CU27,tblActuals35415192327[Team 1],FZ$3)+SUMIFS(tblActuals35415192327[Team 1 Goals],tblActuals35415192327[Team 1],$CU27,tblActuals35415192327[Team 2],FZ$3)</f>
        <v>0</v>
      </c>
      <c r="GA27" s="56">
        <f>SUMIFS(tblActuals35415192327[Team 2 Goals],tblActuals35415192327[Team 2],$CU27,tblActuals35415192327[Team 1],GA$3)+SUMIFS(tblActuals35415192327[Team 1 Goals],tblActuals35415192327[Team 1],$CU27,tblActuals35415192327[Team 2],GA$3)</f>
        <v>0</v>
      </c>
      <c r="GB27" s="56">
        <f>SUMIFS(tblActuals35415192327[Team 2 Goals],tblActuals35415192327[Team 2],$CU27,tblActuals35415192327[Team 1],GB$3)+SUMIFS(tblActuals35415192327[Team 1 Goals],tblActuals35415192327[Team 1],$CU27,tblActuals35415192327[Team 2],GB$3)</f>
        <v>0</v>
      </c>
      <c r="GC27" s="56">
        <f>SUMIFS(tblActuals35415192327[Team 2 Goals],tblActuals35415192327[Team 2],$CU27,tblActuals35415192327[Team 1],GC$3)+SUMIFS(tblActuals35415192327[Team 1 Goals],tblActuals35415192327[Team 1],$CU27,tblActuals35415192327[Team 2],GC$3)</f>
        <v>0</v>
      </c>
      <c r="GD27" s="56">
        <f>SUMIFS(tblActuals35415192327[Team 2 Goals],tblActuals35415192327[Team 2],$CU27,tblActuals35415192327[Team 1],GD$3)+SUMIFS(tblActuals35415192327[Team 1 Goals],tblActuals35415192327[Team 1],$CU27,tblActuals35415192327[Team 2],GD$3)</f>
        <v>0</v>
      </c>
      <c r="GE27" s="56">
        <f>SUMIFS(tblActuals35415192327[Team 2 Goals],tblActuals35415192327[Team 2],$CU27,tblActuals35415192327[Team 1],GE$3)+SUMIFS(tblActuals35415192327[Team 1 Goals],tblActuals35415192327[Team 1],$CU27,tblActuals35415192327[Team 2],GE$3)</f>
        <v>0</v>
      </c>
      <c r="GF27" s="56">
        <f>SUMIFS(tblActuals35415192327[Team 2 Goals],tblActuals35415192327[Team 2],$CU27,tblActuals35415192327[Team 1],GF$3)+SUMIFS(tblActuals35415192327[Team 1 Goals],tblActuals35415192327[Team 1],$CU27,tblActuals35415192327[Team 2],GF$3)</f>
        <v>0</v>
      </c>
      <c r="GG27" s="56">
        <f>SUMIFS(tblActuals35415192327[Team 2 Goals],tblActuals35415192327[Team 2],$CU27,tblActuals35415192327[Team 1],GG$3)+SUMIFS(tblActuals35415192327[Team 1 Goals],tblActuals35415192327[Team 1],$CU27,tblActuals35415192327[Team 2],GG$3)</f>
        <v>0</v>
      </c>
      <c r="GH27" s="56">
        <f>SUMIFS(tblActuals35415192327[Team 2 Goals],tblActuals35415192327[Team 2],$CU27,tblActuals35415192327[Team 1],GH$3)+SUMIFS(tblActuals35415192327[Team 1 Goals],tblActuals35415192327[Team 1],$CU27,tblActuals35415192327[Team 2],GH$3)</f>
        <v>0</v>
      </c>
      <c r="GI27" s="56">
        <f>SUMIFS(tblActuals35415192327[Team 2 Goals],tblActuals35415192327[Team 2],$CU27,tblActuals35415192327[Team 1],GI$3)+SUMIFS(tblActuals35415192327[Team 1 Goals],tblActuals35415192327[Team 1],$CU27,tblActuals35415192327[Team 2],GI$3)</f>
        <v>0</v>
      </c>
      <c r="GJ27" s="57"/>
      <c r="GK27" s="57"/>
      <c r="GL27" s="37"/>
      <c r="GM27" s="37"/>
      <c r="GN27" s="37"/>
      <c r="GO27" s="37"/>
      <c r="GP27" s="37"/>
      <c r="GQ27" s="37"/>
      <c r="GR27" s="75"/>
      <c r="GS27" s="148"/>
      <c r="GT27" s="148"/>
      <c r="GU27" s="75"/>
      <c r="GV27" s="75"/>
      <c r="GW27" s="75"/>
      <c r="GX27" s="75"/>
      <c r="GY27" s="75"/>
      <c r="GZ27" s="75"/>
    </row>
    <row r="28" spans="1:221" s="11" customFormat="1" ht="30" customHeight="1" thickBot="1" x14ac:dyDescent="0.3">
      <c r="A28" s="20"/>
      <c r="B28" s="122">
        <v>25</v>
      </c>
      <c r="C28" s="122" t="s">
        <v>1</v>
      </c>
      <c r="D28" s="123">
        <v>45466</v>
      </c>
      <c r="E28" s="122" t="s">
        <v>86</v>
      </c>
      <c r="F28" s="124">
        <v>0.875</v>
      </c>
      <c r="G28" s="125">
        <f t="shared" si="11"/>
        <v>45466.625</v>
      </c>
      <c r="H28" s="122" t="s">
        <v>113</v>
      </c>
      <c r="I28" s="126"/>
      <c r="J28" s="118"/>
      <c r="K28" s="118"/>
      <c r="L28" s="174">
        <f>IF(I28="",0,IFERROR(IF(SCORING.RULES!$C$8="No",1,((VLOOKUP($B28,ACTUALS!$B$4:$L$100,7,FALSE)=$H28)+(VLOOKUP($B28,ACTUALS!$B$4:$L$100,7,FALSE)=S28)))*(M28+N28+O28+P28+Q28),0))+$R28</f>
        <v>0</v>
      </c>
      <c r="M28" s="168">
        <f>IFERROR(IF($B28="","",IF(U28=INDEX(ACTUALS!$AA$4:$AA$100,MATCH($B28,ACTUALS!$B$4:$B$100,0),1),CorrectScore,0)),0)</f>
        <v>0</v>
      </c>
      <c r="N28" s="157" t="str">
        <f>IFERROR(IF(I28="","",IF(INDEX(ACTUALS!$AB$4:$AB$100,MATCH($B28,ACTUALS!$B$4:$B$100,0),1)=(AB28+AC28+AH28+AI28),CorrectNumberofGoals,0)),0)</f>
        <v/>
      </c>
      <c r="O28" s="157"/>
      <c r="P28" s="157">
        <f>IFERROR(IF(B28="","",IF(INDEX(ACTUALS!$L$4:$L$100,MATCH($B28,ACTUALS!$B$4:$B$100,0),1)=W28,CorrectResult,0)),0)</f>
        <v>3</v>
      </c>
      <c r="Q28" s="157"/>
      <c r="R28" s="157"/>
      <c r="S28" s="157" t="str">
        <f t="shared" si="0"/>
        <v/>
      </c>
      <c r="T28" s="157"/>
      <c r="U28" s="157" t="str">
        <f t="shared" si="1"/>
        <v/>
      </c>
      <c r="V28" s="157" t="str">
        <f t="shared" si="2"/>
        <v/>
      </c>
      <c r="W28" s="119" t="str">
        <f>IF(tblActuals35415192327[[#This Row],[SCORE]]="","",IF(AB28=AC28,"Draw",IF(AB28&gt;AC28,X28,Y28)))</f>
        <v/>
      </c>
      <c r="X28" s="120" t="str">
        <f>IF(tblActuals35415192327[[#This Row],[TEAMS]]="","",LEFT(H28,FIND(" -",H28,1)-1))</f>
        <v>Switzerland</v>
      </c>
      <c r="Y28" s="120" t="str">
        <f>IF(tblActuals35415192327[[#This Row],[TEAMS]]="","",MID(H28,FIND("-",H28,1)+2,LEN(H28)-FIND("-",H28,1)+2))</f>
        <v>Germany</v>
      </c>
      <c r="Z28" s="120" t="str">
        <f>IF(tblActuals35415192327[[#This Row],[Team 1 Goals]]&gt;tblActuals35415192327[[#This Row],[Team 2 Goals]],tblActuals35415192327[[#This Row],[Team 1]],IF(tblActuals35415192327[[#This Row],[Team 2 Goals]]&gt;tblActuals35415192327[[#This Row],[Team 1 Goals]],tblActuals35415192327[[#This Row],[Team 2]],""))</f>
        <v/>
      </c>
      <c r="AA28" s="120" t="str">
        <f>IF(tblActuals35415192327[[#This Row],[Winner]]=tblActuals35415192327[[#This Row],[Team 1]],tblActuals35415192327[[#This Row],[Team 2]],IF(tblActuals35415192327[[#This Row],[Winner]]=tblActuals35415192327[[#This Row],[Team 2]],tblActuals35415192327[[#This Row],[Team 1]],""))</f>
        <v/>
      </c>
      <c r="AB28" s="120" t="str">
        <f>IF(tblActuals35415192327[[#This Row],[SCORE]]="","",LEFT(I28,FIND(":",I28,1)-1)*1)</f>
        <v/>
      </c>
      <c r="AC28" s="120" t="str">
        <f>IF(tblActuals35415192327[[#This Row],[SCORE]]="","",MID(I28,FIND(":",I28,1)+1,LEN(I28)-FIND(":",I28,1)+1)*1)</f>
        <v/>
      </c>
      <c r="AD28" s="120" t="str">
        <f>IF(OR(tblActuals35415192327[[#This Row],[Team 1 Goals]]="",tblActuals35415192327[[#This Row],[Team 2 Goals]]=""),"",tblActuals35415192327[[#This Row],[Team 1 Goals]]-tblActuals35415192327[[#This Row],[Team 2 Goals]])</f>
        <v/>
      </c>
      <c r="AE28" s="120" t="str">
        <f>IF(OR(tblActuals35415192327[[#This Row],[Team 1 Goals]]="",tblActuals35415192327[[#This Row],[Team 2 Goals]]=""),"",tblActuals35415192327[[#This Row],[Team 2 Goals]]-tblActuals35415192327[[#This Row],[Team 1 Goals]])</f>
        <v/>
      </c>
      <c r="AF28" s="120" t="str">
        <f>IF(tblActuals35415192327[[#This Row],[SCORE]]="","",IF(tblActuals35415192327[[#This Row],[WINNER / RESULT]]="Draw",1,IF(tblActuals35415192327[[#This Row],[WINNER / RESULT]]=tblActuals35415192327[[#This Row],[Team 1]],3,0)))</f>
        <v/>
      </c>
      <c r="AG28" s="120" t="str">
        <f>IF(tblActuals35415192327[[#This Row],[SCORE]]="","",IF(tblActuals35415192327[[#This Row],[WINNER / RESULT]]="Draw",1,IF(tblActuals35415192327[[#This Row],[WINNER / RESULT]]=tblActuals35415192327[[#This Row],[Team 2]],3,0)))</f>
        <v/>
      </c>
      <c r="AH28" s="121"/>
      <c r="AI28" s="121"/>
      <c r="AJ28" s="121"/>
      <c r="AK28" s="121"/>
      <c r="AL28" s="120" t="e">
        <f>tblActuals35415192327[[#This Row],[Team 1 Goals]]+tblActuals35415192327[[#This Row],[Team 1 ET Goals]]&amp;":"&amp;tblActuals35415192327[[#This Row],[Team 2 Goals]]+tblActuals35415192327[[#This Row],[Team 2 ET Goals]]</f>
        <v>#VALUE!</v>
      </c>
      <c r="AM28" s="120" t="e">
        <f>+tblActuals35415192327[[#This Row],[Team 1 Goals]]+tblActuals35415192327[[#This Row],[Team 2 Goals]]</f>
        <v>#VALUE!</v>
      </c>
      <c r="AN28" s="161">
        <f t="shared" si="3"/>
        <v>45466</v>
      </c>
      <c r="AT28" s="77"/>
      <c r="AU28" s="148"/>
      <c r="AV28" s="148"/>
      <c r="AW28" s="148"/>
      <c r="AX28" s="148"/>
      <c r="AY28" s="148"/>
      <c r="AZ28" s="75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 t="str">
        <f t="shared" si="4"/>
        <v/>
      </c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U28" s="4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4"/>
      <c r="EC28" s="4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4"/>
      <c r="FK28" s="4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  <c r="GL28" s="37"/>
      <c r="GM28" s="37"/>
      <c r="GN28" s="37"/>
      <c r="GO28" s="37"/>
      <c r="GP28" s="37"/>
      <c r="GQ28" s="37"/>
      <c r="GR28" s="75"/>
      <c r="GS28" s="148"/>
      <c r="GT28" s="148"/>
      <c r="GU28" s="75"/>
      <c r="GV28" s="75"/>
      <c r="GW28" s="75"/>
      <c r="GX28" s="75"/>
      <c r="GY28" s="75"/>
      <c r="GZ28" s="75"/>
    </row>
    <row r="29" spans="1:221" s="11" customFormat="1" ht="30" customHeight="1" thickBot="1" x14ac:dyDescent="0.3">
      <c r="A29" s="20"/>
      <c r="B29" s="122">
        <v>26</v>
      </c>
      <c r="C29" s="122" t="s">
        <v>1</v>
      </c>
      <c r="D29" s="123">
        <v>45466</v>
      </c>
      <c r="E29" s="122" t="s">
        <v>83</v>
      </c>
      <c r="F29" s="124">
        <v>0.875</v>
      </c>
      <c r="G29" s="125">
        <f t="shared" si="11"/>
        <v>45466.625</v>
      </c>
      <c r="H29" s="122" t="s">
        <v>114</v>
      </c>
      <c r="I29" s="126"/>
      <c r="J29" s="118"/>
      <c r="K29" s="118"/>
      <c r="L29" s="174">
        <f>IF(I29="",0,IFERROR(IF(SCORING.RULES!$C$8="No",1,((VLOOKUP($B29,ACTUALS!$B$4:$L$100,7,FALSE)=$H29)+(VLOOKUP($B29,ACTUALS!$B$4:$L$100,7,FALSE)=S29)))*(M29+N29+O29+P29+Q29),0))+$R29</f>
        <v>0</v>
      </c>
      <c r="M29" s="168">
        <f>IFERROR(IF($B29="","",IF(U29=INDEX(ACTUALS!$AA$4:$AA$100,MATCH($B29,ACTUALS!$B$4:$B$100,0),1),CorrectScore,0)),0)</f>
        <v>0</v>
      </c>
      <c r="N29" s="157" t="str">
        <f>IFERROR(IF(I29="","",IF(INDEX(ACTUALS!$AB$4:$AB$100,MATCH($B29,ACTUALS!$B$4:$B$100,0),1)=(AB29+AC29+AH29+AI29),CorrectNumberofGoals,0)),0)</f>
        <v/>
      </c>
      <c r="O29" s="157"/>
      <c r="P29" s="157">
        <f>IFERROR(IF(B29="","",IF(INDEX(ACTUALS!$L$4:$L$100,MATCH($B29,ACTUALS!$B$4:$B$100,0),1)=W29,CorrectResult,0)),0)</f>
        <v>3</v>
      </c>
      <c r="Q29" s="157"/>
      <c r="R29" s="157"/>
      <c r="S29" s="157" t="str">
        <f t="shared" si="0"/>
        <v/>
      </c>
      <c r="T29" s="157"/>
      <c r="U29" s="157" t="str">
        <f t="shared" si="1"/>
        <v/>
      </c>
      <c r="V29" s="157" t="str">
        <f t="shared" si="2"/>
        <v/>
      </c>
      <c r="W29" s="119" t="str">
        <f>IF(tblActuals35415192327[[#This Row],[SCORE]]="","",IF(AB29=AC29,"Draw",IF(AB29&gt;AC29,X29,Y29)))</f>
        <v/>
      </c>
      <c r="X29" s="120" t="str">
        <f>IF(tblActuals35415192327[[#This Row],[TEAMS]]="","",LEFT(H29,FIND(" -",H29,1)-1))</f>
        <v>Scotland</v>
      </c>
      <c r="Y29" s="120" t="str">
        <f>IF(tblActuals35415192327[[#This Row],[TEAMS]]="","",MID(H29,FIND("-",H29,1)+2,LEN(H29)-FIND("-",H29,1)+2))</f>
        <v>Hungary</v>
      </c>
      <c r="Z29" s="120" t="str">
        <f>IF(tblActuals35415192327[[#This Row],[Team 1 Goals]]&gt;tblActuals35415192327[[#This Row],[Team 2 Goals]],tblActuals35415192327[[#This Row],[Team 1]],IF(tblActuals35415192327[[#This Row],[Team 2 Goals]]&gt;tblActuals35415192327[[#This Row],[Team 1 Goals]],tblActuals35415192327[[#This Row],[Team 2]],""))</f>
        <v/>
      </c>
      <c r="AA29" s="120" t="str">
        <f>IF(tblActuals35415192327[[#This Row],[Winner]]=tblActuals35415192327[[#This Row],[Team 1]],tblActuals35415192327[[#This Row],[Team 2]],IF(tblActuals35415192327[[#This Row],[Winner]]=tblActuals35415192327[[#This Row],[Team 2]],tblActuals35415192327[[#This Row],[Team 1]],""))</f>
        <v/>
      </c>
      <c r="AB29" s="120" t="str">
        <f>IF(tblActuals35415192327[[#This Row],[SCORE]]="","",LEFT(I29,FIND(":",I29,1)-1)*1)</f>
        <v/>
      </c>
      <c r="AC29" s="120" t="str">
        <f>IF(tblActuals35415192327[[#This Row],[SCORE]]="","",MID(I29,FIND(":",I29,1)+1,LEN(I29)-FIND(":",I29,1)+1)*1)</f>
        <v/>
      </c>
      <c r="AD29" s="120" t="str">
        <f>IF(OR(tblActuals35415192327[[#This Row],[Team 1 Goals]]="",tblActuals35415192327[[#This Row],[Team 2 Goals]]=""),"",tblActuals35415192327[[#This Row],[Team 1 Goals]]-tblActuals35415192327[[#This Row],[Team 2 Goals]])</f>
        <v/>
      </c>
      <c r="AE29" s="120" t="str">
        <f>IF(OR(tblActuals35415192327[[#This Row],[Team 1 Goals]]="",tblActuals35415192327[[#This Row],[Team 2 Goals]]=""),"",tblActuals35415192327[[#This Row],[Team 2 Goals]]-tblActuals35415192327[[#This Row],[Team 1 Goals]])</f>
        <v/>
      </c>
      <c r="AF29" s="120" t="str">
        <f>IF(tblActuals35415192327[[#This Row],[SCORE]]="","",IF(tblActuals35415192327[[#This Row],[WINNER / RESULT]]="Draw",1,IF(tblActuals35415192327[[#This Row],[WINNER / RESULT]]=tblActuals35415192327[[#This Row],[Team 1]],3,0)))</f>
        <v/>
      </c>
      <c r="AG29" s="120" t="str">
        <f>IF(tblActuals35415192327[[#This Row],[SCORE]]="","",IF(tblActuals35415192327[[#This Row],[WINNER / RESULT]]="Draw",1,IF(tblActuals35415192327[[#This Row],[WINNER / RESULT]]=tblActuals35415192327[[#This Row],[Team 2]],3,0)))</f>
        <v/>
      </c>
      <c r="AH29" s="121"/>
      <c r="AI29" s="121"/>
      <c r="AJ29" s="121"/>
      <c r="AK29" s="121"/>
      <c r="AL29" s="120" t="e">
        <f>tblActuals35415192327[[#This Row],[Team 1 Goals]]+tblActuals35415192327[[#This Row],[Team 1 ET Goals]]&amp;":"&amp;tblActuals35415192327[[#This Row],[Team 2 Goals]]+tblActuals35415192327[[#This Row],[Team 2 ET Goals]]</f>
        <v>#VALUE!</v>
      </c>
      <c r="AM29" s="120" t="e">
        <f>+tblActuals35415192327[[#This Row],[Team 1 Goals]]+tblActuals35415192327[[#This Row],[Team 2 Goals]]</f>
        <v>#VALUE!</v>
      </c>
      <c r="AN29" s="161">
        <f t="shared" si="3"/>
        <v>45466</v>
      </c>
      <c r="AT29" s="78"/>
      <c r="AU29" s="179" t="s">
        <v>55</v>
      </c>
      <c r="AV29" s="180"/>
      <c r="AW29" s="133" t="s">
        <v>46</v>
      </c>
      <c r="AX29" s="134" t="s">
        <v>57</v>
      </c>
      <c r="AY29" s="135" t="s">
        <v>11</v>
      </c>
      <c r="AZ29" s="75"/>
      <c r="BA29" s="4"/>
      <c r="BB29" s="4"/>
      <c r="BC29" s="4" t="s">
        <v>45</v>
      </c>
      <c r="BD29" s="4" t="s">
        <v>135</v>
      </c>
      <c r="BE29" s="4">
        <f>COUNTIF(tblActuals35415192327[Winner],BD29)</f>
        <v>0</v>
      </c>
      <c r="BF29" s="4">
        <f>COUNTIFS(tblActuals35415192327[Team 2],BD29,tblActuals35415192327[WINNER / RESULT],"Draw")+COUNTIFS(tblActuals35415192327[Team 1],BD29,tblActuals35415192327[WINNER / RESULT],"Draw")</f>
        <v>0</v>
      </c>
      <c r="BG29" s="4">
        <f>COUNTIF(tblActuals35415192327[Loser],BD29)</f>
        <v>0</v>
      </c>
      <c r="BH29" s="4">
        <f>BF29+(3*BE29)</f>
        <v>0</v>
      </c>
      <c r="BI29" s="4">
        <f>SUMIFS(tblActuals35415192327[Team 1 Goals],tblActuals35415192327[Team 1],BD29)+SUMIFS(tblActuals35415192327[Team 2 Goals],tblActuals35415192327[Team 2],BD29)</f>
        <v>0</v>
      </c>
      <c r="BJ29" s="4">
        <f>SUMIFS(tblActuals35415192327[Team 2 Goals],tblActuals35415192327[Team 1],BD29)+SUMIFS(tblActuals35415192327[Team 1 Goals],tblActuals35415192327[Team 2],BD29)</f>
        <v>0</v>
      </c>
      <c r="BK29" s="4">
        <f>BI29-BJ29</f>
        <v>0</v>
      </c>
      <c r="BL29" s="4">
        <f ca="1">RANK(BY29,$BY$29:$BY$32,1)</f>
        <v>1</v>
      </c>
      <c r="BM29" s="4" t="str">
        <f t="shared" si="4"/>
        <v/>
      </c>
      <c r="BN29" s="4" t="str">
        <f ca="1">IF(BM29="",BL29&amp;BC29,BM29&amp;BC29)</f>
        <v>1F</v>
      </c>
      <c r="BO29" s="4">
        <f>RANK(BH29,$BH$29:$BH$32,0)</f>
        <v>1</v>
      </c>
      <c r="BP29" s="4" cm="1">
        <f t="array" aca="1" ref="BP29" ca="1">SUMPRODUCT((OFFSET($CV$3:$EA$3,MATCH($BD29,$CU$4:$CU$35,0),0))*((IF($BO31=$BO29,$CV$3:$EA$3=$BD31,0))+(IF($BO32=$BO29,$CV$3:$EA$3=$BD32,0))+(IF($BO30=$BO29,$CV$3:$EA$3=$BD30,0))))</f>
        <v>0</v>
      </c>
      <c r="BQ29" s="4" cm="1">
        <f t="array" aca="1" ref="BQ29" ca="1">SUMPRODUCT((OFFSET($ED$3:$FI$3,MATCH($BD29,$EC$4:$EC$35,0),0))*((IF($BO31=$BO29,$ED$3:$FI$3=$BD31,0))+(IF($BO32=$BO29,$ED$3:$FI$3=$BD32,0))+(IF($BO30=$BO29,$ED$3:$FI$3=$BD30,0))))</f>
        <v>0</v>
      </c>
      <c r="BR29" s="4" cm="1">
        <f t="array" aca="1" ref="BR29" ca="1">SUMPRODUCT((OFFSET($FL$3:$GQ$3,MATCH($BD29,$FK$4:$FK$35,0),0))*((IF($BO31=$BO29,$FL$3:$GQ$3=$BD31,0))+(IF($BO32=$BO29,$FL$3:$GQ$3=$BD32,0))+(IF($BO30=$BO29,$FL$3:$GQ$3=$BD30,0))))</f>
        <v>0</v>
      </c>
      <c r="BS29" s="4" cm="1">
        <f t="array" aca="1" ref="BS29" ca="1">SUMPRODUCT((OFFSET($CV$3:$EA$3,MATCH($BD29,$CU$4:$CU$35,0),0))*((IF($BO31&lt;&gt;$BO29,$CV$3:$EA$3=$BD31,0))+(IF($BO32&lt;&gt;$BO29,$CV$3:$EA$3=$BD32,0))+(IF($BO30&lt;&gt;$BO29,$CV$3:$EA$3=$BD30,0))))</f>
        <v>0</v>
      </c>
      <c r="BT29" s="4" cm="1">
        <f t="array" aca="1" ref="BT29" ca="1">SUMPRODUCT((OFFSET($ED$3:$FI$3,MATCH($BD29,$EC$4:$EC$35,0),0))*((IF($BO31&lt;&gt;$BO29,$ED$3:$FI$3=$BD31,0))+(IF($BO32&lt;&gt;$BO29,$ED$3:$FI$3=$BD32,0))+(IF($BO30&lt;&gt;$BO29,$ED$3:$FI$3=$BD30,0))))</f>
        <v>0</v>
      </c>
      <c r="BU29" s="4" cm="1">
        <f t="array" aca="1" ref="BU29" ca="1">SUMPRODUCT((OFFSET($FL$3:$GQ$3,MATCH($BD29,$FK$4:$FK$35,0),0))*((IF($BO31&lt;&gt;$BO29,$FL$3:$GQ$3=$BD31,0))+(IF($BO32&lt;&gt;$BO29,$FL$3:$GQ$3=$BD32,0))+(IF($BO30&lt;&gt;$BO29,$FL$3:$GQ$3=$BD30,0))))</f>
        <v>0</v>
      </c>
      <c r="BV29" s="4">
        <f>BK29</f>
        <v>0</v>
      </c>
      <c r="BW29" s="4">
        <f>BI29</f>
        <v>0</v>
      </c>
      <c r="BX29" s="4">
        <f ca="1">(BP29/10)+(BQ29/100)+(BR29/1000)+(BT29/10000)+(BU29/100000)+(BV29/1000000)+(BW29/10000000)+(ROW(BS32)/100000000)</f>
        <v>3.2000000000000001E-7</v>
      </c>
      <c r="BY29" s="4">
        <f ca="1">+BO29-BX29</f>
        <v>0.99999967999999995</v>
      </c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U29" s="4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4"/>
      <c r="EC29" s="4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4"/>
      <c r="FK29" s="4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37"/>
      <c r="GM29" s="37"/>
      <c r="GN29" s="37"/>
      <c r="GO29" s="37"/>
      <c r="GP29" s="37"/>
      <c r="GQ29" s="37"/>
      <c r="GR29" s="75"/>
      <c r="GS29" s="148"/>
      <c r="GT29" s="157"/>
      <c r="GU29" s="75"/>
      <c r="GV29" s="75"/>
      <c r="GW29" s="75"/>
      <c r="GX29" s="75"/>
      <c r="GY29" s="75"/>
      <c r="GZ29" s="75"/>
    </row>
    <row r="30" spans="1:221" s="11" customFormat="1" ht="30" customHeight="1" x14ac:dyDescent="0.25">
      <c r="A30" s="20"/>
      <c r="B30" s="122">
        <v>27</v>
      </c>
      <c r="C30" s="122" t="s">
        <v>5</v>
      </c>
      <c r="D30" s="123">
        <v>45467</v>
      </c>
      <c r="E30" s="122" t="s">
        <v>85</v>
      </c>
      <c r="F30" s="124">
        <v>0.875</v>
      </c>
      <c r="G30" s="125">
        <f t="shared" si="11"/>
        <v>45467.625</v>
      </c>
      <c r="H30" s="122" t="s">
        <v>115</v>
      </c>
      <c r="I30" s="126"/>
      <c r="J30" s="118"/>
      <c r="K30" s="118"/>
      <c r="L30" s="174">
        <f>IF(I30="",0,IFERROR(IF(SCORING.RULES!$C$8="No",1,((VLOOKUP($B30,ACTUALS!$B$4:$L$100,7,FALSE)=$H30)+(VLOOKUP($B30,ACTUALS!$B$4:$L$100,7,FALSE)=S30)))*(M30+N30+O30+P30+Q30),0))+$R30</f>
        <v>0</v>
      </c>
      <c r="M30" s="168">
        <f>IFERROR(IF($B30="","",IF(U30=INDEX(ACTUALS!$AA$4:$AA$100,MATCH($B30,ACTUALS!$B$4:$B$100,0),1),CorrectScore,0)),0)</f>
        <v>0</v>
      </c>
      <c r="N30" s="157" t="str">
        <f>IFERROR(IF(I30="","",IF(INDEX(ACTUALS!$AB$4:$AB$100,MATCH($B30,ACTUALS!$B$4:$B$100,0),1)=(AB30+AC30+AH30+AI30),CorrectNumberofGoals,0)),0)</f>
        <v/>
      </c>
      <c r="O30" s="157"/>
      <c r="P30" s="157">
        <f>IFERROR(IF(B30="","",IF(INDEX(ACTUALS!$L$4:$L$100,MATCH($B30,ACTUALS!$B$4:$B$100,0),1)=W30,CorrectResult,0)),0)</f>
        <v>3</v>
      </c>
      <c r="Q30" s="157"/>
      <c r="R30" s="157"/>
      <c r="S30" s="157" t="str">
        <f t="shared" si="0"/>
        <v/>
      </c>
      <c r="T30" s="157"/>
      <c r="U30" s="157" t="str">
        <f t="shared" si="1"/>
        <v/>
      </c>
      <c r="V30" s="157" t="str">
        <f t="shared" si="2"/>
        <v/>
      </c>
      <c r="W30" s="119" t="str">
        <f>IF(tblActuals35415192327[[#This Row],[SCORE]]="","",IF(AB30=AC30,"Draw",IF(AB30&gt;AC30,X30,Y30)))</f>
        <v/>
      </c>
      <c r="X30" s="120" t="str">
        <f>IF(tblActuals35415192327[[#This Row],[TEAMS]]="","",LEFT(H30,FIND(" -",H30,1)-1))</f>
        <v>Albania</v>
      </c>
      <c r="Y30" s="120" t="str">
        <f>IF(tblActuals35415192327[[#This Row],[TEAMS]]="","",MID(H30,FIND("-",H30,1)+2,LEN(H30)-FIND("-",H30,1)+2))</f>
        <v>Spain</v>
      </c>
      <c r="Z30" s="120" t="str">
        <f>IF(tblActuals35415192327[[#This Row],[Team 1 Goals]]&gt;tblActuals35415192327[[#This Row],[Team 2 Goals]],tblActuals35415192327[[#This Row],[Team 1]],IF(tblActuals35415192327[[#This Row],[Team 2 Goals]]&gt;tblActuals35415192327[[#This Row],[Team 1 Goals]],tblActuals35415192327[[#This Row],[Team 2]],""))</f>
        <v/>
      </c>
      <c r="AA30" s="120" t="str">
        <f>IF(tblActuals35415192327[[#This Row],[Winner]]=tblActuals35415192327[[#This Row],[Team 1]],tblActuals35415192327[[#This Row],[Team 2]],IF(tblActuals35415192327[[#This Row],[Winner]]=tblActuals35415192327[[#This Row],[Team 2]],tblActuals35415192327[[#This Row],[Team 1]],""))</f>
        <v/>
      </c>
      <c r="AB30" s="120" t="str">
        <f>IF(tblActuals35415192327[[#This Row],[SCORE]]="","",LEFT(I30,FIND(":",I30,1)-1)*1)</f>
        <v/>
      </c>
      <c r="AC30" s="120" t="str">
        <f>IF(tblActuals35415192327[[#This Row],[SCORE]]="","",MID(I30,FIND(":",I30,1)+1,LEN(I30)-FIND(":",I30,1)+1)*1)</f>
        <v/>
      </c>
      <c r="AD30" s="120" t="str">
        <f>IF(OR(tblActuals35415192327[[#This Row],[Team 1 Goals]]="",tblActuals35415192327[[#This Row],[Team 2 Goals]]=""),"",tblActuals35415192327[[#This Row],[Team 1 Goals]]-tblActuals35415192327[[#This Row],[Team 2 Goals]])</f>
        <v/>
      </c>
      <c r="AE30" s="120" t="str">
        <f>IF(OR(tblActuals35415192327[[#This Row],[Team 1 Goals]]="",tblActuals35415192327[[#This Row],[Team 2 Goals]]=""),"",tblActuals35415192327[[#This Row],[Team 2 Goals]]-tblActuals35415192327[[#This Row],[Team 1 Goals]])</f>
        <v/>
      </c>
      <c r="AF30" s="120" t="str">
        <f>IF(tblActuals35415192327[[#This Row],[SCORE]]="","",IF(tblActuals35415192327[[#This Row],[WINNER / RESULT]]="Draw",1,IF(tblActuals35415192327[[#This Row],[WINNER / RESULT]]=tblActuals35415192327[[#This Row],[Team 1]],3,0)))</f>
        <v/>
      </c>
      <c r="AG30" s="120" t="str">
        <f>IF(tblActuals35415192327[[#This Row],[SCORE]]="","",IF(tblActuals35415192327[[#This Row],[WINNER / RESULT]]="Draw",1,IF(tblActuals35415192327[[#This Row],[WINNER / RESULT]]=tblActuals35415192327[[#This Row],[Team 2]],3,0)))</f>
        <v/>
      </c>
      <c r="AH30" s="121"/>
      <c r="AI30" s="121"/>
      <c r="AJ30" s="121"/>
      <c r="AK30" s="121"/>
      <c r="AL30" s="120" t="e">
        <f>tblActuals35415192327[[#This Row],[Team 1 Goals]]+tblActuals35415192327[[#This Row],[Team 1 ET Goals]]&amp;":"&amp;tblActuals35415192327[[#This Row],[Team 2 Goals]]+tblActuals35415192327[[#This Row],[Team 2 ET Goals]]</f>
        <v>#VALUE!</v>
      </c>
      <c r="AM30" s="120" t="e">
        <f>+tblActuals35415192327[[#This Row],[Team 1 Goals]]+tblActuals35415192327[[#This Row],[Team 2 Goals]]</f>
        <v>#VALUE!</v>
      </c>
      <c r="AN30" s="161">
        <f t="shared" si="3"/>
        <v>45467</v>
      </c>
      <c r="AT30" s="77" t="s">
        <v>12</v>
      </c>
      <c r="AU30" s="136">
        <v>1</v>
      </c>
      <c r="AV30" s="137" t="str">
        <f ca="1">IFERROR(INDEX(BD:BD,MATCH("1"&amp;AT30,BN:BN,0),1),"")</f>
        <v>Belgium</v>
      </c>
      <c r="AW30" s="137" t="str">
        <f ca="1">IF(AV30="","",VLOOKUP(AV30,BD:BI,2,FALSE)&amp;"-"&amp;VLOOKUP(AV30,BD:BI,3,FALSE)&amp;"-"&amp;VLOOKUP(AV30,BD:BI,4,FALSE))</f>
        <v>0-0-0</v>
      </c>
      <c r="AX30" s="137">
        <f ca="1">IF(AV30="","",VLOOKUP(AV30,BD:BK,8,FALSE))</f>
        <v>0</v>
      </c>
      <c r="AY30" s="138">
        <f ca="1">IF(AV30="","",VLOOKUP(AV30,BD:BN,5,FALSE))</f>
        <v>0</v>
      </c>
      <c r="AZ30" s="75"/>
      <c r="BA30" s="4"/>
      <c r="BB30" s="4"/>
      <c r="BC30" s="4" t="s">
        <v>45</v>
      </c>
      <c r="BD30" s="4" t="s">
        <v>134</v>
      </c>
      <c r="BE30" s="4">
        <f>COUNTIF(tblActuals35415192327[Winner],BD30)</f>
        <v>0</v>
      </c>
      <c r="BF30" s="4">
        <f>COUNTIFS(tblActuals35415192327[Team 2],BD30,tblActuals35415192327[WINNER / RESULT],"Draw")+COUNTIFS(tblActuals35415192327[Team 1],BD30,tblActuals35415192327[WINNER / RESULT],"Draw")</f>
        <v>0</v>
      </c>
      <c r="BG30" s="4">
        <f>COUNTIF(tblActuals35415192327[Loser],BD30)</f>
        <v>0</v>
      </c>
      <c r="BH30" s="4">
        <f>BF30+(3*BE30)</f>
        <v>0</v>
      </c>
      <c r="BI30" s="4">
        <f>SUMIFS(tblActuals35415192327[Team 1 Goals],tblActuals35415192327[Team 1],BD30)+SUMIFS(tblActuals35415192327[Team 2 Goals],tblActuals35415192327[Team 2],BD30)</f>
        <v>0</v>
      </c>
      <c r="BJ30" s="4">
        <f>SUMIFS(tblActuals35415192327[Team 2 Goals],tblActuals35415192327[Team 1],BD30)+SUMIFS(tblActuals35415192327[Team 1 Goals],tblActuals35415192327[Team 2],BD30)</f>
        <v>0</v>
      </c>
      <c r="BK30" s="4">
        <f>BI30-BJ30</f>
        <v>0</v>
      </c>
      <c r="BL30" s="4">
        <f ca="1">RANK(BY30,$BY$29:$BY$32,1)</f>
        <v>2</v>
      </c>
      <c r="BM30" s="4" t="str">
        <f t="shared" si="4"/>
        <v/>
      </c>
      <c r="BN30" s="4" t="str">
        <f ca="1">IF(BM30="",BL30&amp;BC30,BM30&amp;BC30)</f>
        <v>2F</v>
      </c>
      <c r="BO30" s="4">
        <f>RANK(BH30,$BH$29:$BH$32,0)</f>
        <v>1</v>
      </c>
      <c r="BP30" s="4" cm="1">
        <f t="array" aca="1" ref="BP30" ca="1">SUMPRODUCT((OFFSET($CV$3:$EA$3,MATCH($BD30,$CU$4:$CU$35,0),0))*((IF($BO31=$BO30,$CV$3:$EA$3=$BD31,0))+(IF($BO32=$BO30,$CV$3:$EA$3=$BD32,0))+(IF($BO29=$BO30,$CV$3:$EA$3=$BD29,0))))</f>
        <v>0</v>
      </c>
      <c r="BQ30" s="4" cm="1">
        <f t="array" aca="1" ref="BQ30" ca="1">SUMPRODUCT((OFFSET($ED$3:$FI$3,MATCH($BD30,$EC$4:$EC$35,0),0))*((IF($BO31=$BO30,$ED$3:$FI$3=$BD31,0))+(IF($BO32=$BO30,$ED$3:$FI$3=$BD32,0))+(IF($BO29=$BO30,$ED$3:$FI$3=$BD29,0))))</f>
        <v>0</v>
      </c>
      <c r="BR30" s="4" cm="1">
        <f t="array" aca="1" ref="BR30" ca="1">SUMPRODUCT((OFFSET($FL$3:$GQ$3,MATCH($BD30,$FK$4:$FK$35,0),0))*((IF($BO31=$BO30,$FL$3:$GQ$3=$BD31,0))+(IF($BO32=$BO30,$FL$3:$GQ$3=$BD32,0))+(IF($BO29=$BO30,$FL$3:$GQ$3=$BD29,0))))</f>
        <v>0</v>
      </c>
      <c r="BS30" s="4" cm="1">
        <f t="array" aca="1" ref="BS30" ca="1">SUMPRODUCT((OFFSET($CV$3:$EA$3,MATCH($BD30,$CU$4:$CU$35,0),0))*((IF($BO31&lt;&gt;$BO30,$CV$3:$EA$3=$BD31,0))+(IF($BO32&lt;&gt;$BO30,$CV$3:$EA$3=$BD32,0))+(IF($BO29&lt;&gt;$BO30,$CV$3:$EA$3=$BD29,0))))</f>
        <v>0</v>
      </c>
      <c r="BT30" s="4" cm="1">
        <f t="array" aca="1" ref="BT30" ca="1">SUMPRODUCT((OFFSET($ED$3:$FI$3,MATCH($BD30,$EC$4:$EC$35,0),0))*((IF($BO31&lt;&gt;$BO30,$ED$3:$FI$3=$BD31,0))+(IF($BO32&lt;&gt;$BO30,$ED$3:$FI$3=$BD32,0))+(IF($BO29&lt;&gt;$BO30,$ED$3:$FI$3=$BD29,0))))</f>
        <v>0</v>
      </c>
      <c r="BU30" s="4" cm="1">
        <f t="array" aca="1" ref="BU30" ca="1">SUMPRODUCT((OFFSET($FL$3:$GQ$3,MATCH($BD30,$FK$4:$FK$35,0),0))*((IF($BO31&lt;&gt;$BO30,$FL$3:$GQ$3=$BD31,0))+(IF($BO32&lt;&gt;$BO30,$FL$3:$GQ$3=$BD32,0))+(IF($BO29&lt;&gt;$BO30,$FL$3:$GQ$3=$BD29,0))))</f>
        <v>0</v>
      </c>
      <c r="BV30" s="4">
        <f>BK30</f>
        <v>0</v>
      </c>
      <c r="BW30" s="4">
        <f>BI30</f>
        <v>0</v>
      </c>
      <c r="BX30" s="4">
        <f ca="1">(BP30/10)+(BQ30/100)+(BR30/1000)+(BT30/10000)+(BU30/100000)+(BV30/1000000)+(BW30/10000000)+(ROW(BS31)/100000000)</f>
        <v>3.1E-7</v>
      </c>
      <c r="BY30" s="4">
        <f ca="1">+BO30-BX30</f>
        <v>0.99999969</v>
      </c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U30" s="4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4"/>
      <c r="EC30" s="4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4"/>
      <c r="FK30" s="4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37"/>
      <c r="GM30" s="37"/>
      <c r="GN30" s="37"/>
      <c r="GO30" s="37"/>
      <c r="GP30" s="37"/>
      <c r="GQ30" s="37"/>
      <c r="GR30" s="75"/>
      <c r="GS30" s="148"/>
      <c r="GT30" s="157"/>
      <c r="GU30" s="75"/>
      <c r="GV30" s="75"/>
      <c r="GW30" s="75"/>
      <c r="GX30" s="75"/>
      <c r="GY30" s="75"/>
      <c r="GZ30" s="75"/>
      <c r="HA30" s="97" t="str">
        <f>_xlfn.CONCAT(A9,A10,A11,A12,A13,A14,A15,A16)</f>
        <v/>
      </c>
    </row>
    <row r="31" spans="1:221" s="11" customFormat="1" ht="30" customHeight="1" x14ac:dyDescent="0.25">
      <c r="A31" s="20"/>
      <c r="B31" s="122">
        <v>28</v>
      </c>
      <c r="C31" s="122" t="s">
        <v>5</v>
      </c>
      <c r="D31" s="123">
        <v>45467</v>
      </c>
      <c r="E31" s="122" t="s">
        <v>87</v>
      </c>
      <c r="F31" s="124">
        <v>0.875</v>
      </c>
      <c r="G31" s="125">
        <f t="shared" si="11"/>
        <v>45467.625</v>
      </c>
      <c r="H31" s="122" t="s">
        <v>116</v>
      </c>
      <c r="I31" s="126"/>
      <c r="J31" s="118"/>
      <c r="K31" s="118"/>
      <c r="L31" s="174">
        <f>IF(I31="",0,IFERROR(IF(SCORING.RULES!$C$8="No",1,((VLOOKUP($B31,ACTUALS!$B$4:$L$100,7,FALSE)=$H31)+(VLOOKUP($B31,ACTUALS!$B$4:$L$100,7,FALSE)=S31)))*(M31+N31+O31+P31+Q31),0))+$R31</f>
        <v>0</v>
      </c>
      <c r="M31" s="168">
        <f>IFERROR(IF($B31="","",IF(U31=INDEX(ACTUALS!$AA$4:$AA$100,MATCH($B31,ACTUALS!$B$4:$B$100,0),1),CorrectScore,0)),0)</f>
        <v>0</v>
      </c>
      <c r="N31" s="157" t="str">
        <f>IFERROR(IF(I31="","",IF(INDEX(ACTUALS!$AB$4:$AB$100,MATCH($B31,ACTUALS!$B$4:$B$100,0),1)=(AB31+AC31+AH31+AI31),CorrectNumberofGoals,0)),0)</f>
        <v/>
      </c>
      <c r="O31" s="157"/>
      <c r="P31" s="157">
        <f>IFERROR(IF(B31="","",IF(INDEX(ACTUALS!$L$4:$L$100,MATCH($B31,ACTUALS!$B$4:$B$100,0),1)=W31,CorrectResult,0)),0)</f>
        <v>3</v>
      </c>
      <c r="Q31" s="157"/>
      <c r="R31" s="157"/>
      <c r="S31" s="157" t="str">
        <f t="shared" si="0"/>
        <v/>
      </c>
      <c r="T31" s="157"/>
      <c r="U31" s="157" t="str">
        <f t="shared" si="1"/>
        <v/>
      </c>
      <c r="V31" s="157" t="str">
        <f t="shared" si="2"/>
        <v/>
      </c>
      <c r="W31" s="119" t="str">
        <f>IF(tblActuals35415192327[[#This Row],[SCORE]]="","",IF(AB31=AC31,"Draw",IF(AB31&gt;AC31,X31,Y31)))</f>
        <v/>
      </c>
      <c r="X31" s="120" t="str">
        <f>IF(tblActuals35415192327[[#This Row],[TEAMS]]="","",LEFT(H31,FIND(" -",H31,1)-1))</f>
        <v>Croatia</v>
      </c>
      <c r="Y31" s="120" t="str">
        <f>IF(tblActuals35415192327[[#This Row],[TEAMS]]="","",MID(H31,FIND("-",H31,1)+2,LEN(H31)-FIND("-",H31,1)+2))</f>
        <v>Italy</v>
      </c>
      <c r="Z31" s="120" t="str">
        <f>IF(tblActuals35415192327[[#This Row],[Team 1 Goals]]&gt;tblActuals35415192327[[#This Row],[Team 2 Goals]],tblActuals35415192327[[#This Row],[Team 1]],IF(tblActuals35415192327[[#This Row],[Team 2 Goals]]&gt;tblActuals35415192327[[#This Row],[Team 1 Goals]],tblActuals35415192327[[#This Row],[Team 2]],""))</f>
        <v/>
      </c>
      <c r="AA31" s="120" t="str">
        <f>IF(tblActuals35415192327[[#This Row],[Winner]]=tblActuals35415192327[[#This Row],[Team 1]],tblActuals35415192327[[#This Row],[Team 2]],IF(tblActuals35415192327[[#This Row],[Winner]]=tblActuals35415192327[[#This Row],[Team 2]],tblActuals35415192327[[#This Row],[Team 1]],""))</f>
        <v/>
      </c>
      <c r="AB31" s="120" t="str">
        <f>IF(tblActuals35415192327[[#This Row],[SCORE]]="","",LEFT(I31,FIND(":",I31,1)-1)*1)</f>
        <v/>
      </c>
      <c r="AC31" s="120" t="str">
        <f>IF(tblActuals35415192327[[#This Row],[SCORE]]="","",MID(I31,FIND(":",I31,1)+1,LEN(I31)-FIND(":",I31,1)+1)*1)</f>
        <v/>
      </c>
      <c r="AD31" s="120" t="str">
        <f>IF(OR(tblActuals35415192327[[#This Row],[Team 1 Goals]]="",tblActuals35415192327[[#This Row],[Team 2 Goals]]=""),"",tblActuals35415192327[[#This Row],[Team 1 Goals]]-tblActuals35415192327[[#This Row],[Team 2 Goals]])</f>
        <v/>
      </c>
      <c r="AE31" s="120" t="str">
        <f>IF(OR(tblActuals35415192327[[#This Row],[Team 1 Goals]]="",tblActuals35415192327[[#This Row],[Team 2 Goals]]=""),"",tblActuals35415192327[[#This Row],[Team 2 Goals]]-tblActuals35415192327[[#This Row],[Team 1 Goals]])</f>
        <v/>
      </c>
      <c r="AF31" s="120" t="str">
        <f>IF(tblActuals35415192327[[#This Row],[SCORE]]="","",IF(tblActuals35415192327[[#This Row],[WINNER / RESULT]]="Draw",1,IF(tblActuals35415192327[[#This Row],[WINNER / RESULT]]=tblActuals35415192327[[#This Row],[Team 1]],3,0)))</f>
        <v/>
      </c>
      <c r="AG31" s="120" t="str">
        <f>IF(tblActuals35415192327[[#This Row],[SCORE]]="","",IF(tblActuals35415192327[[#This Row],[WINNER / RESULT]]="Draw",1,IF(tblActuals35415192327[[#This Row],[WINNER / RESULT]]=tblActuals35415192327[[#This Row],[Team 2]],3,0)))</f>
        <v/>
      </c>
      <c r="AH31" s="121"/>
      <c r="AI31" s="121"/>
      <c r="AJ31" s="121"/>
      <c r="AK31" s="121"/>
      <c r="AL31" s="120" t="e">
        <f>tblActuals35415192327[[#This Row],[Team 1 Goals]]+tblActuals35415192327[[#This Row],[Team 1 ET Goals]]&amp;":"&amp;tblActuals35415192327[[#This Row],[Team 2 Goals]]+tblActuals35415192327[[#This Row],[Team 2 ET Goals]]</f>
        <v>#VALUE!</v>
      </c>
      <c r="AM31" s="120" t="e">
        <f>+tblActuals35415192327[[#This Row],[Team 1 Goals]]+tblActuals35415192327[[#This Row],[Team 2 Goals]]</f>
        <v>#VALUE!</v>
      </c>
      <c r="AN31" s="161">
        <f t="shared" si="3"/>
        <v>45467</v>
      </c>
      <c r="AT31" s="77" t="s">
        <v>12</v>
      </c>
      <c r="AU31" s="139">
        <v>2</v>
      </c>
      <c r="AV31" s="140" t="str">
        <f ca="1">IFERROR(INDEX(BD:BD,MATCH("2"&amp;AT31,BN:BN,0),1),"")</f>
        <v>Romania</v>
      </c>
      <c r="AW31" s="140" t="str">
        <f ca="1">IF(AV31="","",VLOOKUP(AV31,BD:BI,2,FALSE)&amp;"-"&amp;VLOOKUP(AV31,BD:BI,3,FALSE)&amp;"-"&amp;VLOOKUP(AV31,BD:BI,4,FALSE))</f>
        <v>0-0-0</v>
      </c>
      <c r="AX31" s="140">
        <f ca="1">IF(AV31="","",VLOOKUP(AV31,BD:BK,8,FALSE))</f>
        <v>0</v>
      </c>
      <c r="AY31" s="141">
        <f ca="1">IF(AV31="","",VLOOKUP(AV31,BD:BN,5,FALSE))</f>
        <v>0</v>
      </c>
      <c r="AZ31" s="75"/>
      <c r="BA31" s="4"/>
      <c r="BB31" s="4"/>
      <c r="BC31" s="4" t="s">
        <v>45</v>
      </c>
      <c r="BD31" s="4" t="s">
        <v>30</v>
      </c>
      <c r="BE31" s="4">
        <f>COUNTIF(tblActuals35415192327[Winner],BD31)</f>
        <v>0</v>
      </c>
      <c r="BF31" s="4">
        <f>COUNTIFS(tblActuals35415192327[Team 2],BD31,tblActuals35415192327[WINNER / RESULT],"Draw")+COUNTIFS(tblActuals35415192327[Team 1],BD31,tblActuals35415192327[WINNER / RESULT],"Draw")</f>
        <v>0</v>
      </c>
      <c r="BG31" s="4">
        <f>COUNTIF(tblActuals35415192327[Loser],BD31)</f>
        <v>0</v>
      </c>
      <c r="BH31" s="4">
        <f>BF31+(3*BE31)</f>
        <v>0</v>
      </c>
      <c r="BI31" s="4">
        <f>SUMIFS(tblActuals35415192327[Team 1 Goals],tblActuals35415192327[Team 1],BD31)+SUMIFS(tblActuals35415192327[Team 2 Goals],tblActuals35415192327[Team 2],BD31)</f>
        <v>0</v>
      </c>
      <c r="BJ31" s="4">
        <f>SUMIFS(tblActuals35415192327[Team 2 Goals],tblActuals35415192327[Team 1],BD31)+SUMIFS(tblActuals35415192327[Team 1 Goals],tblActuals35415192327[Team 2],BD31)</f>
        <v>0</v>
      </c>
      <c r="BK31" s="4">
        <f>BI31-BJ31</f>
        <v>0</v>
      </c>
      <c r="BL31" s="4">
        <f ca="1">RANK(BY31,$BY$29:$BY$32,1)</f>
        <v>3</v>
      </c>
      <c r="BM31" s="4" t="str">
        <f t="shared" si="4"/>
        <v/>
      </c>
      <c r="BN31" s="4" t="str">
        <f ca="1">IF(BM31="",BL31&amp;BC31,BM31&amp;BC31)</f>
        <v>3F</v>
      </c>
      <c r="BO31" s="4">
        <f>RANK(BH31,$BH$29:$BH$32,0)</f>
        <v>1</v>
      </c>
      <c r="BP31" s="4" cm="1">
        <f t="array" aca="1" ref="BP31" ca="1">SUMPRODUCT((OFFSET($CV$3:$EA$3,MATCH($BD31,$CU$4:$CU$35,0),0))*((IF($BO29=$BO31,$CV$3:$EA$3=$BD29,0))+(IF($BO32=$BO31,$CV$3:$EA$3=$BD32,0))+(IF($BO30=$BO31,$CV$3:$EA$3=$BD30,0))))</f>
        <v>0</v>
      </c>
      <c r="BQ31" s="4" cm="1">
        <f t="array" aca="1" ref="BQ31" ca="1">SUMPRODUCT((OFFSET($ED$3:$FI$3,MATCH($BD31,$EC$4:$EC$35,0),0))*((IF($BO29=$BO31,$ED$3:$FI$3=$BD29,0))+(IF($BO32=$BO31,$ED$3:$FI$3=$BD32,0))+(IF($BO30=$BO31,$ED$3:$FI$3=$BD30,0))))</f>
        <v>0</v>
      </c>
      <c r="BR31" s="4" cm="1">
        <f t="array" aca="1" ref="BR31" ca="1">SUMPRODUCT((OFFSET($FL$3:$GQ$3,MATCH($BD31,$FK$4:$FK$35,0),0))*((IF($BO29=$BO31,$FL$3:$GQ$3=$BD29,0))+(IF($BO32=$BO31,$FL$3:$GQ$3=$BD32,0))+(IF($BO30=$BO31,$FL$3:$GQ$3=$BD30,0))))</f>
        <v>0</v>
      </c>
      <c r="BS31" s="4" cm="1">
        <f t="array" aca="1" ref="BS31" ca="1">SUMPRODUCT((OFFSET($CV$3:$EA$3,MATCH($BD31,$CU$4:$CU$35,0),0))*((IF($BO29&lt;&gt;$BO31,$CV$3:$EA$3=$BD29,0))+(IF($BO32&lt;&gt;$BO31,$CV$3:$EA$3=$BD32,0))+(IF($BO30&lt;&gt;$BO31,$CV$3:$EA$3=$BD30,0))))</f>
        <v>0</v>
      </c>
      <c r="BT31" s="4" cm="1">
        <f t="array" aca="1" ref="BT31" ca="1">SUMPRODUCT((OFFSET($ED$3:$FI$3,MATCH($BD31,$EC$4:$EC$35,0),0))*((IF($BO29&lt;&gt;$BO31,$ED$3:$FI$3=$BD29,0))+(IF($BO32&lt;&gt;$BO31,$ED$3:$FI$3=$BD32,0))+(IF($BO30&lt;&gt;$BO31,$ED$3:$FI$3=$BD30,0))))</f>
        <v>0</v>
      </c>
      <c r="BU31" s="4" cm="1">
        <f t="array" aca="1" ref="BU31" ca="1">SUMPRODUCT((OFFSET($FL$3:$GQ$3,MATCH($BD31,$FK$4:$FK$35,0),0))*((IF($BO29&lt;&gt;$BO31,$FL$3:$GQ$3=$BD29,0))+(IF($BO32&lt;&gt;$BO31,$FL$3:$GQ$3=$BD32,0))+(IF($BO30&lt;&gt;$BO31,$FL$3:$GQ$3=$BD30,0))))</f>
        <v>0</v>
      </c>
      <c r="BV31" s="4">
        <f>BK31</f>
        <v>0</v>
      </c>
      <c r="BW31" s="4">
        <f>BI31</f>
        <v>0</v>
      </c>
      <c r="BX31" s="4">
        <f ca="1">(BP31/10)+(BQ31/100)+(BR31/1000)+(BT31/10000)+(BU31/100000)+(BV31/1000000)+(BW31/10000000)+(ROW(BS30)/100000000)</f>
        <v>2.9999999999999999E-7</v>
      </c>
      <c r="BY31" s="4">
        <f ca="1">+BO31-BX31</f>
        <v>0.99999970000000005</v>
      </c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U31" s="4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4"/>
      <c r="EC31" s="4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4"/>
      <c r="FK31" s="4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37"/>
      <c r="GM31" s="37"/>
      <c r="GN31" s="37"/>
      <c r="GO31" s="37"/>
      <c r="GP31" s="37"/>
      <c r="GQ31" s="37"/>
      <c r="GR31" s="75"/>
      <c r="GS31" s="157"/>
      <c r="GT31" s="157"/>
      <c r="GU31" s="75"/>
      <c r="GV31" s="75"/>
      <c r="GW31" s="75"/>
      <c r="GX31" s="75"/>
      <c r="GY31" s="75"/>
      <c r="GZ31" s="75"/>
    </row>
    <row r="32" spans="1:221" s="11" customFormat="1" ht="30" customHeight="1" x14ac:dyDescent="0.25">
      <c r="A32" s="20"/>
      <c r="B32" s="122">
        <v>29</v>
      </c>
      <c r="C32" s="122" t="s">
        <v>6</v>
      </c>
      <c r="D32" s="123">
        <v>45468</v>
      </c>
      <c r="E32" s="122" t="s">
        <v>79</v>
      </c>
      <c r="F32" s="124">
        <v>0.875</v>
      </c>
      <c r="G32" s="125">
        <f t="shared" si="11"/>
        <v>45468.625</v>
      </c>
      <c r="H32" s="122" t="s">
        <v>117</v>
      </c>
      <c r="I32" s="126"/>
      <c r="J32" s="118"/>
      <c r="K32" s="118"/>
      <c r="L32" s="174">
        <f>IF(I32="",0,IFERROR(IF(SCORING.RULES!$C$8="No",1,((VLOOKUP($B32,ACTUALS!$B$4:$L$100,7,FALSE)=$H32)+(VLOOKUP($B32,ACTUALS!$B$4:$L$100,7,FALSE)=S32)))*(M32+N32+O32+P32+Q32),0))+$R32</f>
        <v>0</v>
      </c>
      <c r="M32" s="168">
        <f>IFERROR(IF($B32="","",IF(U32=INDEX(ACTUALS!$AA$4:$AA$100,MATCH($B32,ACTUALS!$B$4:$B$100,0),1),CorrectScore,0)),0)</f>
        <v>0</v>
      </c>
      <c r="N32" s="157" t="str">
        <f>IFERROR(IF(I32="","",IF(INDEX(ACTUALS!$AB$4:$AB$100,MATCH($B32,ACTUALS!$B$4:$B$100,0),1)=(AB32+AC32+AH32+AI32),CorrectNumberofGoals,0)),0)</f>
        <v/>
      </c>
      <c r="O32" s="157"/>
      <c r="P32" s="157">
        <f>IFERROR(IF(B32="","",IF(INDEX(ACTUALS!$L$4:$L$100,MATCH($B32,ACTUALS!$B$4:$B$100,0),1)=W32,CorrectResult,0)),0)</f>
        <v>3</v>
      </c>
      <c r="Q32" s="157"/>
      <c r="R32" s="157"/>
      <c r="S32" s="157" t="str">
        <f t="shared" si="0"/>
        <v/>
      </c>
      <c r="T32" s="157"/>
      <c r="U32" s="157" t="str">
        <f t="shared" si="1"/>
        <v/>
      </c>
      <c r="V32" s="157" t="str">
        <f t="shared" si="2"/>
        <v/>
      </c>
      <c r="W32" s="119" t="str">
        <f>IF(tblActuals35415192327[[#This Row],[SCORE]]="","",IF(AB32=AC32,"Draw",IF(AB32&gt;AC32,X32,Y32)))</f>
        <v/>
      </c>
      <c r="X32" s="120" t="str">
        <f>IF(tblActuals35415192327[[#This Row],[TEAMS]]="","",LEFT(H32,FIND(" -",H32,1)-1))</f>
        <v>England</v>
      </c>
      <c r="Y32" s="120" t="str">
        <f>IF(tblActuals35415192327[[#This Row],[TEAMS]]="","",MID(H32,FIND("-",H32,1)+2,LEN(H32)-FIND("-",H32,1)+2))</f>
        <v>Slovenia</v>
      </c>
      <c r="Z32" s="120" t="str">
        <f>IF(tblActuals35415192327[[#This Row],[Team 1 Goals]]&gt;tblActuals35415192327[[#This Row],[Team 2 Goals]],tblActuals35415192327[[#This Row],[Team 1]],IF(tblActuals35415192327[[#This Row],[Team 2 Goals]]&gt;tblActuals35415192327[[#This Row],[Team 1 Goals]],tblActuals35415192327[[#This Row],[Team 2]],""))</f>
        <v/>
      </c>
      <c r="AA32" s="120" t="str">
        <f>IF(tblActuals35415192327[[#This Row],[Winner]]=tblActuals35415192327[[#This Row],[Team 1]],tblActuals35415192327[[#This Row],[Team 2]],IF(tblActuals35415192327[[#This Row],[Winner]]=tblActuals35415192327[[#This Row],[Team 2]],tblActuals35415192327[[#This Row],[Team 1]],""))</f>
        <v/>
      </c>
      <c r="AB32" s="120" t="str">
        <f>IF(tblActuals35415192327[[#This Row],[SCORE]]="","",LEFT(I32,FIND(":",I32,1)-1)*1)</f>
        <v/>
      </c>
      <c r="AC32" s="120" t="str">
        <f>IF(tblActuals35415192327[[#This Row],[SCORE]]="","",MID(I32,FIND(":",I32,1)+1,LEN(I32)-FIND(":",I32,1)+1)*1)</f>
        <v/>
      </c>
      <c r="AD32" s="120" t="str">
        <f>IF(OR(tblActuals35415192327[[#This Row],[Team 1 Goals]]="",tblActuals35415192327[[#This Row],[Team 2 Goals]]=""),"",tblActuals35415192327[[#This Row],[Team 1 Goals]]-tblActuals35415192327[[#This Row],[Team 2 Goals]])</f>
        <v/>
      </c>
      <c r="AE32" s="120" t="str">
        <f>IF(OR(tblActuals35415192327[[#This Row],[Team 1 Goals]]="",tblActuals35415192327[[#This Row],[Team 2 Goals]]=""),"",tblActuals35415192327[[#This Row],[Team 2 Goals]]-tblActuals35415192327[[#This Row],[Team 1 Goals]])</f>
        <v/>
      </c>
      <c r="AF32" s="120" t="str">
        <f>IF(tblActuals35415192327[[#This Row],[SCORE]]="","",IF(tblActuals35415192327[[#This Row],[WINNER / RESULT]]="Draw",1,IF(tblActuals35415192327[[#This Row],[WINNER / RESULT]]=tblActuals35415192327[[#This Row],[Team 1]],3,0)))</f>
        <v/>
      </c>
      <c r="AG32" s="120" t="str">
        <f>IF(tblActuals35415192327[[#This Row],[SCORE]]="","",IF(tblActuals35415192327[[#This Row],[WINNER / RESULT]]="Draw",1,IF(tblActuals35415192327[[#This Row],[WINNER / RESULT]]=tblActuals35415192327[[#This Row],[Team 2]],3,0)))</f>
        <v/>
      </c>
      <c r="AH32" s="121"/>
      <c r="AI32" s="121"/>
      <c r="AJ32" s="121"/>
      <c r="AK32" s="121"/>
      <c r="AL32" s="120" t="e">
        <f>tblActuals35415192327[[#This Row],[Team 1 Goals]]+tblActuals35415192327[[#This Row],[Team 1 ET Goals]]&amp;":"&amp;tblActuals35415192327[[#This Row],[Team 2 Goals]]+tblActuals35415192327[[#This Row],[Team 2 ET Goals]]</f>
        <v>#VALUE!</v>
      </c>
      <c r="AM32" s="120" t="e">
        <f>+tblActuals35415192327[[#This Row],[Team 1 Goals]]+tblActuals35415192327[[#This Row],[Team 2 Goals]]</f>
        <v>#VALUE!</v>
      </c>
      <c r="AN32" s="161">
        <f t="shared" si="3"/>
        <v>45468</v>
      </c>
      <c r="AT32" s="77" t="s">
        <v>12</v>
      </c>
      <c r="AU32" s="142">
        <v>3</v>
      </c>
      <c r="AV32" s="143" t="str">
        <f ca="1">IFERROR(INDEX(BD:BD,MATCH("3"&amp;AT32,BN:BN,0),1),"")</f>
        <v>Slovakia</v>
      </c>
      <c r="AW32" s="143" t="str">
        <f ca="1">IF(AV32="","",VLOOKUP(AV32,BD:BI,2,FALSE)&amp;"-"&amp;VLOOKUP(AV32,BD:BI,3,FALSE)&amp;"-"&amp;VLOOKUP(AV32,BD:BI,4,FALSE))</f>
        <v>0-0-0</v>
      </c>
      <c r="AX32" s="143">
        <f ca="1">IF(AV32="","",VLOOKUP(AV32,BD:BK,8,FALSE))</f>
        <v>0</v>
      </c>
      <c r="AY32" s="144">
        <f ca="1">IF(AV32="","",VLOOKUP(AV32,BD:BN,5,FALSE))</f>
        <v>0</v>
      </c>
      <c r="AZ32" s="75" t="str">
        <f ca="1">IF(INDEX($AU$43:$AU$48,MATCH(AV32,$AV$43:$AV$48,0),1)&lt;=4,"X","")</f>
        <v>X</v>
      </c>
      <c r="BA32" s="4"/>
      <c r="BB32" s="4"/>
      <c r="BC32" s="4" t="s">
        <v>45</v>
      </c>
      <c r="BD32" s="4" t="s">
        <v>133</v>
      </c>
      <c r="BE32" s="4">
        <f>COUNTIF(tblActuals35415192327[Winner],BD32)</f>
        <v>0</v>
      </c>
      <c r="BF32" s="4">
        <f>COUNTIFS(tblActuals35415192327[Team 2],BD32,tblActuals35415192327[WINNER / RESULT],"Draw")+COUNTIFS(tblActuals35415192327[Team 1],BD32,tblActuals35415192327[WINNER / RESULT],"Draw")</f>
        <v>0</v>
      </c>
      <c r="BG32" s="4">
        <f>COUNTIF(tblActuals35415192327[Loser],BD32)</f>
        <v>0</v>
      </c>
      <c r="BH32" s="4">
        <f>BF32+(3*BE32)</f>
        <v>0</v>
      </c>
      <c r="BI32" s="4">
        <f>SUMIFS(tblActuals35415192327[Team 1 Goals],tblActuals35415192327[Team 1],BD32)+SUMIFS(tblActuals35415192327[Team 2 Goals],tblActuals35415192327[Team 2],BD32)</f>
        <v>0</v>
      </c>
      <c r="BJ32" s="4">
        <f>SUMIFS(tblActuals35415192327[Team 2 Goals],tblActuals35415192327[Team 1],BD32)+SUMIFS(tblActuals35415192327[Team 1 Goals],tblActuals35415192327[Team 2],BD32)</f>
        <v>0</v>
      </c>
      <c r="BK32" s="4">
        <f>BI32-BJ32</f>
        <v>0</v>
      </c>
      <c r="BL32" s="4">
        <f ca="1">RANK(BY32,$BY$29:$BY$32,1)</f>
        <v>4</v>
      </c>
      <c r="BM32" s="4" t="str">
        <f t="shared" si="4"/>
        <v/>
      </c>
      <c r="BN32" s="4" t="str">
        <f ca="1">IF(BM32="",BL32&amp;BC32,BM32&amp;BC32)</f>
        <v>4F</v>
      </c>
      <c r="BO32" s="4">
        <f>RANK(BH32,$BH$29:$BH$32,0)</f>
        <v>1</v>
      </c>
      <c r="BP32" s="4" cm="1">
        <f t="array" aca="1" ref="BP32" ca="1">SUMPRODUCT((OFFSET($CV$3:$EA$3,MATCH($BD32,$CU$4:$CU$35,0),0))*((IF($BO30=$BO32,$CV$3:$EA$3=$BD30,0))+(IF($BO29=$BO32,$CV$3:$EA$3=$BD29,0))+(IF($BO31=$BO32,$CV$3:$EA$3=$BD31,0))))</f>
        <v>0</v>
      </c>
      <c r="BQ32" s="4" cm="1">
        <f t="array" aca="1" ref="BQ32" ca="1">SUMPRODUCT((OFFSET($ED$3:$FI$3,MATCH($BD32,$EC$4:$EC$35,0),0))*((IF($BO30=$BO32,$ED$3:$FI$3=$BD30,0))+(IF($BO29=$BO32,$ED$3:$FI$3=$BD29,0))+(IF($BO31=$BO32,$ED$3:$FI$3=$BD31,0))))</f>
        <v>0</v>
      </c>
      <c r="BR32" s="4" cm="1">
        <f t="array" aca="1" ref="BR32" ca="1">SUMPRODUCT((OFFSET($FL$3:$GQ$3,MATCH($BD32,$FK$4:$FK$35,0),0))*((IF($BO30=$BO32,$FL$3:$GQ$3=$BD30,0))+(IF($BO29=$BO32,$FL$3:$GQ$3=$BD29,0))+(IF($BO31=$BO32,$FL$3:$GQ$3=$BD31,0))))</f>
        <v>0</v>
      </c>
      <c r="BS32" s="4" cm="1">
        <f t="array" aca="1" ref="BS32" ca="1">SUMPRODUCT((OFFSET($CV$3:$EA$3,MATCH($BD32,$CU$4:$CU$35,0),0))*((IF($BO30&lt;&gt;$BO32,$CV$3:$EA$3=$BD30,0))+(IF($BO29&lt;&gt;$BO32,$CV$3:$EA$3=$BD29,0))+(IF($BO31&lt;&gt;$BO32,$CV$3:$EA$3=$BD31,0))))</f>
        <v>0</v>
      </c>
      <c r="BT32" s="4" cm="1">
        <f t="array" aca="1" ref="BT32" ca="1">SUMPRODUCT((OFFSET($ED$3:$FI$3,MATCH($BD32,$EC$4:$EC$35,0),0))*((IF($BO30&lt;&gt;$BO32,$ED$3:$FI$3=$BD30,0))+(IF($BO29&lt;&gt;$BO32,$ED$3:$FI$3=$BD29,0))+(IF($BO31&lt;&gt;$BO32,$ED$3:$FI$3=$BD31,0))))</f>
        <v>0</v>
      </c>
      <c r="BU32" s="4" cm="1">
        <f t="array" aca="1" ref="BU32" ca="1">SUMPRODUCT((OFFSET($FL$3:$GQ$3,MATCH($BD32,$FK$4:$FK$35,0),0))*((IF($BO30&lt;&gt;$BO32,$FL$3:$GQ$3=$BD30,0))+(IF($BO29&lt;&gt;$BO32,$FL$3:$GQ$3=$BD29,0))+(IF($BO31&lt;&gt;$BO32,$FL$3:$GQ$3=$BD31,0))))</f>
        <v>0</v>
      </c>
      <c r="BV32" s="4">
        <f>BK32</f>
        <v>0</v>
      </c>
      <c r="BW32" s="4">
        <f>BI32</f>
        <v>0</v>
      </c>
      <c r="BX32" s="4">
        <f ca="1">(BP32/10)+(BQ32/100)+(BR32/1000)+(BT32/10000)+(BU32/100000)+(BV32/1000000)+(BW32/10000000)+(ROW(BS29)/100000000)</f>
        <v>2.8999999999999998E-7</v>
      </c>
      <c r="BY32" s="4">
        <f ca="1">+BO32-BX32</f>
        <v>0.99999970999999999</v>
      </c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U32" s="4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4"/>
      <c r="EC32" s="4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4"/>
      <c r="FK32" s="4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37"/>
      <c r="GM32" s="37"/>
      <c r="GN32" s="37"/>
      <c r="GO32" s="37"/>
      <c r="GP32" s="37"/>
      <c r="GQ32" s="37"/>
      <c r="GR32" s="75"/>
      <c r="GS32" s="157"/>
      <c r="GT32" s="157"/>
      <c r="GU32" s="79"/>
      <c r="GV32" s="79"/>
      <c r="GW32" s="79"/>
      <c r="GX32" s="79"/>
      <c r="GY32" s="79"/>
      <c r="GZ32" s="79"/>
    </row>
    <row r="33" spans="1:208" s="11" customFormat="1" ht="30" customHeight="1" thickBot="1" x14ac:dyDescent="0.3">
      <c r="A33" s="20"/>
      <c r="B33" s="122">
        <v>30</v>
      </c>
      <c r="C33" s="122" t="s">
        <v>6</v>
      </c>
      <c r="D33" s="123">
        <v>45468</v>
      </c>
      <c r="E33" s="122" t="s">
        <v>78</v>
      </c>
      <c r="F33" s="124">
        <v>0.875</v>
      </c>
      <c r="G33" s="125">
        <f t="shared" si="11"/>
        <v>45468.625</v>
      </c>
      <c r="H33" s="122" t="s">
        <v>118</v>
      </c>
      <c r="I33" s="126"/>
      <c r="J33" s="118"/>
      <c r="K33" s="118"/>
      <c r="L33" s="174">
        <f>IF(I33="",0,IFERROR(IF(SCORING.RULES!$C$8="No",1,((VLOOKUP($B33,ACTUALS!$B$4:$L$100,7,FALSE)=$H33)+(VLOOKUP($B33,ACTUALS!$B$4:$L$100,7,FALSE)=S33)))*(M33+N33+O33+P33+Q33),0))+$R33</f>
        <v>0</v>
      </c>
      <c r="M33" s="168">
        <f>IFERROR(IF($B33="","",IF(U33=INDEX(ACTUALS!$AA$4:$AA$100,MATCH($B33,ACTUALS!$B$4:$B$100,0),1),CorrectScore,0)),0)</f>
        <v>0</v>
      </c>
      <c r="N33" s="157" t="str">
        <f>IFERROR(IF(I33="","",IF(INDEX(ACTUALS!$AB$4:$AB$100,MATCH($B33,ACTUALS!$B$4:$B$100,0),1)=(AB33+AC33+AH33+AI33),CorrectNumberofGoals,0)),0)</f>
        <v/>
      </c>
      <c r="O33" s="157"/>
      <c r="P33" s="157">
        <f>IFERROR(IF(B33="","",IF(INDEX(ACTUALS!$L$4:$L$100,MATCH($B33,ACTUALS!$B$4:$B$100,0),1)=W33,CorrectResult,0)),0)</f>
        <v>3</v>
      </c>
      <c r="Q33" s="157"/>
      <c r="R33" s="157"/>
      <c r="S33" s="157" t="str">
        <f t="shared" si="0"/>
        <v/>
      </c>
      <c r="T33" s="157"/>
      <c r="U33" s="157" t="str">
        <f t="shared" si="1"/>
        <v/>
      </c>
      <c r="V33" s="157" t="str">
        <f t="shared" si="2"/>
        <v/>
      </c>
      <c r="W33" s="119" t="str">
        <f>IF(tblActuals35415192327[[#This Row],[SCORE]]="","",IF(AB33=AC33,"Draw",IF(AB33&gt;AC33,X33,Y33)))</f>
        <v/>
      </c>
      <c r="X33" s="120" t="str">
        <f>IF(tblActuals35415192327[[#This Row],[TEAMS]]="","",LEFT(H33,FIND(" -",H33,1)-1))</f>
        <v>Denmark</v>
      </c>
      <c r="Y33" s="120" t="str">
        <f>IF(tblActuals35415192327[[#This Row],[TEAMS]]="","",MID(H33,FIND("-",H33,1)+2,LEN(H33)-FIND("-",H33,1)+2))</f>
        <v>Serbia</v>
      </c>
      <c r="Z33" s="120" t="str">
        <f>IF(tblActuals35415192327[[#This Row],[Team 1 Goals]]&gt;tblActuals35415192327[[#This Row],[Team 2 Goals]],tblActuals35415192327[[#This Row],[Team 1]],IF(tblActuals35415192327[[#This Row],[Team 2 Goals]]&gt;tblActuals35415192327[[#This Row],[Team 1 Goals]],tblActuals35415192327[[#This Row],[Team 2]],""))</f>
        <v/>
      </c>
      <c r="AA33" s="120" t="str">
        <f>IF(tblActuals35415192327[[#This Row],[Winner]]=tblActuals35415192327[[#This Row],[Team 1]],tblActuals35415192327[[#This Row],[Team 2]],IF(tblActuals35415192327[[#This Row],[Winner]]=tblActuals35415192327[[#This Row],[Team 2]],tblActuals35415192327[[#This Row],[Team 1]],""))</f>
        <v/>
      </c>
      <c r="AB33" s="120" t="str">
        <f>IF(tblActuals35415192327[[#This Row],[SCORE]]="","",LEFT(I33,FIND(":",I33,1)-1)*1)</f>
        <v/>
      </c>
      <c r="AC33" s="120" t="str">
        <f>IF(tblActuals35415192327[[#This Row],[SCORE]]="","",MID(I33,FIND(":",I33,1)+1,LEN(I33)-FIND(":",I33,1)+1)*1)</f>
        <v/>
      </c>
      <c r="AD33" s="120" t="str">
        <f>IF(OR(tblActuals35415192327[[#This Row],[Team 1 Goals]]="",tblActuals35415192327[[#This Row],[Team 2 Goals]]=""),"",tblActuals35415192327[[#This Row],[Team 1 Goals]]-tblActuals35415192327[[#This Row],[Team 2 Goals]])</f>
        <v/>
      </c>
      <c r="AE33" s="120" t="str">
        <f>IF(OR(tblActuals35415192327[[#This Row],[Team 1 Goals]]="",tblActuals35415192327[[#This Row],[Team 2 Goals]]=""),"",tblActuals35415192327[[#This Row],[Team 2 Goals]]-tblActuals35415192327[[#This Row],[Team 1 Goals]])</f>
        <v/>
      </c>
      <c r="AF33" s="120" t="str">
        <f>IF(tblActuals35415192327[[#This Row],[SCORE]]="","",IF(tblActuals35415192327[[#This Row],[WINNER / RESULT]]="Draw",1,IF(tblActuals35415192327[[#This Row],[WINNER / RESULT]]=tblActuals35415192327[[#This Row],[Team 1]],3,0)))</f>
        <v/>
      </c>
      <c r="AG33" s="120" t="str">
        <f>IF(tblActuals35415192327[[#This Row],[SCORE]]="","",IF(tblActuals35415192327[[#This Row],[WINNER / RESULT]]="Draw",1,IF(tblActuals35415192327[[#This Row],[WINNER / RESULT]]=tblActuals35415192327[[#This Row],[Team 2]],3,0)))</f>
        <v/>
      </c>
      <c r="AH33" s="121"/>
      <c r="AI33" s="121"/>
      <c r="AJ33" s="121"/>
      <c r="AK33" s="121"/>
      <c r="AL33" s="120" t="e">
        <f>tblActuals35415192327[[#This Row],[Team 1 Goals]]+tblActuals35415192327[[#This Row],[Team 1 ET Goals]]&amp;":"&amp;tblActuals35415192327[[#This Row],[Team 2 Goals]]+tblActuals35415192327[[#This Row],[Team 2 ET Goals]]</f>
        <v>#VALUE!</v>
      </c>
      <c r="AM33" s="120" t="e">
        <f>+tblActuals35415192327[[#This Row],[Team 1 Goals]]+tblActuals35415192327[[#This Row],[Team 2 Goals]]</f>
        <v>#VALUE!</v>
      </c>
      <c r="AN33" s="161">
        <f t="shared" si="3"/>
        <v>45468</v>
      </c>
      <c r="AT33" s="77" t="s">
        <v>12</v>
      </c>
      <c r="AU33" s="145">
        <v>4</v>
      </c>
      <c r="AV33" s="146" t="str">
        <f ca="1">IFERROR(INDEX(BD:BD,MATCH("4"&amp;AT33,BN:BN,0),1),"")</f>
        <v>Ukraine</v>
      </c>
      <c r="AW33" s="146" t="str">
        <f ca="1">IF(AV33="","",VLOOKUP(AV33,BD:BI,2,FALSE)&amp;"-"&amp;VLOOKUP(AV33,BD:BI,3,FALSE)&amp;"-"&amp;VLOOKUP(AV33,BD:BI,4,FALSE))</f>
        <v>0-0-0</v>
      </c>
      <c r="AX33" s="146">
        <f ca="1">IF(AV33="","",VLOOKUP(AV33,BD:BK,8,FALSE))</f>
        <v>0</v>
      </c>
      <c r="AY33" s="147">
        <f ca="1">IF(AV33="","",VLOOKUP(AV33,BD:BN,5,FALSE))</f>
        <v>0</v>
      </c>
      <c r="AZ33" s="75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U33" s="4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4"/>
      <c r="EC33" s="4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4"/>
      <c r="FK33" s="4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37"/>
      <c r="GM33" s="37"/>
      <c r="GN33" s="37"/>
      <c r="GO33" s="37"/>
      <c r="GP33" s="37"/>
      <c r="GQ33" s="37"/>
      <c r="GR33" s="75"/>
      <c r="GS33" s="157"/>
      <c r="GT33" s="157"/>
      <c r="GU33" s="79"/>
      <c r="GV33" s="79"/>
      <c r="GW33" s="79"/>
      <c r="GX33" s="79"/>
      <c r="GY33" s="79"/>
      <c r="GZ33" s="79"/>
    </row>
    <row r="34" spans="1:208" s="11" customFormat="1" ht="30" customHeight="1" thickBot="1" x14ac:dyDescent="0.3">
      <c r="A34" s="20"/>
      <c r="B34" s="122">
        <v>31</v>
      </c>
      <c r="C34" s="122" t="s">
        <v>7</v>
      </c>
      <c r="D34" s="123">
        <v>45468</v>
      </c>
      <c r="E34" s="122" t="s">
        <v>80</v>
      </c>
      <c r="F34" s="124">
        <v>0.75</v>
      </c>
      <c r="G34" s="125">
        <f t="shared" si="11"/>
        <v>45468.5</v>
      </c>
      <c r="H34" s="122" t="s">
        <v>141</v>
      </c>
      <c r="I34" s="126"/>
      <c r="J34" s="118"/>
      <c r="K34" s="118"/>
      <c r="L34" s="174">
        <f>IF(I34="",0,IFERROR(IF(SCORING.RULES!$C$8="No",1,((VLOOKUP($B34,ACTUALS!$B$4:$L$100,7,FALSE)=$H34)+(VLOOKUP($B34,ACTUALS!$B$4:$L$100,7,FALSE)=S34)))*(M34+N34+O34+P34+Q34),0))+$R34</f>
        <v>0</v>
      </c>
      <c r="M34" s="168">
        <f>IFERROR(IF($B34="","",IF(U34=INDEX(ACTUALS!$AA$4:$AA$100,MATCH($B34,ACTUALS!$B$4:$B$100,0),1),CorrectScore,0)),0)</f>
        <v>0</v>
      </c>
      <c r="N34" s="157" t="str">
        <f>IFERROR(IF(I34="","",IF(INDEX(ACTUALS!$AB$4:$AB$100,MATCH($B34,ACTUALS!$B$4:$B$100,0),1)=(AB34+AC34+AH34+AI34),CorrectNumberofGoals,0)),0)</f>
        <v/>
      </c>
      <c r="O34" s="157"/>
      <c r="P34" s="157">
        <f>IFERROR(IF(B34="","",IF(INDEX(ACTUALS!$L$4:$L$100,MATCH($B34,ACTUALS!$B$4:$B$100,0),1)=W34,CorrectResult,0)),0)</f>
        <v>3</v>
      </c>
      <c r="Q34" s="157"/>
      <c r="R34" s="157"/>
      <c r="S34" s="157" t="str">
        <f t="shared" si="0"/>
        <v/>
      </c>
      <c r="T34" s="157"/>
      <c r="U34" s="157" t="str">
        <f t="shared" si="1"/>
        <v/>
      </c>
      <c r="V34" s="157" t="str">
        <f t="shared" si="2"/>
        <v/>
      </c>
      <c r="W34" s="119" t="str">
        <f>IF(tblActuals35415192327[[#This Row],[SCORE]]="","",IF(AB34=AC34,"Draw",IF(AB34&gt;AC34,X34,Y34)))</f>
        <v/>
      </c>
      <c r="X34" s="120" t="str">
        <f>IF(tblActuals35415192327[[#This Row],[TEAMS]]="","",LEFT(H34,FIND(" -",H34,1)-1))</f>
        <v>Netherlands</v>
      </c>
      <c r="Y34" s="120" t="str">
        <f>IF(tblActuals35415192327[[#This Row],[TEAMS]]="","",MID(H34,FIND("-",H34,1)+2,LEN(H34)-FIND("-",H34,1)+2))</f>
        <v>Austria</v>
      </c>
      <c r="Z34" s="120" t="str">
        <f>IF(tblActuals35415192327[[#This Row],[Team 1 Goals]]&gt;tblActuals35415192327[[#This Row],[Team 2 Goals]],tblActuals35415192327[[#This Row],[Team 1]],IF(tblActuals35415192327[[#This Row],[Team 2 Goals]]&gt;tblActuals35415192327[[#This Row],[Team 1 Goals]],tblActuals35415192327[[#This Row],[Team 2]],""))</f>
        <v/>
      </c>
      <c r="AA34" s="120" t="str">
        <f>IF(tblActuals35415192327[[#This Row],[Winner]]=tblActuals35415192327[[#This Row],[Team 1]],tblActuals35415192327[[#This Row],[Team 2]],IF(tblActuals35415192327[[#This Row],[Winner]]=tblActuals35415192327[[#This Row],[Team 2]],tblActuals35415192327[[#This Row],[Team 1]],""))</f>
        <v/>
      </c>
      <c r="AB34" s="120" t="str">
        <f>IF(tblActuals35415192327[[#This Row],[SCORE]]="","",LEFT(I34,FIND(":",I34,1)-1)*1)</f>
        <v/>
      </c>
      <c r="AC34" s="120" t="str">
        <f>IF(tblActuals35415192327[[#This Row],[SCORE]]="","",MID(I34,FIND(":",I34,1)+1,LEN(I34)-FIND(":",I34,1)+1)*1)</f>
        <v/>
      </c>
      <c r="AD34" s="120" t="str">
        <f>IF(OR(tblActuals35415192327[[#This Row],[Team 1 Goals]]="",tblActuals35415192327[[#This Row],[Team 2 Goals]]=""),"",tblActuals35415192327[[#This Row],[Team 1 Goals]]-tblActuals35415192327[[#This Row],[Team 2 Goals]])</f>
        <v/>
      </c>
      <c r="AE34" s="120" t="str">
        <f>IF(OR(tblActuals35415192327[[#This Row],[Team 1 Goals]]="",tblActuals35415192327[[#This Row],[Team 2 Goals]]=""),"",tblActuals35415192327[[#This Row],[Team 2 Goals]]-tblActuals35415192327[[#This Row],[Team 1 Goals]])</f>
        <v/>
      </c>
      <c r="AF34" s="120" t="str">
        <f>IF(tblActuals35415192327[[#This Row],[SCORE]]="","",IF(tblActuals35415192327[[#This Row],[WINNER / RESULT]]="Draw",1,IF(tblActuals35415192327[[#This Row],[WINNER / RESULT]]=tblActuals35415192327[[#This Row],[Team 1]],3,0)))</f>
        <v/>
      </c>
      <c r="AG34" s="120" t="str">
        <f>IF(tblActuals35415192327[[#This Row],[SCORE]]="","",IF(tblActuals35415192327[[#This Row],[WINNER / RESULT]]="Draw",1,IF(tblActuals35415192327[[#This Row],[WINNER / RESULT]]=tblActuals35415192327[[#This Row],[Team 2]],3,0)))</f>
        <v/>
      </c>
      <c r="AH34" s="121"/>
      <c r="AI34" s="121"/>
      <c r="AJ34" s="121"/>
      <c r="AK34" s="121"/>
      <c r="AL34" s="120" t="e">
        <f>tblActuals35415192327[[#This Row],[Team 1 Goals]]+tblActuals35415192327[[#This Row],[Team 1 ET Goals]]&amp;":"&amp;tblActuals35415192327[[#This Row],[Team 2 Goals]]+tblActuals35415192327[[#This Row],[Team 2 ET Goals]]</f>
        <v>#VALUE!</v>
      </c>
      <c r="AM34" s="120" t="e">
        <f>+tblActuals35415192327[[#This Row],[Team 1 Goals]]+tblActuals35415192327[[#This Row],[Team 2 Goals]]</f>
        <v>#VALUE!</v>
      </c>
      <c r="AN34" s="161">
        <f t="shared" si="3"/>
        <v>45468</v>
      </c>
      <c r="AT34" s="77"/>
      <c r="AU34" s="148"/>
      <c r="AV34" s="148"/>
      <c r="AW34" s="148"/>
      <c r="AX34" s="148"/>
      <c r="AY34" s="148"/>
      <c r="AZ34" s="75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U34" s="4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4"/>
      <c r="EC34" s="4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4"/>
      <c r="FK34" s="4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37"/>
      <c r="GM34" s="37"/>
      <c r="GN34" s="37"/>
      <c r="GO34" s="37"/>
      <c r="GP34" s="37"/>
      <c r="GQ34" s="37"/>
      <c r="GR34" s="75"/>
      <c r="GS34" s="157"/>
      <c r="GT34" s="157"/>
      <c r="GU34" s="79"/>
      <c r="GV34" s="79"/>
      <c r="GW34" s="79"/>
      <c r="GX34" s="79"/>
      <c r="GY34" s="79"/>
      <c r="GZ34" s="79"/>
    </row>
    <row r="35" spans="1:208" s="11" customFormat="1" ht="30" customHeight="1" thickBot="1" x14ac:dyDescent="0.3">
      <c r="A35" s="20"/>
      <c r="B35" s="122">
        <v>32</v>
      </c>
      <c r="C35" s="122" t="s">
        <v>7</v>
      </c>
      <c r="D35" s="123">
        <v>45468</v>
      </c>
      <c r="E35" s="122" t="s">
        <v>81</v>
      </c>
      <c r="F35" s="124">
        <v>0.75</v>
      </c>
      <c r="G35" s="125">
        <f t="shared" si="11"/>
        <v>45468.5</v>
      </c>
      <c r="H35" s="122" t="s">
        <v>119</v>
      </c>
      <c r="I35" s="126"/>
      <c r="J35" s="118"/>
      <c r="K35" s="118"/>
      <c r="L35" s="174">
        <f>IF(I35="",0,IFERROR(IF(SCORING.RULES!$C$8="No",1,((VLOOKUP($B35,ACTUALS!$B$4:$L$100,7,FALSE)=$H35)+(VLOOKUP($B35,ACTUALS!$B$4:$L$100,7,FALSE)=S35)))*(M35+N35+O35+P35+Q35),0))+$R35</f>
        <v>0</v>
      </c>
      <c r="M35" s="168">
        <f>IFERROR(IF($B35="","",IF(U35=INDEX(ACTUALS!$AA$4:$AA$100,MATCH($B35,ACTUALS!$B$4:$B$100,0),1),CorrectScore,0)),0)</f>
        <v>0</v>
      </c>
      <c r="N35" s="157" t="str">
        <f>IFERROR(IF(I35="","",IF(INDEX(ACTUALS!$AB$4:$AB$100,MATCH($B35,ACTUALS!$B$4:$B$100,0),1)=(AB35+AC35+AH35+AI35),CorrectNumberofGoals,0)),0)</f>
        <v/>
      </c>
      <c r="O35" s="157"/>
      <c r="P35" s="157">
        <f>IFERROR(IF(B35="","",IF(INDEX(ACTUALS!$L$4:$L$100,MATCH($B35,ACTUALS!$B$4:$B$100,0),1)=W35,CorrectResult,0)),0)</f>
        <v>3</v>
      </c>
      <c r="Q35" s="157"/>
      <c r="R35" s="157"/>
      <c r="S35" s="157" t="str">
        <f t="shared" si="0"/>
        <v/>
      </c>
      <c r="T35" s="157"/>
      <c r="U35" s="157" t="str">
        <f t="shared" si="1"/>
        <v/>
      </c>
      <c r="V35" s="157" t="str">
        <f t="shared" si="2"/>
        <v/>
      </c>
      <c r="W35" s="119" t="str">
        <f>IF(tblActuals35415192327[[#This Row],[SCORE]]="","",IF(AB35=AC35,"Draw",IF(AB35&gt;AC35,X35,Y35)))</f>
        <v/>
      </c>
      <c r="X35" s="120" t="str">
        <f>IF(tblActuals35415192327[[#This Row],[TEAMS]]="","",LEFT(H35,FIND(" -",H35,1)-1))</f>
        <v>France</v>
      </c>
      <c r="Y35" s="120" t="str">
        <f>IF(tblActuals35415192327[[#This Row],[TEAMS]]="","",MID(H35,FIND("-",H35,1)+2,LEN(H35)-FIND("-",H35,1)+2))</f>
        <v>Poland</v>
      </c>
      <c r="Z35" s="120" t="str">
        <f>IF(tblActuals35415192327[[#This Row],[Team 1 Goals]]&gt;tblActuals35415192327[[#This Row],[Team 2 Goals]],tblActuals35415192327[[#This Row],[Team 1]],IF(tblActuals35415192327[[#This Row],[Team 2 Goals]]&gt;tblActuals35415192327[[#This Row],[Team 1 Goals]],tblActuals35415192327[[#This Row],[Team 2]],""))</f>
        <v/>
      </c>
      <c r="AA35" s="120" t="str">
        <f>IF(tblActuals35415192327[[#This Row],[Winner]]=tblActuals35415192327[[#This Row],[Team 1]],tblActuals35415192327[[#This Row],[Team 2]],IF(tblActuals35415192327[[#This Row],[Winner]]=tblActuals35415192327[[#This Row],[Team 2]],tblActuals35415192327[[#This Row],[Team 1]],""))</f>
        <v/>
      </c>
      <c r="AB35" s="120" t="str">
        <f>IF(tblActuals35415192327[[#This Row],[SCORE]]="","",LEFT(I35,FIND(":",I35,1)-1)*1)</f>
        <v/>
      </c>
      <c r="AC35" s="120" t="str">
        <f>IF(tblActuals35415192327[[#This Row],[SCORE]]="","",MID(I35,FIND(":",I35,1)+1,LEN(I35)-FIND(":",I35,1)+1)*1)</f>
        <v/>
      </c>
      <c r="AD35" s="120" t="str">
        <f>IF(OR(tblActuals35415192327[[#This Row],[Team 1 Goals]]="",tblActuals35415192327[[#This Row],[Team 2 Goals]]=""),"",tblActuals35415192327[[#This Row],[Team 1 Goals]]-tblActuals35415192327[[#This Row],[Team 2 Goals]])</f>
        <v/>
      </c>
      <c r="AE35" s="120" t="str">
        <f>IF(OR(tblActuals35415192327[[#This Row],[Team 1 Goals]]="",tblActuals35415192327[[#This Row],[Team 2 Goals]]=""),"",tblActuals35415192327[[#This Row],[Team 2 Goals]]-tblActuals35415192327[[#This Row],[Team 1 Goals]])</f>
        <v/>
      </c>
      <c r="AF35" s="120" t="str">
        <f>IF(tblActuals35415192327[[#This Row],[SCORE]]="","",IF(tblActuals35415192327[[#This Row],[WINNER / RESULT]]="Draw",1,IF(tblActuals35415192327[[#This Row],[WINNER / RESULT]]=tblActuals35415192327[[#This Row],[Team 1]],3,0)))</f>
        <v/>
      </c>
      <c r="AG35" s="120" t="str">
        <f>IF(tblActuals35415192327[[#This Row],[SCORE]]="","",IF(tblActuals35415192327[[#This Row],[WINNER / RESULT]]="Draw",1,IF(tblActuals35415192327[[#This Row],[WINNER / RESULT]]=tblActuals35415192327[[#This Row],[Team 2]],3,0)))</f>
        <v/>
      </c>
      <c r="AH35" s="121"/>
      <c r="AI35" s="121"/>
      <c r="AJ35" s="121"/>
      <c r="AK35" s="121"/>
      <c r="AL35" s="120" t="e">
        <f>tblActuals35415192327[[#This Row],[Team 1 Goals]]+tblActuals35415192327[[#This Row],[Team 1 ET Goals]]&amp;":"&amp;tblActuals35415192327[[#This Row],[Team 2 Goals]]+tblActuals35415192327[[#This Row],[Team 2 ET Goals]]</f>
        <v>#VALUE!</v>
      </c>
      <c r="AM35" s="120" t="e">
        <f>+tblActuals35415192327[[#This Row],[Team 1 Goals]]+tblActuals35415192327[[#This Row],[Team 2 Goals]]</f>
        <v>#VALUE!</v>
      </c>
      <c r="AN35" s="161">
        <f t="shared" si="3"/>
        <v>45468</v>
      </c>
      <c r="AT35" s="78"/>
      <c r="AU35" s="179" t="s">
        <v>56</v>
      </c>
      <c r="AV35" s="180"/>
      <c r="AW35" s="133" t="s">
        <v>46</v>
      </c>
      <c r="AX35" s="134" t="s">
        <v>57</v>
      </c>
      <c r="AY35" s="135" t="s">
        <v>11</v>
      </c>
      <c r="AZ35" s="75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U35" s="4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4"/>
      <c r="EC35" s="4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4"/>
      <c r="FK35" s="4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37"/>
      <c r="GM35" s="37"/>
      <c r="GN35" s="37"/>
      <c r="GO35" s="37"/>
      <c r="GP35" s="37"/>
      <c r="GQ35" s="37"/>
      <c r="GR35" s="75"/>
      <c r="GS35" s="157"/>
      <c r="GT35" s="157"/>
      <c r="GU35" s="79"/>
      <c r="GV35" s="79"/>
      <c r="GW35" s="79"/>
      <c r="GX35" s="79"/>
      <c r="GY35" s="79"/>
      <c r="GZ35" s="79"/>
    </row>
    <row r="36" spans="1:208" s="11" customFormat="1" ht="30" customHeight="1" x14ac:dyDescent="0.25">
      <c r="A36" s="20"/>
      <c r="B36" s="122">
        <v>33</v>
      </c>
      <c r="C36" s="122" t="s">
        <v>12</v>
      </c>
      <c r="D36" s="123">
        <v>45469</v>
      </c>
      <c r="E36" s="122" t="s">
        <v>86</v>
      </c>
      <c r="F36" s="124">
        <v>0.75</v>
      </c>
      <c r="G36" s="125">
        <f t="shared" si="11"/>
        <v>45469.5</v>
      </c>
      <c r="H36" s="122" t="s">
        <v>120</v>
      </c>
      <c r="I36" s="126"/>
      <c r="J36" s="118"/>
      <c r="K36" s="118"/>
      <c r="L36" s="174">
        <f>IF(I36="",0,IFERROR(IF(SCORING.RULES!$C$8="No",1,((VLOOKUP($B36,ACTUALS!$B$4:$L$100,7,FALSE)=$H36)+(VLOOKUP($B36,ACTUALS!$B$4:$L$100,7,FALSE)=S36)))*(M36+N36+O36+P36+Q36),0))+$R36</f>
        <v>0</v>
      </c>
      <c r="M36" s="168">
        <f>IFERROR(IF($B36="","",IF(U36=INDEX(ACTUALS!$AA$4:$AA$100,MATCH($B36,ACTUALS!$B$4:$B$100,0),1),CorrectScore,0)),0)</f>
        <v>0</v>
      </c>
      <c r="N36" s="157" t="str">
        <f>IFERROR(IF(I36="","",IF(INDEX(ACTUALS!$AB$4:$AB$100,MATCH($B36,ACTUALS!$B$4:$B$100,0),1)=(AB36+AC36+AH36+AI36),CorrectNumberofGoals,0)),0)</f>
        <v/>
      </c>
      <c r="O36" s="157"/>
      <c r="P36" s="157">
        <f>IFERROR(IF(B36="","",IF(INDEX(ACTUALS!$L$4:$L$100,MATCH($B36,ACTUALS!$B$4:$B$100,0),1)=W36,CorrectResult,0)),0)</f>
        <v>3</v>
      </c>
      <c r="Q36" s="157"/>
      <c r="R36" s="157"/>
      <c r="S36" s="157" t="str">
        <f t="shared" si="0"/>
        <v/>
      </c>
      <c r="T36" s="157"/>
      <c r="U36" s="157" t="str">
        <f t="shared" si="1"/>
        <v/>
      </c>
      <c r="V36" s="157" t="str">
        <f t="shared" si="2"/>
        <v/>
      </c>
      <c r="W36" s="119" t="str">
        <f>IF(tblActuals35415192327[[#This Row],[SCORE]]="","",IF(AB36=AC36,"Draw",IF(AB36&gt;AC36,X36,Y36)))</f>
        <v/>
      </c>
      <c r="X36" s="120" t="str">
        <f>IF(tblActuals35415192327[[#This Row],[TEAMS]]="","",LEFT(H36,FIND(" -",H36,1)-1))</f>
        <v>Slovakia</v>
      </c>
      <c r="Y36" s="120" t="str">
        <f>IF(tblActuals35415192327[[#This Row],[TEAMS]]="","",MID(H36,FIND("-",H36,1)+2,LEN(H36)-FIND("-",H36,1)+2))</f>
        <v>Romania</v>
      </c>
      <c r="Z36" s="120" t="str">
        <f>IF(tblActuals35415192327[[#This Row],[Team 1 Goals]]&gt;tblActuals35415192327[[#This Row],[Team 2 Goals]],tblActuals35415192327[[#This Row],[Team 1]],IF(tblActuals35415192327[[#This Row],[Team 2 Goals]]&gt;tblActuals35415192327[[#This Row],[Team 1 Goals]],tblActuals35415192327[[#This Row],[Team 2]],""))</f>
        <v/>
      </c>
      <c r="AA36" s="120" t="str">
        <f>IF(tblActuals35415192327[[#This Row],[Winner]]=tblActuals35415192327[[#This Row],[Team 1]],tblActuals35415192327[[#This Row],[Team 2]],IF(tblActuals35415192327[[#This Row],[Winner]]=tblActuals35415192327[[#This Row],[Team 2]],tblActuals35415192327[[#This Row],[Team 1]],""))</f>
        <v/>
      </c>
      <c r="AB36" s="120" t="str">
        <f>IF(tblActuals35415192327[[#This Row],[SCORE]]="","",LEFT(I36,FIND(":",I36,1)-1)*1)</f>
        <v/>
      </c>
      <c r="AC36" s="120" t="str">
        <f>IF(tblActuals35415192327[[#This Row],[SCORE]]="","",MID(I36,FIND(":",I36,1)+1,LEN(I36)-FIND(":",I36,1)+1)*1)</f>
        <v/>
      </c>
      <c r="AD36" s="120" t="str">
        <f>IF(OR(tblActuals35415192327[[#This Row],[Team 1 Goals]]="",tblActuals35415192327[[#This Row],[Team 2 Goals]]=""),"",tblActuals35415192327[[#This Row],[Team 1 Goals]]-tblActuals35415192327[[#This Row],[Team 2 Goals]])</f>
        <v/>
      </c>
      <c r="AE36" s="120" t="str">
        <f>IF(OR(tblActuals35415192327[[#This Row],[Team 1 Goals]]="",tblActuals35415192327[[#This Row],[Team 2 Goals]]=""),"",tblActuals35415192327[[#This Row],[Team 2 Goals]]-tblActuals35415192327[[#This Row],[Team 1 Goals]])</f>
        <v/>
      </c>
      <c r="AF36" s="120" t="str">
        <f>IF(tblActuals35415192327[[#This Row],[SCORE]]="","",IF(tblActuals35415192327[[#This Row],[WINNER / RESULT]]="Draw",1,IF(tblActuals35415192327[[#This Row],[WINNER / RESULT]]=tblActuals35415192327[[#This Row],[Team 1]],3,0)))</f>
        <v/>
      </c>
      <c r="AG36" s="120" t="str">
        <f>IF(tblActuals35415192327[[#This Row],[SCORE]]="","",IF(tblActuals35415192327[[#This Row],[WINNER / RESULT]]="Draw",1,IF(tblActuals35415192327[[#This Row],[WINNER / RESULT]]=tblActuals35415192327[[#This Row],[Team 2]],3,0)))</f>
        <v/>
      </c>
      <c r="AH36" s="121"/>
      <c r="AI36" s="121"/>
      <c r="AJ36" s="121"/>
      <c r="AK36" s="121"/>
      <c r="AL36" s="120" t="e">
        <f>tblActuals35415192327[[#This Row],[Team 1 Goals]]+tblActuals35415192327[[#This Row],[Team 1 ET Goals]]&amp;":"&amp;tblActuals35415192327[[#This Row],[Team 2 Goals]]+tblActuals35415192327[[#This Row],[Team 2 ET Goals]]</f>
        <v>#VALUE!</v>
      </c>
      <c r="AM36" s="120" t="e">
        <f>+tblActuals35415192327[[#This Row],[Team 1 Goals]]+tblActuals35415192327[[#This Row],[Team 2 Goals]]</f>
        <v>#VALUE!</v>
      </c>
      <c r="AN36" s="161">
        <f t="shared" ref="AN36:AN54" si="13">DATE(YEAR(G36),MONTH(G36),DAY(G36))</f>
        <v>45469</v>
      </c>
      <c r="AT36" s="77" t="s">
        <v>45</v>
      </c>
      <c r="AU36" s="136">
        <v>1</v>
      </c>
      <c r="AV36" s="137" t="str">
        <f ca="1">IFERROR(INDEX(BD:BD,MATCH("1"&amp;AT36,BN:BN,0),1),"")</f>
        <v>Czechia</v>
      </c>
      <c r="AW36" s="137" t="str">
        <f ca="1">IF(AV36="","",VLOOKUP(AV36,BD:BI,2,FALSE)&amp;"-"&amp;VLOOKUP(AV36,BD:BI,3,FALSE)&amp;"-"&amp;VLOOKUP(AV36,BD:BI,4,FALSE))</f>
        <v>0-0-0</v>
      </c>
      <c r="AX36" s="137">
        <f ca="1">IF(AV36="","",VLOOKUP(AV36,BD:BK,8,FALSE))</f>
        <v>0</v>
      </c>
      <c r="AY36" s="138">
        <f ca="1">IF(AV36="","",VLOOKUP(AV36,BD:BN,5,FALSE))</f>
        <v>0</v>
      </c>
      <c r="AZ36" s="75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U36" s="58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4"/>
      <c r="EC36" s="58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4"/>
      <c r="FK36" s="58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13"/>
      <c r="GM36" s="13"/>
      <c r="GN36" s="13"/>
      <c r="GO36" s="13"/>
      <c r="GP36" s="13"/>
      <c r="GQ36" s="13"/>
      <c r="GR36" s="75"/>
      <c r="GS36" s="157"/>
      <c r="GT36" s="157"/>
      <c r="GU36" s="79"/>
      <c r="GV36" s="79"/>
      <c r="GW36" s="79"/>
      <c r="GX36" s="79"/>
      <c r="GY36" s="79"/>
      <c r="GZ36" s="79"/>
    </row>
    <row r="37" spans="1:208" s="11" customFormat="1" ht="30" customHeight="1" x14ac:dyDescent="0.25">
      <c r="A37" s="20"/>
      <c r="B37" s="122">
        <v>34</v>
      </c>
      <c r="C37" s="122" t="s">
        <v>12</v>
      </c>
      <c r="D37" s="123">
        <v>45469</v>
      </c>
      <c r="E37" s="122" t="s">
        <v>83</v>
      </c>
      <c r="F37" s="124">
        <v>0.75</v>
      </c>
      <c r="G37" s="125">
        <f t="shared" si="11"/>
        <v>45469.5</v>
      </c>
      <c r="H37" s="122" t="s">
        <v>121</v>
      </c>
      <c r="I37" s="126"/>
      <c r="J37" s="118"/>
      <c r="K37" s="118"/>
      <c r="L37" s="174">
        <f>IF(I37="",0,IFERROR(IF(SCORING.RULES!$C$8="No",1,((VLOOKUP($B37,ACTUALS!$B$4:$L$100,7,FALSE)=$H37)+(VLOOKUP($B37,ACTUALS!$B$4:$L$100,7,FALSE)=S37)))*(M37+N37+O37+P37+Q37),0))+$R37</f>
        <v>0</v>
      </c>
      <c r="M37" s="168">
        <f>IFERROR(IF($B37="","",IF(U37=INDEX(ACTUALS!$AA$4:$AA$100,MATCH($B37,ACTUALS!$B$4:$B$100,0),1),CorrectScore,0)),0)</f>
        <v>0</v>
      </c>
      <c r="N37" s="157" t="str">
        <f>IFERROR(IF(I37="","",IF(INDEX(ACTUALS!$AB$4:$AB$100,MATCH($B37,ACTUALS!$B$4:$B$100,0),1)=(AB37+AC37+AH37+AI37),CorrectNumberofGoals,0)),0)</f>
        <v/>
      </c>
      <c r="O37" s="157"/>
      <c r="P37" s="157">
        <f>IFERROR(IF(B37="","",IF(INDEX(ACTUALS!$L$4:$L$100,MATCH($B37,ACTUALS!$B$4:$B$100,0),1)=W37,CorrectResult,0)),0)</f>
        <v>3</v>
      </c>
      <c r="Q37" s="157"/>
      <c r="R37" s="157"/>
      <c r="S37" s="157" t="str">
        <f t="shared" si="0"/>
        <v/>
      </c>
      <c r="T37" s="157"/>
      <c r="U37" s="157" t="str">
        <f t="shared" si="1"/>
        <v/>
      </c>
      <c r="V37" s="157" t="str">
        <f t="shared" si="2"/>
        <v/>
      </c>
      <c r="W37" s="119" t="str">
        <f>IF(tblActuals35415192327[[#This Row],[SCORE]]="","",IF(AB37=AC37,"Draw",IF(AB37&gt;AC37,X37,Y37)))</f>
        <v/>
      </c>
      <c r="X37" s="120" t="str">
        <f>IF(tblActuals35415192327[[#This Row],[TEAMS]]="","",LEFT(H37,FIND(" -",H37,1)-1))</f>
        <v>Ukraine</v>
      </c>
      <c r="Y37" s="120" t="str">
        <f>IF(tblActuals35415192327[[#This Row],[TEAMS]]="","",MID(H37,FIND("-",H37,1)+2,LEN(H37)-FIND("-",H37,1)+2))</f>
        <v>Belgium</v>
      </c>
      <c r="Z37" s="120" t="str">
        <f>IF(tblActuals35415192327[[#This Row],[Team 1 Goals]]&gt;tblActuals35415192327[[#This Row],[Team 2 Goals]],tblActuals35415192327[[#This Row],[Team 1]],IF(tblActuals35415192327[[#This Row],[Team 2 Goals]]&gt;tblActuals35415192327[[#This Row],[Team 1 Goals]],tblActuals35415192327[[#This Row],[Team 2]],""))</f>
        <v/>
      </c>
      <c r="AA37" s="120" t="str">
        <f>IF(tblActuals35415192327[[#This Row],[Winner]]=tblActuals35415192327[[#This Row],[Team 1]],tblActuals35415192327[[#This Row],[Team 2]],IF(tblActuals35415192327[[#This Row],[Winner]]=tblActuals35415192327[[#This Row],[Team 2]],tblActuals35415192327[[#This Row],[Team 1]],""))</f>
        <v/>
      </c>
      <c r="AB37" s="120" t="str">
        <f>IF(tblActuals35415192327[[#This Row],[SCORE]]="","",LEFT(I37,FIND(":",I37,1)-1)*1)</f>
        <v/>
      </c>
      <c r="AC37" s="120" t="str">
        <f>IF(tblActuals35415192327[[#This Row],[SCORE]]="","",MID(I37,FIND(":",I37,1)+1,LEN(I37)-FIND(":",I37,1)+1)*1)</f>
        <v/>
      </c>
      <c r="AD37" s="120" t="str">
        <f>IF(OR(tblActuals35415192327[[#This Row],[Team 1 Goals]]="",tblActuals35415192327[[#This Row],[Team 2 Goals]]=""),"",tblActuals35415192327[[#This Row],[Team 1 Goals]]-tblActuals35415192327[[#This Row],[Team 2 Goals]])</f>
        <v/>
      </c>
      <c r="AE37" s="120" t="str">
        <f>IF(OR(tblActuals35415192327[[#This Row],[Team 1 Goals]]="",tblActuals35415192327[[#This Row],[Team 2 Goals]]=""),"",tblActuals35415192327[[#This Row],[Team 2 Goals]]-tblActuals35415192327[[#This Row],[Team 1 Goals]])</f>
        <v/>
      </c>
      <c r="AF37" s="120" t="str">
        <f>IF(tblActuals35415192327[[#This Row],[SCORE]]="","",IF(tblActuals35415192327[[#This Row],[WINNER / RESULT]]="Draw",1,IF(tblActuals35415192327[[#This Row],[WINNER / RESULT]]=tblActuals35415192327[[#This Row],[Team 1]],3,0)))</f>
        <v/>
      </c>
      <c r="AG37" s="120" t="str">
        <f>IF(tblActuals35415192327[[#This Row],[SCORE]]="","",IF(tblActuals35415192327[[#This Row],[WINNER / RESULT]]="Draw",1,IF(tblActuals35415192327[[#This Row],[WINNER / RESULT]]=tblActuals35415192327[[#This Row],[Team 2]],3,0)))</f>
        <v/>
      </c>
      <c r="AH37" s="121"/>
      <c r="AI37" s="121"/>
      <c r="AJ37" s="121"/>
      <c r="AK37" s="121"/>
      <c r="AL37" s="120" t="e">
        <f>tblActuals35415192327[[#This Row],[Team 1 Goals]]+tblActuals35415192327[[#This Row],[Team 1 ET Goals]]&amp;":"&amp;tblActuals35415192327[[#This Row],[Team 2 Goals]]+tblActuals35415192327[[#This Row],[Team 2 ET Goals]]</f>
        <v>#VALUE!</v>
      </c>
      <c r="AM37" s="120" t="e">
        <f>+tblActuals35415192327[[#This Row],[Team 1 Goals]]+tblActuals35415192327[[#This Row],[Team 2 Goals]]</f>
        <v>#VALUE!</v>
      </c>
      <c r="AN37" s="161">
        <f t="shared" si="13"/>
        <v>45469</v>
      </c>
      <c r="AT37" s="77" t="s">
        <v>45</v>
      </c>
      <c r="AU37" s="139">
        <v>2</v>
      </c>
      <c r="AV37" s="140" t="str">
        <f ca="1">IFERROR(INDEX(BD:BD,MATCH("2"&amp;AT37,BN:BN,0),1),"")</f>
        <v>Georgia</v>
      </c>
      <c r="AW37" s="140" t="str">
        <f ca="1">IF(AV37="","",VLOOKUP(AV37,BD:BI,2,FALSE)&amp;"-"&amp;VLOOKUP(AV37,BD:BI,3,FALSE)&amp;"-"&amp;VLOOKUP(AV37,BD:BI,4,FALSE))</f>
        <v>0-0-0</v>
      </c>
      <c r="AX37" s="140">
        <f ca="1">IF(AV37="","",VLOOKUP(AV37,BD:BK,8,FALSE))</f>
        <v>0</v>
      </c>
      <c r="AY37" s="141">
        <f ca="1">IF(AV37="","",VLOOKUP(AV37,BD:BN,5,FALSE))</f>
        <v>0</v>
      </c>
      <c r="AZ37" s="75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U37" s="58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4"/>
      <c r="EC37" s="58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4"/>
      <c r="FK37" s="58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13"/>
      <c r="GM37" s="13"/>
      <c r="GN37" s="13"/>
      <c r="GO37" s="13"/>
      <c r="GP37" s="13"/>
      <c r="GQ37" s="13"/>
      <c r="GR37" s="75"/>
      <c r="GS37" s="157"/>
      <c r="GT37" s="157"/>
      <c r="GU37" s="79"/>
      <c r="GV37" s="79"/>
      <c r="GW37" s="79"/>
      <c r="GX37" s="79"/>
      <c r="GY37" s="79"/>
      <c r="GZ37" s="79"/>
    </row>
    <row r="38" spans="1:208" s="11" customFormat="1" ht="30" customHeight="1" x14ac:dyDescent="0.25">
      <c r="A38" s="20"/>
      <c r="B38" s="122">
        <v>35</v>
      </c>
      <c r="C38" s="122" t="s">
        <v>45</v>
      </c>
      <c r="D38" s="123">
        <v>45469</v>
      </c>
      <c r="E38" s="122" t="s">
        <v>82</v>
      </c>
      <c r="F38" s="124">
        <v>0.875</v>
      </c>
      <c r="G38" s="125">
        <f t="shared" si="11"/>
        <v>45469.625</v>
      </c>
      <c r="H38" s="122" t="s">
        <v>122</v>
      </c>
      <c r="I38" s="126"/>
      <c r="J38" s="118"/>
      <c r="K38" s="118"/>
      <c r="L38" s="174">
        <f>IF(I38="",0,IFERROR(IF(SCORING.RULES!$C$8="No",1,((VLOOKUP($B38,ACTUALS!$B$4:$L$100,7,FALSE)=$H38)+(VLOOKUP($B38,ACTUALS!$B$4:$L$100,7,FALSE)=S38)))*(M38+N38+O38+P38+Q38),0))+$R38</f>
        <v>0</v>
      </c>
      <c r="M38" s="168">
        <f>IFERROR(IF($B38="","",IF(U38=INDEX(ACTUALS!$AA$4:$AA$100,MATCH($B38,ACTUALS!$B$4:$B$100,0),1),CorrectScore,0)),0)</f>
        <v>0</v>
      </c>
      <c r="N38" s="157" t="str">
        <f>IFERROR(IF(I38="","",IF(INDEX(ACTUALS!$AB$4:$AB$100,MATCH($B38,ACTUALS!$B$4:$B$100,0),1)=(AB38+AC38+AH38+AI38),CorrectNumberofGoals,0)),0)</f>
        <v/>
      </c>
      <c r="O38" s="157"/>
      <c r="P38" s="157">
        <f>IFERROR(IF(B38="","",IF(INDEX(ACTUALS!$L$4:$L$100,MATCH($B38,ACTUALS!$B$4:$B$100,0),1)=W38,CorrectResult,0)),0)</f>
        <v>3</v>
      </c>
      <c r="Q38" s="157"/>
      <c r="R38" s="157"/>
      <c r="S38" s="157" t="str">
        <f t="shared" si="0"/>
        <v/>
      </c>
      <c r="T38" s="157"/>
      <c r="U38" s="157" t="str">
        <f t="shared" si="1"/>
        <v/>
      </c>
      <c r="V38" s="157" t="str">
        <f t="shared" si="2"/>
        <v/>
      </c>
      <c r="W38" s="119" t="str">
        <f>IF(tblActuals35415192327[[#This Row],[SCORE]]="","",IF(AB38=AC38,"Draw",IF(AB38&gt;AC38,X38,Y38)))</f>
        <v/>
      </c>
      <c r="X38" s="120" t="str">
        <f>IF(tblActuals35415192327[[#This Row],[TEAMS]]="","",LEFT(H38,FIND(" -",H38,1)-1))</f>
        <v>Georgia</v>
      </c>
      <c r="Y38" s="120" t="str">
        <f>IF(tblActuals35415192327[[#This Row],[TEAMS]]="","",MID(H38,FIND("-",H38,1)+2,LEN(H38)-FIND("-",H38,1)+2))</f>
        <v>Portugal</v>
      </c>
      <c r="Z38" s="120" t="str">
        <f>IF(tblActuals35415192327[[#This Row],[Team 1 Goals]]&gt;tblActuals35415192327[[#This Row],[Team 2 Goals]],tblActuals35415192327[[#This Row],[Team 1]],IF(tblActuals35415192327[[#This Row],[Team 2 Goals]]&gt;tblActuals35415192327[[#This Row],[Team 1 Goals]],tblActuals35415192327[[#This Row],[Team 2]],""))</f>
        <v/>
      </c>
      <c r="AA38" s="120" t="str">
        <f>IF(tblActuals35415192327[[#This Row],[Winner]]=tblActuals35415192327[[#This Row],[Team 1]],tblActuals35415192327[[#This Row],[Team 2]],IF(tblActuals35415192327[[#This Row],[Winner]]=tblActuals35415192327[[#This Row],[Team 2]],tblActuals35415192327[[#This Row],[Team 1]],""))</f>
        <v/>
      </c>
      <c r="AB38" s="120" t="str">
        <f>IF(tblActuals35415192327[[#This Row],[SCORE]]="","",LEFT(I38,FIND(":",I38,1)-1)*1)</f>
        <v/>
      </c>
      <c r="AC38" s="120" t="str">
        <f>IF(tblActuals35415192327[[#This Row],[SCORE]]="","",MID(I38,FIND(":",I38,1)+1,LEN(I38)-FIND(":",I38,1)+1)*1)</f>
        <v/>
      </c>
      <c r="AD38" s="120" t="str">
        <f>IF(OR(tblActuals35415192327[[#This Row],[Team 1 Goals]]="",tblActuals35415192327[[#This Row],[Team 2 Goals]]=""),"",tblActuals35415192327[[#This Row],[Team 1 Goals]]-tblActuals35415192327[[#This Row],[Team 2 Goals]])</f>
        <v/>
      </c>
      <c r="AE38" s="120" t="str">
        <f>IF(OR(tblActuals35415192327[[#This Row],[Team 1 Goals]]="",tblActuals35415192327[[#This Row],[Team 2 Goals]]=""),"",tblActuals35415192327[[#This Row],[Team 2 Goals]]-tblActuals35415192327[[#This Row],[Team 1 Goals]])</f>
        <v/>
      </c>
      <c r="AF38" s="120" t="str">
        <f>IF(tblActuals35415192327[[#This Row],[SCORE]]="","",IF(tblActuals35415192327[[#This Row],[WINNER / RESULT]]="Draw",1,IF(tblActuals35415192327[[#This Row],[WINNER / RESULT]]=tblActuals35415192327[[#This Row],[Team 1]],3,0)))</f>
        <v/>
      </c>
      <c r="AG38" s="120" t="str">
        <f>IF(tblActuals35415192327[[#This Row],[SCORE]]="","",IF(tblActuals35415192327[[#This Row],[WINNER / RESULT]]="Draw",1,IF(tblActuals35415192327[[#This Row],[WINNER / RESULT]]=tblActuals35415192327[[#This Row],[Team 2]],3,0)))</f>
        <v/>
      </c>
      <c r="AH38" s="121"/>
      <c r="AI38" s="121"/>
      <c r="AJ38" s="121"/>
      <c r="AK38" s="121"/>
      <c r="AL38" s="120" t="e">
        <f>tblActuals35415192327[[#This Row],[Team 1 Goals]]+tblActuals35415192327[[#This Row],[Team 1 ET Goals]]&amp;":"&amp;tblActuals35415192327[[#This Row],[Team 2 Goals]]+tblActuals35415192327[[#This Row],[Team 2 ET Goals]]</f>
        <v>#VALUE!</v>
      </c>
      <c r="AM38" s="120" t="e">
        <f>+tblActuals35415192327[[#This Row],[Team 1 Goals]]+tblActuals35415192327[[#This Row],[Team 2 Goals]]</f>
        <v>#VALUE!</v>
      </c>
      <c r="AN38" s="161">
        <f t="shared" si="13"/>
        <v>45469</v>
      </c>
      <c r="AT38" s="77" t="s">
        <v>45</v>
      </c>
      <c r="AU38" s="142">
        <v>3</v>
      </c>
      <c r="AV38" s="143" t="str">
        <f ca="1">IFERROR(INDEX(BD:BD,MATCH("3"&amp;AT38,BN:BN,0),1),"")</f>
        <v>Portugal</v>
      </c>
      <c r="AW38" s="143" t="str">
        <f ca="1">IF(AV38="","",VLOOKUP(AV38,BD:BI,2,FALSE)&amp;"-"&amp;VLOOKUP(AV38,BD:BI,3,FALSE)&amp;"-"&amp;VLOOKUP(AV38,BD:BI,4,FALSE))</f>
        <v>0-0-0</v>
      </c>
      <c r="AX38" s="143">
        <f ca="1">IF(AV38="","",VLOOKUP(AV38,BD:BK,8,FALSE))</f>
        <v>0</v>
      </c>
      <c r="AY38" s="144">
        <f ca="1">IF(AV38="","",VLOOKUP(AV38,BD:BN,5,FALSE))</f>
        <v>0</v>
      </c>
      <c r="AZ38" s="75" t="str">
        <f ca="1">IF(INDEX($AU$43:$AU$48,MATCH(AV38,$AV$43:$AV$48,0),1)&lt;=4,"X","")</f>
        <v>X</v>
      </c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U38" s="58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4"/>
      <c r="EC38" s="58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4"/>
      <c r="FK38" s="58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13"/>
      <c r="GM38" s="13"/>
      <c r="GN38" s="13"/>
      <c r="GO38" s="13"/>
      <c r="GP38" s="13"/>
      <c r="GQ38" s="13"/>
      <c r="GR38" s="75"/>
      <c r="GS38" s="157"/>
      <c r="GT38" s="157"/>
      <c r="GU38" s="75"/>
      <c r="GV38" s="75"/>
      <c r="GW38" s="75"/>
      <c r="GX38" s="75"/>
      <c r="GY38" s="75"/>
      <c r="GZ38" s="75"/>
    </row>
    <row r="39" spans="1:208" s="11" customFormat="1" ht="30" customHeight="1" thickBot="1" x14ac:dyDescent="0.3">
      <c r="A39" s="20"/>
      <c r="B39" s="127">
        <v>36</v>
      </c>
      <c r="C39" s="127" t="s">
        <v>45</v>
      </c>
      <c r="D39" s="128">
        <v>45469</v>
      </c>
      <c r="E39" s="127" t="s">
        <v>84</v>
      </c>
      <c r="F39" s="129">
        <v>0.875</v>
      </c>
      <c r="G39" s="130">
        <f t="shared" si="11"/>
        <v>45469.625</v>
      </c>
      <c r="H39" s="127" t="s">
        <v>123</v>
      </c>
      <c r="I39" s="131"/>
      <c r="J39" s="118"/>
      <c r="K39" s="118"/>
      <c r="L39" s="174">
        <f>IF(I39="",0,IFERROR(IF(SCORING.RULES!$C$8="No",1,((VLOOKUP($B39,ACTUALS!$B$4:$L$100,7,FALSE)=$H39)+(VLOOKUP($B39,ACTUALS!$B$4:$L$100,7,FALSE)=S39)))*(M39+N39+O39+P39+Q39),0))+$R39</f>
        <v>0</v>
      </c>
      <c r="M39" s="168">
        <f>IFERROR(IF($B39="","",IF(U39=INDEX(ACTUALS!$AA$4:$AA$100,MATCH($B39,ACTUALS!$B$4:$B$100,0),1),CorrectScore,0)),0)</f>
        <v>0</v>
      </c>
      <c r="N39" s="157" t="str">
        <f>IFERROR(IF(I39="","",IF(INDEX(ACTUALS!$AB$4:$AB$100,MATCH($B39,ACTUALS!$B$4:$B$100,0),1)=(AB39+AC39+AH39+AI39),CorrectNumberofGoals,0)),0)</f>
        <v/>
      </c>
      <c r="O39" s="157"/>
      <c r="P39" s="157">
        <f>IFERROR(IF(B39="","",IF(INDEX(ACTUALS!$L$4:$L$100,MATCH($B39,ACTUALS!$B$4:$B$100,0),1)=W39,CorrectResult,0)),0)</f>
        <v>3</v>
      </c>
      <c r="Q39" s="157"/>
      <c r="R39" s="157"/>
      <c r="S39" s="157" t="str">
        <f t="shared" si="0"/>
        <v/>
      </c>
      <c r="T39" s="157"/>
      <c r="U39" s="157" t="str">
        <f t="shared" si="1"/>
        <v/>
      </c>
      <c r="V39" s="157" t="str">
        <f t="shared" si="2"/>
        <v/>
      </c>
      <c r="W39" s="132" t="str">
        <f>IF(tblActuals35415192327[[#This Row],[SCORE]]="","",IF(AB39=AC39,"Draw",IF(AB39&gt;AC39,X39,Y39)))</f>
        <v/>
      </c>
      <c r="X39" s="120" t="str">
        <f>IF(tblActuals35415192327[[#This Row],[TEAMS]]="","",LEFT(H39,FIND(" -",H39,1)-1))</f>
        <v>Czechia</v>
      </c>
      <c r="Y39" s="120" t="str">
        <f>IF(tblActuals35415192327[[#This Row],[TEAMS]]="","",MID(H39,FIND("-",H39,1)+2,LEN(H39)-FIND("-",H39,1)+2))</f>
        <v>Turkey</v>
      </c>
      <c r="Z39" s="120" t="str">
        <f>IF(tblActuals35415192327[[#This Row],[Team 1 Goals]]&gt;tblActuals35415192327[[#This Row],[Team 2 Goals]],tblActuals35415192327[[#This Row],[Team 1]],IF(tblActuals35415192327[[#This Row],[Team 2 Goals]]&gt;tblActuals35415192327[[#This Row],[Team 1 Goals]],tblActuals35415192327[[#This Row],[Team 2]],""))</f>
        <v/>
      </c>
      <c r="AA39" s="120" t="str">
        <f>IF(tblActuals35415192327[[#This Row],[Winner]]=tblActuals35415192327[[#This Row],[Team 1]],tblActuals35415192327[[#This Row],[Team 2]],IF(tblActuals35415192327[[#This Row],[Winner]]=tblActuals35415192327[[#This Row],[Team 2]],tblActuals35415192327[[#This Row],[Team 1]],""))</f>
        <v/>
      </c>
      <c r="AB39" s="120" t="str">
        <f>IF(tblActuals35415192327[[#This Row],[SCORE]]="","",LEFT(I39,FIND(":",I39,1)-1)*1)</f>
        <v/>
      </c>
      <c r="AC39" s="120" t="str">
        <f>IF(tblActuals35415192327[[#This Row],[SCORE]]="","",MID(I39,FIND(":",I39,1)+1,LEN(I39)-FIND(":",I39,1)+1)*1)</f>
        <v/>
      </c>
      <c r="AD39" s="120" t="str">
        <f>IF(OR(tblActuals35415192327[[#This Row],[Team 1 Goals]]="",tblActuals35415192327[[#This Row],[Team 2 Goals]]=""),"",tblActuals35415192327[[#This Row],[Team 1 Goals]]-tblActuals35415192327[[#This Row],[Team 2 Goals]])</f>
        <v/>
      </c>
      <c r="AE39" s="120" t="str">
        <f>IF(OR(tblActuals35415192327[[#This Row],[Team 1 Goals]]="",tblActuals35415192327[[#This Row],[Team 2 Goals]]=""),"",tblActuals35415192327[[#This Row],[Team 2 Goals]]-tblActuals35415192327[[#This Row],[Team 1 Goals]])</f>
        <v/>
      </c>
      <c r="AF39" s="120" t="str">
        <f>IF(tblActuals35415192327[[#This Row],[SCORE]]="","",IF(tblActuals35415192327[[#This Row],[WINNER / RESULT]]="Draw",1,IF(tblActuals35415192327[[#This Row],[WINNER / RESULT]]=tblActuals35415192327[[#This Row],[Team 1]],3,0)))</f>
        <v/>
      </c>
      <c r="AG39" s="120" t="str">
        <f>IF(tblActuals35415192327[[#This Row],[SCORE]]="","",IF(tblActuals35415192327[[#This Row],[WINNER / RESULT]]="Draw",1,IF(tblActuals35415192327[[#This Row],[WINNER / RESULT]]=tblActuals35415192327[[#This Row],[Team 2]],3,0)))</f>
        <v/>
      </c>
      <c r="AH39" s="121"/>
      <c r="AI39" s="121"/>
      <c r="AJ39" s="121"/>
      <c r="AK39" s="121"/>
      <c r="AL39" s="120" t="e">
        <f>tblActuals35415192327[[#This Row],[Team 1 Goals]]+tblActuals35415192327[[#This Row],[Team 1 ET Goals]]&amp;":"&amp;tblActuals35415192327[[#This Row],[Team 2 Goals]]+tblActuals35415192327[[#This Row],[Team 2 ET Goals]]</f>
        <v>#VALUE!</v>
      </c>
      <c r="AM39" s="120" t="e">
        <f>+tblActuals35415192327[[#This Row],[Team 1 Goals]]+tblActuals35415192327[[#This Row],[Team 2 Goals]]</f>
        <v>#VALUE!</v>
      </c>
      <c r="AN39" s="161">
        <f t="shared" si="13"/>
        <v>45469</v>
      </c>
      <c r="AT39" s="77" t="s">
        <v>45</v>
      </c>
      <c r="AU39" s="145">
        <v>4</v>
      </c>
      <c r="AV39" s="146" t="str">
        <f ca="1">IFERROR(INDEX(BD:BD,MATCH("4"&amp;AT39,BN:BN,0),1),"")</f>
        <v>Turkey</v>
      </c>
      <c r="AW39" s="146" t="str">
        <f ca="1">IF(AV39="","",VLOOKUP(AV39,BD:BI,2,FALSE)&amp;"-"&amp;VLOOKUP(AV39,BD:BI,3,FALSE)&amp;"-"&amp;VLOOKUP(AV39,BD:BI,4,FALSE))</f>
        <v>0-0-0</v>
      </c>
      <c r="AX39" s="146">
        <f ca="1">IF(AV39="","",VLOOKUP(AV39,BD:BK,8,FALSE))</f>
        <v>0</v>
      </c>
      <c r="AY39" s="147">
        <f ca="1">IF(AV39="","",VLOOKUP(AV39,BD:BN,5,FALSE))</f>
        <v>0</v>
      </c>
      <c r="AZ39" s="75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U39" s="58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4"/>
      <c r="EC39" s="58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4"/>
      <c r="FK39" s="58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13"/>
      <c r="GM39" s="13"/>
      <c r="GN39" s="13"/>
      <c r="GO39" s="13"/>
      <c r="GP39" s="13"/>
      <c r="GQ39" s="13"/>
      <c r="GR39" s="75"/>
      <c r="GS39" s="157"/>
      <c r="GT39" s="157"/>
      <c r="GU39" s="75"/>
      <c r="GV39" s="75"/>
      <c r="GW39" s="75"/>
      <c r="GX39" s="75"/>
      <c r="GY39" s="75"/>
      <c r="GZ39" s="75"/>
    </row>
    <row r="40" spans="1:208" s="11" customFormat="1" ht="30" customHeight="1" thickBot="1" x14ac:dyDescent="0.3">
      <c r="A40" s="20"/>
      <c r="B40" s="113">
        <v>37</v>
      </c>
      <c r="C40" s="113" t="s">
        <v>48</v>
      </c>
      <c r="D40" s="114">
        <v>45472</v>
      </c>
      <c r="E40" s="113" t="s">
        <v>81</v>
      </c>
      <c r="F40" s="115">
        <v>0.875</v>
      </c>
      <c r="G40" s="116">
        <f t="shared" si="11"/>
        <v>45472.625</v>
      </c>
      <c r="H40" s="113" t="str">
        <f>IF(I39="","Round of 16",INDEX(BD:BD,MATCH("1A",BN:BN,0),1)&amp;" - "&amp;INDEX(BD:BD,MATCH("2C",BN:BN,0),1))</f>
        <v>Round of 16</v>
      </c>
      <c r="I40" s="50"/>
      <c r="J40" s="62"/>
      <c r="K40" s="66"/>
      <c r="L40" s="175">
        <f>IF(I40="",0,IFERROR(IF(SCORING.RULES!$C$8="No",1,((VLOOKUP($B40,ACTUALS!$B$4:$L$100,7,FALSE)=$H40)+(VLOOKUP($B40,ACTUALS!$B$4:$L$100,7,FALSE)=S40)))*(M40+N40+O40+P40+Q40),0))+$R40</f>
        <v>0</v>
      </c>
      <c r="M40" s="168">
        <f>IFERROR(IF($B40="","",IF(U40=INDEX(ACTUALS!$AA$4:$AA$100,MATCH($B40,ACTUALS!$B$4:$B$100,0),1),CorrectScore,0)),0)</f>
        <v>0</v>
      </c>
      <c r="N40" s="168" t="str">
        <f>IFERROR(IF(I40="","",IF(INDEX(ACTUALS!$AB$4:$AB$100,MATCH($B40,ACTUALS!$B$4:$B$100,0),1)=(AB40+AC40+AH40+AI40),CorrectNumberofGoals,0)),0)</f>
        <v/>
      </c>
      <c r="O40" s="168">
        <f>IFERROR(IF(V40="",0,IF($V40=INDEX(ACTUALS!$K$3:$K$100,MATCH($B40,ACTUALS!$B$3:$B$100,0),1),penaltiesscored,0)),0)</f>
        <v>0</v>
      </c>
      <c r="P40" s="168">
        <f>IFERROR(IF(B40="","",IF(INDEX(ACTUALS!$L$4:$L$100,MATCH($B40,ACTUALS!$B$4:$B$100,0),1)=W40,CorrectResult,0)),0)</f>
        <v>3</v>
      </c>
      <c r="Q40" s="168">
        <f>IFERROR(IF(ISNUMBER(AI40),IF(ISNUMBER(INDEX(ACTUALS!$Y$3:$Y$100,MATCH($B40,ACTUALS!$B$3:$B$100,0),1)),shootoutswon,0),0),0)</f>
        <v>0</v>
      </c>
      <c r="R40" s="168">
        <f t="shared" ref="R40:R54" si="14">(IF(ISNUMBER(FIND($X40,VLOOKUP($C40,EliminationStages,2,FALSE),1)),1,0)+IF(ISNUMBER(FIND($Y40,VLOOKUP($C40,EliminationStages,2,FALSE),1)),1,0))*CorrectStage</f>
        <v>0</v>
      </c>
      <c r="S40" s="168" t="e">
        <f>IF(OR($H40="",$B40&lt;37),"",RIGHT($H40,LEN($H40)-FIND("-",$H40,1)-1)&amp;" - "&amp;LEFT($H40,FIND("-",$H40,1)-2))</f>
        <v>#VALUE!</v>
      </c>
      <c r="T40" s="168" t="str">
        <f>IF($W40="","",IF(NOT(ISERROR(MATCH($S40,ACTUALS!$H$40:$H$47,0))),"Y","N"))</f>
        <v/>
      </c>
      <c r="U40" s="168" t="str">
        <f>IF($I40="","",IF($T40="Y",AC40+AI40&amp;":"&amp;AB40+AH40,AB40+AH40&amp;":"&amp;AC40+AI40))</f>
        <v/>
      </c>
      <c r="V40" s="168" t="str">
        <f>IF($K40="","",IF($T40="Y",$AK40&amp;":"&amp;$AJ40,$AJ40&amp;":"&amp;$AK40))</f>
        <v/>
      </c>
      <c r="W40" s="63" t="str">
        <f t="shared" ref="W40:W54" si="15">IF(I40="","",IF(AB40=AC40,IF(AJ40&gt;AK40,X40,IF(AK40&gt;AJ40,Y40,IF(AH40&gt;AI40,X40,IF(AI40&gt;AH40,Y40,"")))),IF(AB40&gt;AC40,X40,Y40)))</f>
        <v/>
      </c>
      <c r="X40" s="65" t="e">
        <f t="shared" ref="X40:X54" si="16">IF(OR(LEFT(H40,1)=" ",H40=""),"N/A",LEFT(H40,FIND(" -",H40,1)-1))</f>
        <v>#VALUE!</v>
      </c>
      <c r="Y40" s="65" t="e">
        <f t="shared" ref="Y40:Y54" si="17">IF(OR(RIGHT(H40)=" ",H40=""),"N/A",MID(H40,FIND("-",H40,1)+2,LEN(H40)-FIND("-",H40,1)+2))</f>
        <v>#VALUE!</v>
      </c>
      <c r="Z40" s="65" t="str">
        <f t="shared" ref="Z40:Z51" si="18">IF(W40="","",IF(W40=X40,X40,Y40))</f>
        <v/>
      </c>
      <c r="AA40" s="65" t="str">
        <f t="shared" ref="AA40:AA51" si="19">IF(W40="","",IF(Z40=X40,Y40,X40))</f>
        <v/>
      </c>
      <c r="AB40" s="65" t="str">
        <f t="shared" ref="AB40:AB54" si="20">IF(I40="","",LEFT(I40,FIND(":",I40,1)-1)*1)</f>
        <v/>
      </c>
      <c r="AC40" s="65" t="str">
        <f t="shared" ref="AC40:AC54" si="21">IF(I40="","",MID(I40,FIND(":",I40,1)+1,LEN(I40)-FIND(":",I40,1)+1)*1)</f>
        <v/>
      </c>
      <c r="AD40" s="65"/>
      <c r="AE40" s="65"/>
      <c r="AF40" s="65"/>
      <c r="AG40" s="65"/>
      <c r="AH40" s="65">
        <f>IF(J40="",0,LEFT(J40,FIND(":",J40,1)-1)*1)</f>
        <v>0</v>
      </c>
      <c r="AI40" s="65">
        <f>IF(J40="",0,MID(J40,FIND(":",J40,1)+1,LEN(J40)-FIND(":",J40,1)+1)*1)</f>
        <v>0</v>
      </c>
      <c r="AJ40" s="65" t="str">
        <f t="shared" ref="AJ40:AJ54" si="22">IF(K40="","",LEFT(K40,FIND(":",K40,1)-1)*1)</f>
        <v/>
      </c>
      <c r="AK40" s="65" t="str">
        <f t="shared" ref="AK40:AK54" si="23">IF(K40="","",MID(K40,FIND(":",K40,1)+1,LEN(K40)-FIND(":",K40,1)+1)*1)</f>
        <v/>
      </c>
      <c r="AL40" s="65" t="e">
        <f>AB40+N(AH40)&amp;":"&amp;AC40+N(AI40)</f>
        <v>#VALUE!</v>
      </c>
      <c r="AM40" s="65" t="e">
        <f t="shared" ref="AM40:AM54" si="24">+AB40+AC40+N(AH40)+N(AI40)</f>
        <v>#VALUE!</v>
      </c>
      <c r="AN40" s="161">
        <f t="shared" si="13"/>
        <v>45472</v>
      </c>
      <c r="AT40" s="79"/>
      <c r="AU40" s="148"/>
      <c r="AV40" s="148"/>
      <c r="AW40" s="148"/>
      <c r="AX40" s="148"/>
      <c r="AY40" s="148"/>
      <c r="AZ40" s="75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U40" s="58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4"/>
      <c r="EC40" s="58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4"/>
      <c r="FK40" s="58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13"/>
      <c r="GM40" s="13"/>
      <c r="GN40" s="13"/>
      <c r="GO40" s="13"/>
      <c r="GP40" s="13"/>
      <c r="GQ40" s="13"/>
      <c r="GR40" s="75"/>
      <c r="GS40" s="157"/>
      <c r="GT40" s="157"/>
      <c r="GU40" s="75"/>
      <c r="GV40" s="75"/>
      <c r="GW40" s="75"/>
      <c r="GX40" s="75"/>
      <c r="GY40" s="75"/>
      <c r="GZ40" s="75"/>
    </row>
    <row r="41" spans="1:208" s="11" customFormat="1" ht="30" customHeight="1" x14ac:dyDescent="0.25">
      <c r="A41" s="20"/>
      <c r="B41" s="122">
        <v>38</v>
      </c>
      <c r="C41" s="122" t="s">
        <v>48</v>
      </c>
      <c r="D41" s="123">
        <v>45472</v>
      </c>
      <c r="E41" s="122" t="s">
        <v>80</v>
      </c>
      <c r="F41" s="124">
        <v>0.75</v>
      </c>
      <c r="G41" s="125">
        <f t="shared" si="11"/>
        <v>45472.5</v>
      </c>
      <c r="H41" s="122" t="str">
        <f>IF(I39="","Round of 16",INDEX(BD:BD,MATCH("2A",BN:BN,0),1)&amp;" - "&amp;INDEX(BD:BD,MATCH("2b",BN:BN,0),1))</f>
        <v>Round of 16</v>
      </c>
      <c r="I41" s="49"/>
      <c r="J41" s="62"/>
      <c r="K41" s="66"/>
      <c r="L41" s="175">
        <f>IF(I41="",0,IFERROR(IF(SCORING.RULES!$C$8="No",1,((VLOOKUP($B41,ACTUALS!$B$4:$L$100,7,FALSE)=$H41)+(VLOOKUP($B41,ACTUALS!$B$4:$L$100,7,FALSE)=S41)))*(M41+N41+O41+P41+Q41),0))+$R41</f>
        <v>0</v>
      </c>
      <c r="M41" s="168">
        <f>IFERROR(IF($B41="","",IF(U41=INDEX(ACTUALS!$AA$4:$AA$100,MATCH($B41,ACTUALS!$B$4:$B$100,0),1),CorrectScore,0)),0)</f>
        <v>0</v>
      </c>
      <c r="N41" s="168" t="str">
        <f>IFERROR(IF(I41="","",IF(INDEX(ACTUALS!$AB$4:$AB$100,MATCH($B41,ACTUALS!$B$4:$B$100,0),1)=(AB41+AC41+AH41+AI41),CorrectNumberofGoals,0)),0)</f>
        <v/>
      </c>
      <c r="O41" s="168">
        <f>IFERROR(IF(V41="",0,IF($V41=INDEX(ACTUALS!$K$3:$K$100,MATCH($B41,ACTUALS!$B$3:$B$100,0),1),penaltiesscored,0)),0)</f>
        <v>0</v>
      </c>
      <c r="P41" s="168">
        <f>IFERROR(IF(B41="","",IF(INDEX(ACTUALS!$L$4:$L$100,MATCH($B41,ACTUALS!$B$4:$B$100,0),1)=W41,CorrectResult,0)),0)</f>
        <v>3</v>
      </c>
      <c r="Q41" s="168">
        <f>IFERROR(IF(ISNUMBER(AI41),IF(ISNUMBER(INDEX(ACTUALS!$Y$3:$Y$100,MATCH($B41,ACTUALS!$B$3:$B$100,0),1)),shootoutswon,0),0),0)</f>
        <v>0</v>
      </c>
      <c r="R41" s="168">
        <f t="shared" si="14"/>
        <v>0</v>
      </c>
      <c r="S41" s="168" t="e">
        <f t="shared" ref="S41:S54" si="25">IF(OR($H41="",$B41&lt;37),"",RIGHT($H41,LEN($H41)-FIND("-",$H41,1)-1)&amp;" - "&amp;LEFT($H41,FIND("-",$H41,1)-2))</f>
        <v>#VALUE!</v>
      </c>
      <c r="T41" s="168" t="str">
        <f>IF($W41="","",IF(NOT(ISERROR(MATCH($S41,ACTUALS!$H$40:$H$47,0))),"Y","N"))</f>
        <v/>
      </c>
      <c r="U41" s="168" t="str">
        <f t="shared" ref="U41:U54" si="26">IF($I41="","",IF($T41="Y",AC41+AI41&amp;":"&amp;AB41+AH41,AB41+AH41&amp;":"&amp;AC41+AI41))</f>
        <v/>
      </c>
      <c r="V41" s="168" t="str">
        <f t="shared" ref="V41:V54" si="27">IF($K41="","",IF($T41="Y",$AK41&amp;":"&amp;$AJ41,$AJ41&amp;":"&amp;$AK41))</f>
        <v/>
      </c>
      <c r="W41" s="63" t="str">
        <f t="shared" si="15"/>
        <v/>
      </c>
      <c r="X41" s="65" t="e">
        <f t="shared" si="16"/>
        <v>#VALUE!</v>
      </c>
      <c r="Y41" s="65" t="e">
        <f t="shared" si="17"/>
        <v>#VALUE!</v>
      </c>
      <c r="Z41" s="65" t="str">
        <f>IF(W41="","",IF(W41=X41,X41,Y41))</f>
        <v/>
      </c>
      <c r="AA41" s="65" t="str">
        <f t="shared" si="19"/>
        <v/>
      </c>
      <c r="AB41" s="65" t="str">
        <f t="shared" si="20"/>
        <v/>
      </c>
      <c r="AC41" s="65" t="str">
        <f t="shared" si="21"/>
        <v/>
      </c>
      <c r="AD41" s="65"/>
      <c r="AE41" s="65"/>
      <c r="AF41" s="65"/>
      <c r="AG41" s="65"/>
      <c r="AH41" s="65">
        <f t="shared" ref="AH41:AH54" si="28">IF(J41="",0,LEFT(J41,FIND(":",J41,1)-1)*1)</f>
        <v>0</v>
      </c>
      <c r="AI41" s="65">
        <f t="shared" ref="AI41:AI54" si="29">IF(J41="",0,MID(J41,FIND(":",J41,1)+1,LEN(J41)-FIND(":",J41,1)+1)*1)</f>
        <v>0</v>
      </c>
      <c r="AJ41" s="65" t="str">
        <f t="shared" si="22"/>
        <v/>
      </c>
      <c r="AK41" s="65" t="str">
        <f t="shared" si="23"/>
        <v/>
      </c>
      <c r="AL41" s="65" t="e">
        <f t="shared" ref="AL41:AL54" si="30">AB41+N(AH41)&amp;":"&amp;AC41+N(AI41)</f>
        <v>#VALUE!</v>
      </c>
      <c r="AM41" s="65" t="e">
        <f t="shared" si="24"/>
        <v>#VALUE!</v>
      </c>
      <c r="AN41" s="161">
        <f t="shared" si="13"/>
        <v>45472</v>
      </c>
      <c r="AT41" s="80"/>
      <c r="AU41" s="187" t="s">
        <v>138</v>
      </c>
      <c r="AV41" s="188"/>
      <c r="AW41" s="188"/>
      <c r="AX41" s="188"/>
      <c r="AY41" s="189"/>
      <c r="AZ41" s="75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U41" s="58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4"/>
      <c r="EC41" s="58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4"/>
      <c r="FK41" s="58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13"/>
      <c r="GM41" s="13"/>
      <c r="GN41" s="13"/>
      <c r="GO41" s="13"/>
      <c r="GP41" s="13"/>
      <c r="GQ41" s="13"/>
      <c r="GR41" s="75"/>
      <c r="GS41" s="157"/>
      <c r="GT41" s="157"/>
      <c r="GU41" s="75"/>
      <c r="GV41" s="75"/>
      <c r="GW41" s="75"/>
      <c r="GX41" s="75"/>
      <c r="GY41" s="75"/>
      <c r="GZ41" s="75"/>
    </row>
    <row r="42" spans="1:208" s="11" customFormat="1" ht="30" customHeight="1" thickBot="1" x14ac:dyDescent="0.3">
      <c r="A42" s="20"/>
      <c r="B42" s="122">
        <v>39</v>
      </c>
      <c r="C42" s="122" t="s">
        <v>48</v>
      </c>
      <c r="D42" s="123">
        <v>45473</v>
      </c>
      <c r="E42" s="122" t="s">
        <v>79</v>
      </c>
      <c r="F42" s="124">
        <v>0.875</v>
      </c>
      <c r="G42" s="125">
        <f t="shared" si="11"/>
        <v>45473.625</v>
      </c>
      <c r="H42" s="122" t="str">
        <f>IF(I39="","Round of 16",INDEX(BD:BD,MATCH("1B",BN:BN,0),1)&amp;" - "&amp;INDEX(BD:BD,MATCH(INDEX(HJ:HJ,MATCH(AZ42,HB:HB,0),1),BN:BN,0),1))</f>
        <v>Round of 16</v>
      </c>
      <c r="I42" s="49"/>
      <c r="J42" s="62"/>
      <c r="K42" s="66"/>
      <c r="L42" s="175">
        <f>IF(I42="",0,IFERROR(IF(SCORING.RULES!$C$8="No",1,((VLOOKUP($B42,ACTUALS!$B$4:$L$100,7,FALSE)=$H42)+(VLOOKUP($B42,ACTUALS!$B$4:$L$100,7,FALSE)=S42)))*(M42+N42+O42+P42+Q42),0))+$R42</f>
        <v>0</v>
      </c>
      <c r="M42" s="168">
        <f>IFERROR(IF($B42="","",IF(U42=INDEX(ACTUALS!$AA$4:$AA$100,MATCH($B42,ACTUALS!$B$4:$B$100,0),1),CorrectScore,0)),0)</f>
        <v>0</v>
      </c>
      <c r="N42" s="168" t="str">
        <f>IFERROR(IF(I42="","",IF(INDEX(ACTUALS!$AB$4:$AB$100,MATCH($B42,ACTUALS!$B$4:$B$100,0),1)=(AB42+AC42+AH42+AI42),CorrectNumberofGoals,0)),0)</f>
        <v/>
      </c>
      <c r="O42" s="168">
        <f>IFERROR(IF(V42="",0,IF($V42=INDEX(ACTUALS!$K$3:$K$100,MATCH($B42,ACTUALS!$B$3:$B$100,0),1),penaltiesscored,0)),0)</f>
        <v>0</v>
      </c>
      <c r="P42" s="168">
        <f>IFERROR(IF(B42="","",IF(INDEX(ACTUALS!$L$4:$L$100,MATCH($B42,ACTUALS!$B$4:$B$100,0),1)=W42,CorrectResult,0)),0)</f>
        <v>3</v>
      </c>
      <c r="Q42" s="168">
        <f>IFERROR(IF(ISNUMBER(AI42),IF(ISNUMBER(INDEX(ACTUALS!$Y$3:$Y$100,MATCH($B42,ACTUALS!$B$3:$B$100,0),1)),shootoutswon,0),0),0)</f>
        <v>0</v>
      </c>
      <c r="R42" s="168">
        <f t="shared" si="14"/>
        <v>0</v>
      </c>
      <c r="S42" s="168" t="e">
        <f t="shared" si="25"/>
        <v>#VALUE!</v>
      </c>
      <c r="T42" s="168" t="str">
        <f>IF($W42="","",IF(NOT(ISERROR(MATCH($S42,ACTUALS!$H$40:$H$47,0))),"Y","N"))</f>
        <v/>
      </c>
      <c r="U42" s="168" t="str">
        <f t="shared" si="26"/>
        <v/>
      </c>
      <c r="V42" s="168" t="str">
        <f t="shared" si="27"/>
        <v/>
      </c>
      <c r="W42" s="63" t="str">
        <f t="shared" si="15"/>
        <v/>
      </c>
      <c r="X42" s="65" t="e">
        <f t="shared" si="16"/>
        <v>#VALUE!</v>
      </c>
      <c r="Y42" s="65" t="e">
        <f t="shared" si="17"/>
        <v>#VALUE!</v>
      </c>
      <c r="Z42" s="65" t="str">
        <f t="shared" si="18"/>
        <v/>
      </c>
      <c r="AA42" s="65" t="str">
        <f t="shared" si="19"/>
        <v/>
      </c>
      <c r="AB42" s="65" t="str">
        <f t="shared" si="20"/>
        <v/>
      </c>
      <c r="AC42" s="65" t="str">
        <f t="shared" si="21"/>
        <v/>
      </c>
      <c r="AD42" s="65"/>
      <c r="AE42" s="65"/>
      <c r="AF42" s="65"/>
      <c r="AG42" s="65"/>
      <c r="AH42" s="65">
        <f t="shared" si="28"/>
        <v>0</v>
      </c>
      <c r="AI42" s="65">
        <f t="shared" si="29"/>
        <v>0</v>
      </c>
      <c r="AJ42" s="65" t="str">
        <f t="shared" si="22"/>
        <v/>
      </c>
      <c r="AK42" s="65" t="str">
        <f t="shared" si="23"/>
        <v/>
      </c>
      <c r="AL42" s="65" t="e">
        <f t="shared" si="30"/>
        <v>#VALUE!</v>
      </c>
      <c r="AM42" s="65" t="e">
        <f t="shared" si="24"/>
        <v>#VALUE!</v>
      </c>
      <c r="AN42" s="161">
        <f t="shared" si="13"/>
        <v>45473</v>
      </c>
      <c r="AT42" s="79"/>
      <c r="AU42" s="149" t="s">
        <v>140</v>
      </c>
      <c r="AV42" s="150" t="s">
        <v>13</v>
      </c>
      <c r="AW42" s="150" t="s">
        <v>46</v>
      </c>
      <c r="AX42" s="150" t="s">
        <v>57</v>
      </c>
      <c r="AY42" s="151" t="s">
        <v>11</v>
      </c>
      <c r="AZ42" s="75" t="str">
        <f ca="1">IF(AZ8="X","A","")&amp;IF(AZ14="X","B","")&amp;IF(AZ20="X","C","")&amp;IF(AZ26="X","D","")&amp;IF(AZ32="X","E","")&amp;IF(AZ38="X","F","")</f>
        <v>CDEF</v>
      </c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U42" s="58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R42" s="75"/>
      <c r="GS42" s="157"/>
      <c r="GT42" s="157"/>
      <c r="GU42" s="75"/>
      <c r="GV42" s="75"/>
      <c r="GW42" s="75"/>
      <c r="GX42" s="75"/>
      <c r="GY42" s="75"/>
      <c r="GZ42" s="75"/>
    </row>
    <row r="43" spans="1:208" s="11" customFormat="1" ht="30" customHeight="1" x14ac:dyDescent="0.25">
      <c r="A43" s="20"/>
      <c r="B43" s="122">
        <v>40</v>
      </c>
      <c r="C43" s="122" t="s">
        <v>48</v>
      </c>
      <c r="D43" s="123">
        <v>45473</v>
      </c>
      <c r="E43" s="122" t="s">
        <v>82</v>
      </c>
      <c r="F43" s="124">
        <v>0.75</v>
      </c>
      <c r="G43" s="125">
        <f t="shared" si="11"/>
        <v>45473.5</v>
      </c>
      <c r="H43" s="122" t="str">
        <f>IF(I39="","Round of 16",INDEX(BD:BD,MATCH("1c",BN:BN,0),1)&amp;" - "&amp;INDEX(BD:BD,MATCH(INDEX(HK:HK,MATCH(AZ42,HB:HB,0),1),BN:BN,0),1))</f>
        <v>Round of 16</v>
      </c>
      <c r="I43" s="49"/>
      <c r="J43" s="62"/>
      <c r="K43" s="66"/>
      <c r="L43" s="175">
        <f>IF(I43="",0,IFERROR(IF(SCORING.RULES!$C$8="No",1,((VLOOKUP($B43,ACTUALS!$B$4:$L$100,7,FALSE)=$H43)+(VLOOKUP($B43,ACTUALS!$B$4:$L$100,7,FALSE)=S43)))*(M43+N43+O43+P43+Q43),0))+$R43</f>
        <v>0</v>
      </c>
      <c r="M43" s="168">
        <f>IFERROR(IF($B43="","",IF(U43=INDEX(ACTUALS!$AA$4:$AA$100,MATCH($B43,ACTUALS!$B$4:$B$100,0),1),CorrectScore,0)),0)</f>
        <v>0</v>
      </c>
      <c r="N43" s="168" t="str">
        <f>IFERROR(IF(I43="","",IF(INDEX(ACTUALS!$AB$4:$AB$100,MATCH($B43,ACTUALS!$B$4:$B$100,0),1)=(AB43+AC43+AH43+AI43),CorrectNumberofGoals,0)),0)</f>
        <v/>
      </c>
      <c r="O43" s="168">
        <f>IFERROR(IF(V43="",0,IF($V43=INDEX(ACTUALS!$K$3:$K$100,MATCH($B43,ACTUALS!$B$3:$B$100,0),1),penaltiesscored,0)),0)</f>
        <v>0</v>
      </c>
      <c r="P43" s="168">
        <f>IFERROR(IF(B43="","",IF(INDEX(ACTUALS!$L$4:$L$100,MATCH($B43,ACTUALS!$B$4:$B$100,0),1)=W43,CorrectResult,0)),0)</f>
        <v>3</v>
      </c>
      <c r="Q43" s="168">
        <f>IFERROR(IF(ISNUMBER(AI43),IF(ISNUMBER(INDEX(ACTUALS!$Y$3:$Y$100,MATCH($B43,ACTUALS!$B$3:$B$100,0),1)),shootoutswon,0),0),0)</f>
        <v>0</v>
      </c>
      <c r="R43" s="168">
        <f t="shared" si="14"/>
        <v>0</v>
      </c>
      <c r="S43" s="168" t="e">
        <f t="shared" si="25"/>
        <v>#VALUE!</v>
      </c>
      <c r="T43" s="168" t="str">
        <f>IF($W43="","",IF(NOT(ISERROR(MATCH($S43,ACTUALS!$H$40:$H$47,0))),"Y","N"))</f>
        <v/>
      </c>
      <c r="U43" s="168" t="str">
        <f t="shared" si="26"/>
        <v/>
      </c>
      <c r="V43" s="168" t="str">
        <f t="shared" si="27"/>
        <v/>
      </c>
      <c r="W43" s="63" t="str">
        <f t="shared" si="15"/>
        <v/>
      </c>
      <c r="X43" s="65" t="e">
        <f t="shared" si="16"/>
        <v>#VALUE!</v>
      </c>
      <c r="Y43" s="65" t="e">
        <f t="shared" si="17"/>
        <v>#VALUE!</v>
      </c>
      <c r="Z43" s="65" t="str">
        <f t="shared" si="18"/>
        <v/>
      </c>
      <c r="AA43" s="65" t="str">
        <f t="shared" si="19"/>
        <v/>
      </c>
      <c r="AB43" s="65" t="str">
        <f t="shared" si="20"/>
        <v/>
      </c>
      <c r="AC43" s="65" t="str">
        <f t="shared" si="21"/>
        <v/>
      </c>
      <c r="AD43" s="65"/>
      <c r="AE43" s="65"/>
      <c r="AF43" s="65"/>
      <c r="AG43" s="65"/>
      <c r="AH43" s="65">
        <f t="shared" si="28"/>
        <v>0</v>
      </c>
      <c r="AI43" s="65">
        <f t="shared" si="29"/>
        <v>0</v>
      </c>
      <c r="AJ43" s="65" t="str">
        <f t="shared" si="22"/>
        <v/>
      </c>
      <c r="AK43" s="65" t="str">
        <f t="shared" si="23"/>
        <v/>
      </c>
      <c r="AL43" s="65" t="e">
        <f t="shared" si="30"/>
        <v>#VALUE!</v>
      </c>
      <c r="AM43" s="65" t="e">
        <f t="shared" si="24"/>
        <v>#VALUE!</v>
      </c>
      <c r="AN43" s="161">
        <f t="shared" si="13"/>
        <v>45473</v>
      </c>
      <c r="AT43" s="79"/>
      <c r="AU43" s="136">
        <v>1</v>
      </c>
      <c r="AV43" s="137" t="str">
        <f t="shared" ref="AV43:AV48" ca="1" si="31">IF(GV4&lt;&gt;"",GV4,INDEX($CB$4:$CB$9,MATCH(ROW(A1),$CH$4:$CH$9,0),1))</f>
        <v>Portugal</v>
      </c>
      <c r="AW43" s="137" t="str">
        <f t="shared" ref="AW43:AW48" ca="1" si="32">INDEX($AW$5:$AW$39,MATCH($AV43,$AV$5:$AV$39,0),1)</f>
        <v>0-0-0</v>
      </c>
      <c r="AX43" s="137">
        <f t="shared" ref="AX43:AX48" ca="1" si="33">INDEX($AX$5:$AX$39,MATCH($AV43,$AV$5:$AV$39,0),1)</f>
        <v>0</v>
      </c>
      <c r="AY43" s="138">
        <f t="shared" ref="AY43:AY48" ca="1" si="34">INDEX($AY$5:$AY$39,MATCH($AV43,$AV$5:$AV$39,0),1)</f>
        <v>0</v>
      </c>
      <c r="AZ43" s="75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U43" s="58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R43" s="75"/>
      <c r="GS43" s="157"/>
      <c r="GT43" s="157"/>
      <c r="GU43" s="75"/>
      <c r="GV43" s="75"/>
      <c r="GW43" s="75"/>
      <c r="GX43" s="75"/>
      <c r="GY43" s="75"/>
      <c r="GZ43" s="75"/>
    </row>
    <row r="44" spans="1:208" s="11" customFormat="1" ht="30" customHeight="1" x14ac:dyDescent="0.25">
      <c r="A44" s="20"/>
      <c r="B44" s="122">
        <v>41</v>
      </c>
      <c r="C44" s="122" t="s">
        <v>48</v>
      </c>
      <c r="D44" s="123">
        <v>45474</v>
      </c>
      <c r="E44" s="122" t="s">
        <v>86</v>
      </c>
      <c r="F44" s="124">
        <v>0.875</v>
      </c>
      <c r="G44" s="125">
        <f t="shared" si="11"/>
        <v>45474.625</v>
      </c>
      <c r="H44" s="122" t="str">
        <f>IF(I39="","Round of 16",INDEX(BD:BD,MATCH("1f",BN:BN,0),1)&amp;" - "&amp;INDEX(BD:BD,MATCH(INDEX(HM:HM,MATCH(AZ42,HB:HB,0),1),BN:BN,0),1))</f>
        <v>Round of 16</v>
      </c>
      <c r="I44" s="49"/>
      <c r="J44" s="62"/>
      <c r="K44" s="66"/>
      <c r="L44" s="175">
        <f>IF(I44="",0,IFERROR(IF(SCORING.RULES!$C$8="No",1,((VLOOKUP($B44,ACTUALS!$B$4:$L$100,7,FALSE)=$H44)+(VLOOKUP($B44,ACTUALS!$B$4:$L$100,7,FALSE)=S44)))*(M44+N44+O44+P44+Q44),0))+$R44</f>
        <v>0</v>
      </c>
      <c r="M44" s="168">
        <f>IFERROR(IF($B44="","",IF(U44=INDEX(ACTUALS!$AA$4:$AA$100,MATCH($B44,ACTUALS!$B$4:$B$100,0),1),CorrectScore,0)),0)</f>
        <v>0</v>
      </c>
      <c r="N44" s="168" t="str">
        <f>IFERROR(IF(I44="","",IF(INDEX(ACTUALS!$AB$4:$AB$100,MATCH($B44,ACTUALS!$B$4:$B$100,0),1)=(AB44+AC44+AH44+AI44),CorrectNumberofGoals,0)),0)</f>
        <v/>
      </c>
      <c r="O44" s="168">
        <f>IFERROR(IF(V44="",0,IF($V44=INDEX(ACTUALS!$K$3:$K$100,MATCH($B44,ACTUALS!$B$3:$B$100,0),1),penaltiesscored,0)),0)</f>
        <v>0</v>
      </c>
      <c r="P44" s="168">
        <f>IFERROR(IF(B44="","",IF(INDEX(ACTUALS!$L$4:$L$100,MATCH($B44,ACTUALS!$B$4:$B$100,0),1)=W44,CorrectResult,0)),0)</f>
        <v>3</v>
      </c>
      <c r="Q44" s="168">
        <f>IFERROR(IF(ISNUMBER(AI44),IF(ISNUMBER(INDEX(ACTUALS!$Y$3:$Y$100,MATCH($B44,ACTUALS!$B$3:$B$100,0),1)),shootoutswon,0),0),0)</f>
        <v>0</v>
      </c>
      <c r="R44" s="168">
        <f t="shared" si="14"/>
        <v>0</v>
      </c>
      <c r="S44" s="168" t="e">
        <f t="shared" si="25"/>
        <v>#VALUE!</v>
      </c>
      <c r="T44" s="168" t="str">
        <f>IF($W44="","",IF(NOT(ISERROR(MATCH($S44,ACTUALS!$H$40:$H$47,0))),"Y","N"))</f>
        <v/>
      </c>
      <c r="U44" s="168" t="str">
        <f t="shared" si="26"/>
        <v/>
      </c>
      <c r="V44" s="168" t="str">
        <f t="shared" si="27"/>
        <v/>
      </c>
      <c r="W44" s="63" t="str">
        <f t="shared" si="15"/>
        <v/>
      </c>
      <c r="X44" s="65" t="e">
        <f t="shared" si="16"/>
        <v>#VALUE!</v>
      </c>
      <c r="Y44" s="65" t="e">
        <f t="shared" si="17"/>
        <v>#VALUE!</v>
      </c>
      <c r="Z44" s="65" t="str">
        <f t="shared" si="18"/>
        <v/>
      </c>
      <c r="AA44" s="65" t="str">
        <f t="shared" si="19"/>
        <v/>
      </c>
      <c r="AB44" s="65" t="str">
        <f t="shared" si="20"/>
        <v/>
      </c>
      <c r="AC44" s="65" t="str">
        <f t="shared" si="21"/>
        <v/>
      </c>
      <c r="AD44" s="65"/>
      <c r="AE44" s="65"/>
      <c r="AF44" s="65"/>
      <c r="AG44" s="65"/>
      <c r="AH44" s="65">
        <f t="shared" si="28"/>
        <v>0</v>
      </c>
      <c r="AI44" s="65">
        <f t="shared" si="29"/>
        <v>0</v>
      </c>
      <c r="AJ44" s="65" t="str">
        <f t="shared" si="22"/>
        <v/>
      </c>
      <c r="AK44" s="65" t="str">
        <f t="shared" si="23"/>
        <v/>
      </c>
      <c r="AL44" s="65" t="e">
        <f t="shared" si="30"/>
        <v>#VALUE!</v>
      </c>
      <c r="AM44" s="65" t="e">
        <f t="shared" si="24"/>
        <v>#VALUE!</v>
      </c>
      <c r="AN44" s="161">
        <f t="shared" si="13"/>
        <v>45474</v>
      </c>
      <c r="AT44" s="79"/>
      <c r="AU44" s="136">
        <v>2</v>
      </c>
      <c r="AV44" s="137" t="str">
        <f t="shared" ca="1" si="31"/>
        <v>Slovakia</v>
      </c>
      <c r="AW44" s="137" t="str">
        <f t="shared" ca="1" si="32"/>
        <v>0-0-0</v>
      </c>
      <c r="AX44" s="137">
        <f t="shared" ca="1" si="33"/>
        <v>0</v>
      </c>
      <c r="AY44" s="138">
        <f t="shared" ca="1" si="34"/>
        <v>0</v>
      </c>
      <c r="AZ44" s="75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U44" s="58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R44" s="75"/>
      <c r="GS44" s="157"/>
      <c r="GT44" s="157"/>
      <c r="GU44" s="75"/>
      <c r="GV44" s="75"/>
      <c r="GW44" s="75"/>
      <c r="GX44" s="75"/>
      <c r="GY44" s="75"/>
      <c r="GZ44" s="75"/>
    </row>
    <row r="45" spans="1:208" s="11" customFormat="1" ht="30" customHeight="1" x14ac:dyDescent="0.25">
      <c r="A45" s="20"/>
      <c r="B45" s="122">
        <v>42</v>
      </c>
      <c r="C45" s="122" t="s">
        <v>48</v>
      </c>
      <c r="D45" s="123">
        <v>45474</v>
      </c>
      <c r="E45" s="122" t="s">
        <v>85</v>
      </c>
      <c r="F45" s="124">
        <v>0.75</v>
      </c>
      <c r="G45" s="125">
        <f t="shared" si="11"/>
        <v>45474.5</v>
      </c>
      <c r="H45" s="122" t="str">
        <f>IF(I39="","Round of 16",INDEX(BD:BD,MATCH("2d",BN:BN,0),1)&amp;" - "&amp;INDEX(BD:BD,MATCH("2e",BN:BN,0),1))</f>
        <v>Round of 16</v>
      </c>
      <c r="I45" s="49"/>
      <c r="J45" s="62"/>
      <c r="K45" s="66"/>
      <c r="L45" s="175">
        <f>IF(I45="",0,IFERROR(IF(SCORING.RULES!$C$8="No",1,((VLOOKUP($B45,ACTUALS!$B$4:$L$100,7,FALSE)=$H45)+(VLOOKUP($B45,ACTUALS!$B$4:$L$100,7,FALSE)=S45)))*(M45+N45+O45+P45+Q45),0))+$R45</f>
        <v>0</v>
      </c>
      <c r="M45" s="168">
        <f>IFERROR(IF($B45="","",IF(U45=INDEX(ACTUALS!$AA$4:$AA$100,MATCH($B45,ACTUALS!$B$4:$B$100,0),1),CorrectScore,0)),0)</f>
        <v>0</v>
      </c>
      <c r="N45" s="168" t="str">
        <f>IFERROR(IF(I45="","",IF(INDEX(ACTUALS!$AB$4:$AB$100,MATCH($B45,ACTUALS!$B$4:$B$100,0),1)=(AB45+AC45+AH45+AI45),CorrectNumberofGoals,0)),0)</f>
        <v/>
      </c>
      <c r="O45" s="168">
        <f>IFERROR(IF(V45="",0,IF($V45=INDEX(ACTUALS!$K$3:$K$100,MATCH($B45,ACTUALS!$B$3:$B$100,0),1),penaltiesscored,0)),0)</f>
        <v>0</v>
      </c>
      <c r="P45" s="168">
        <f>IFERROR(IF(B45="","",IF(INDEX(ACTUALS!$L$4:$L$100,MATCH($B45,ACTUALS!$B$4:$B$100,0),1)=W45,CorrectResult,0)),0)</f>
        <v>3</v>
      </c>
      <c r="Q45" s="168">
        <f>IFERROR(IF(ISNUMBER(AI45),IF(ISNUMBER(INDEX(ACTUALS!$Y$3:$Y$100,MATCH($B45,ACTUALS!$B$3:$B$100,0),1)),shootoutswon,0),0),0)</f>
        <v>0</v>
      </c>
      <c r="R45" s="168">
        <f t="shared" si="14"/>
        <v>0</v>
      </c>
      <c r="S45" s="168" t="e">
        <f t="shared" si="25"/>
        <v>#VALUE!</v>
      </c>
      <c r="T45" s="168" t="str">
        <f>IF($W45="","",IF(NOT(ISERROR(MATCH($S45,ACTUALS!$H$40:$H$47,0))),"Y","N"))</f>
        <v/>
      </c>
      <c r="U45" s="168" t="str">
        <f t="shared" si="26"/>
        <v/>
      </c>
      <c r="V45" s="168" t="str">
        <f t="shared" si="27"/>
        <v/>
      </c>
      <c r="W45" s="63" t="str">
        <f t="shared" si="15"/>
        <v/>
      </c>
      <c r="X45" s="65" t="e">
        <f t="shared" si="16"/>
        <v>#VALUE!</v>
      </c>
      <c r="Y45" s="65" t="e">
        <f t="shared" si="17"/>
        <v>#VALUE!</v>
      </c>
      <c r="Z45" s="65" t="str">
        <f t="shared" si="18"/>
        <v/>
      </c>
      <c r="AA45" s="65" t="str">
        <f t="shared" si="19"/>
        <v/>
      </c>
      <c r="AB45" s="65" t="str">
        <f t="shared" si="20"/>
        <v/>
      </c>
      <c r="AC45" s="65" t="str">
        <f t="shared" si="21"/>
        <v/>
      </c>
      <c r="AD45" s="65"/>
      <c r="AE45" s="65"/>
      <c r="AF45" s="65"/>
      <c r="AG45" s="65"/>
      <c r="AH45" s="65">
        <f t="shared" si="28"/>
        <v>0</v>
      </c>
      <c r="AI45" s="65">
        <f t="shared" si="29"/>
        <v>0</v>
      </c>
      <c r="AJ45" s="65" t="str">
        <f t="shared" si="22"/>
        <v/>
      </c>
      <c r="AK45" s="65" t="str">
        <f t="shared" si="23"/>
        <v/>
      </c>
      <c r="AL45" s="65" t="e">
        <f t="shared" si="30"/>
        <v>#VALUE!</v>
      </c>
      <c r="AM45" s="65" t="e">
        <f t="shared" si="24"/>
        <v>#VALUE!</v>
      </c>
      <c r="AN45" s="161">
        <f t="shared" si="13"/>
        <v>45474</v>
      </c>
      <c r="AT45" s="79"/>
      <c r="AU45" s="136">
        <v>3</v>
      </c>
      <c r="AV45" s="137" t="str">
        <f t="shared" ca="1" si="31"/>
        <v>Netherlands</v>
      </c>
      <c r="AW45" s="137" t="str">
        <f t="shared" ca="1" si="32"/>
        <v>0-0-0</v>
      </c>
      <c r="AX45" s="137">
        <f t="shared" ca="1" si="33"/>
        <v>0</v>
      </c>
      <c r="AY45" s="138">
        <f t="shared" ca="1" si="34"/>
        <v>0</v>
      </c>
      <c r="AZ45" s="75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U45" s="58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R45" s="75"/>
      <c r="GS45" s="157"/>
      <c r="GT45" s="157"/>
      <c r="GU45" s="75"/>
      <c r="GV45" s="75"/>
      <c r="GW45" s="75"/>
      <c r="GX45" s="75"/>
      <c r="GY45" s="75"/>
      <c r="GZ45" s="75"/>
    </row>
    <row r="46" spans="1:208" s="11" customFormat="1" ht="30" customHeight="1" x14ac:dyDescent="0.25">
      <c r="A46" s="20"/>
      <c r="B46" s="122">
        <v>43</v>
      </c>
      <c r="C46" s="122" t="s">
        <v>48</v>
      </c>
      <c r="D46" s="123">
        <v>45475</v>
      </c>
      <c r="E46" s="122" t="s">
        <v>78</v>
      </c>
      <c r="F46" s="124">
        <v>0.75</v>
      </c>
      <c r="G46" s="125">
        <f t="shared" si="11"/>
        <v>45475.5</v>
      </c>
      <c r="H46" s="122" t="str">
        <f>IF(I39="","Round of 16",INDEX(BD:BD,MATCH("1e",BN:BN,0),1)&amp;" - "&amp;INDEX(BD:BD,MATCH(INDEX(HL:HL,MATCH(AZ42,HB:HB,0),1),BN:BN,0),1))</f>
        <v>Round of 16</v>
      </c>
      <c r="I46" s="49"/>
      <c r="J46" s="62"/>
      <c r="K46" s="66"/>
      <c r="L46" s="175">
        <f>IF(I46="",0,IFERROR(IF(SCORING.RULES!$C$8="No",1,((VLOOKUP($B46,ACTUALS!$B$4:$L$100,7,FALSE)=$H46)+(VLOOKUP($B46,ACTUALS!$B$4:$L$100,7,FALSE)=S46)))*(M46+N46+O46+P46+Q46),0))+$R46</f>
        <v>0</v>
      </c>
      <c r="M46" s="168">
        <f>IFERROR(IF($B46="","",IF(U46=INDEX(ACTUALS!$AA$4:$AA$100,MATCH($B46,ACTUALS!$B$4:$B$100,0),1),CorrectScore,0)),0)</f>
        <v>0</v>
      </c>
      <c r="N46" s="168" t="str">
        <f>IFERROR(IF(I46="","",IF(INDEX(ACTUALS!$AB$4:$AB$100,MATCH($B46,ACTUALS!$B$4:$B$100,0),1)=(AB46+AC46+AH46+AI46),CorrectNumberofGoals,0)),0)</f>
        <v/>
      </c>
      <c r="O46" s="168">
        <f>IFERROR(IF(V46="",0,IF($V46=INDEX(ACTUALS!$K$3:$K$100,MATCH($B46,ACTUALS!$B$3:$B$100,0),1),penaltiesscored,0)),0)</f>
        <v>0</v>
      </c>
      <c r="P46" s="168">
        <f>IFERROR(IF(B46="","",IF(INDEX(ACTUALS!$L$4:$L$100,MATCH($B46,ACTUALS!$B$4:$B$100,0),1)=W46,CorrectResult,0)),0)</f>
        <v>3</v>
      </c>
      <c r="Q46" s="168">
        <f>IFERROR(IF(ISNUMBER(AI46),IF(ISNUMBER(INDEX(ACTUALS!$Y$3:$Y$100,MATCH($B46,ACTUALS!$B$3:$B$100,0),1)),shootoutswon,0),0),0)</f>
        <v>0</v>
      </c>
      <c r="R46" s="168">
        <f t="shared" si="14"/>
        <v>0</v>
      </c>
      <c r="S46" s="168" t="e">
        <f t="shared" si="25"/>
        <v>#VALUE!</v>
      </c>
      <c r="T46" s="168" t="str">
        <f>IF($W46="","",IF(NOT(ISERROR(MATCH($S46,ACTUALS!$H$40:$H$47,0))),"Y","N"))</f>
        <v/>
      </c>
      <c r="U46" s="168" t="str">
        <f t="shared" si="26"/>
        <v/>
      </c>
      <c r="V46" s="168" t="str">
        <f t="shared" si="27"/>
        <v/>
      </c>
      <c r="W46" s="63" t="str">
        <f t="shared" si="15"/>
        <v/>
      </c>
      <c r="X46" s="65" t="e">
        <f t="shared" si="16"/>
        <v>#VALUE!</v>
      </c>
      <c r="Y46" s="65" t="e">
        <f t="shared" si="17"/>
        <v>#VALUE!</v>
      </c>
      <c r="Z46" s="65" t="str">
        <f t="shared" si="18"/>
        <v/>
      </c>
      <c r="AA46" s="65" t="str">
        <f t="shared" si="19"/>
        <v/>
      </c>
      <c r="AB46" s="65" t="str">
        <f t="shared" si="20"/>
        <v/>
      </c>
      <c r="AC46" s="65" t="str">
        <f t="shared" si="21"/>
        <v/>
      </c>
      <c r="AD46" s="65"/>
      <c r="AE46" s="65"/>
      <c r="AF46" s="65"/>
      <c r="AG46" s="65"/>
      <c r="AH46" s="65">
        <f t="shared" si="28"/>
        <v>0</v>
      </c>
      <c r="AI46" s="65">
        <f t="shared" si="29"/>
        <v>0</v>
      </c>
      <c r="AJ46" s="65" t="str">
        <f t="shared" si="22"/>
        <v/>
      </c>
      <c r="AK46" s="65" t="str">
        <f t="shared" si="23"/>
        <v/>
      </c>
      <c r="AL46" s="65" t="e">
        <f t="shared" si="30"/>
        <v>#VALUE!</v>
      </c>
      <c r="AM46" s="65" t="e">
        <f t="shared" si="24"/>
        <v>#VALUE!</v>
      </c>
      <c r="AN46" s="161">
        <f t="shared" si="13"/>
        <v>45475</v>
      </c>
      <c r="AT46" s="79"/>
      <c r="AU46" s="139">
        <v>4</v>
      </c>
      <c r="AV46" s="140" t="str">
        <f t="shared" ca="1" si="31"/>
        <v>Serbia</v>
      </c>
      <c r="AW46" s="140" t="str">
        <f t="shared" ca="1" si="32"/>
        <v>0-0-0</v>
      </c>
      <c r="AX46" s="140">
        <f t="shared" ca="1" si="33"/>
        <v>0</v>
      </c>
      <c r="AY46" s="141">
        <f t="shared" ca="1" si="34"/>
        <v>0</v>
      </c>
      <c r="AZ46" s="75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U46" s="58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R46" s="75"/>
      <c r="GS46" s="157"/>
      <c r="GT46" s="157"/>
      <c r="GU46" s="75"/>
      <c r="GV46" s="75"/>
      <c r="GW46" s="75"/>
      <c r="GX46" s="75"/>
      <c r="GY46" s="75"/>
      <c r="GZ46" s="75"/>
    </row>
    <row r="47" spans="1:208" s="11" customFormat="1" ht="30" customHeight="1" thickBot="1" x14ac:dyDescent="0.3">
      <c r="A47" s="20"/>
      <c r="B47" s="127">
        <v>44</v>
      </c>
      <c r="C47" s="127" t="s">
        <v>48</v>
      </c>
      <c r="D47" s="128">
        <v>45475</v>
      </c>
      <c r="E47" s="127" t="s">
        <v>87</v>
      </c>
      <c r="F47" s="129">
        <v>0.875</v>
      </c>
      <c r="G47" s="130">
        <f t="shared" si="11"/>
        <v>45475.625</v>
      </c>
      <c r="H47" s="127" t="str">
        <f>IF(I39="","Round of 16",INDEX(BD:BD,MATCH("1d",BN:BN,0),1)&amp;" - "&amp;INDEX(BD:BD,MATCH("2f",BN:BN,0),1))</f>
        <v>Round of 16</v>
      </c>
      <c r="I47" s="51"/>
      <c r="J47" s="62"/>
      <c r="K47" s="66"/>
      <c r="L47" s="175">
        <f>IF(I47="",0,IFERROR(IF(SCORING.RULES!$C$8="No",1,((VLOOKUP($B47,ACTUALS!$B$4:$L$100,7,FALSE)=$H47)+(VLOOKUP($B47,ACTUALS!$B$4:$L$100,7,FALSE)=S47)))*(M47+N47+O47+P47+Q47),0))+$R47</f>
        <v>0</v>
      </c>
      <c r="M47" s="168">
        <f>IFERROR(IF($B47="","",IF(U47=INDEX(ACTUALS!$AA$4:$AA$100,MATCH($B47,ACTUALS!$B$4:$B$100,0),1),CorrectScore,0)),0)</f>
        <v>0</v>
      </c>
      <c r="N47" s="168" t="str">
        <f>IFERROR(IF(I47="","",IF(INDEX(ACTUALS!$AB$4:$AB$100,MATCH($B47,ACTUALS!$B$4:$B$100,0),1)=(AB47+AC47+AH47+AI47),CorrectNumberofGoals,0)),0)</f>
        <v/>
      </c>
      <c r="O47" s="168">
        <f>IFERROR(IF(V47="",0,IF($V47=INDEX(ACTUALS!$K$3:$K$100,MATCH($B47,ACTUALS!$B$3:$B$100,0),1),penaltiesscored,0)),0)</f>
        <v>0</v>
      </c>
      <c r="P47" s="168">
        <f>IFERROR(IF(B47="","",IF(INDEX(ACTUALS!$L$4:$L$100,MATCH($B47,ACTUALS!$B$4:$B$100,0),1)=W47,CorrectResult,0)),0)</f>
        <v>3</v>
      </c>
      <c r="Q47" s="168">
        <f>IFERROR(IF(ISNUMBER(AI47),IF(ISNUMBER(INDEX(ACTUALS!$Y$3:$Y$100,MATCH($B47,ACTUALS!$B$3:$B$100,0),1)),shootoutswon,0),0),0)</f>
        <v>0</v>
      </c>
      <c r="R47" s="168">
        <f t="shared" si="14"/>
        <v>0</v>
      </c>
      <c r="S47" s="168" t="e">
        <f t="shared" si="25"/>
        <v>#VALUE!</v>
      </c>
      <c r="T47" s="168" t="str">
        <f>IF($W47="","",IF(NOT(ISERROR(MATCH($S47,ACTUALS!$H$40:$H$47,0))),"Y","N"))</f>
        <v/>
      </c>
      <c r="U47" s="168" t="str">
        <f t="shared" si="26"/>
        <v/>
      </c>
      <c r="V47" s="168" t="str">
        <f t="shared" si="27"/>
        <v/>
      </c>
      <c r="W47" s="63" t="str">
        <f t="shared" si="15"/>
        <v/>
      </c>
      <c r="X47" s="65" t="e">
        <f t="shared" si="16"/>
        <v>#VALUE!</v>
      </c>
      <c r="Y47" s="65" t="e">
        <f t="shared" si="17"/>
        <v>#VALUE!</v>
      </c>
      <c r="Z47" s="65" t="str">
        <f t="shared" si="18"/>
        <v/>
      </c>
      <c r="AA47" s="65" t="str">
        <f t="shared" si="19"/>
        <v/>
      </c>
      <c r="AB47" s="65" t="str">
        <f t="shared" si="20"/>
        <v/>
      </c>
      <c r="AC47" s="65" t="str">
        <f t="shared" si="21"/>
        <v/>
      </c>
      <c r="AD47" s="65"/>
      <c r="AE47" s="65"/>
      <c r="AF47" s="65"/>
      <c r="AG47" s="65"/>
      <c r="AH47" s="65">
        <f t="shared" si="28"/>
        <v>0</v>
      </c>
      <c r="AI47" s="65">
        <f t="shared" si="29"/>
        <v>0</v>
      </c>
      <c r="AJ47" s="65" t="str">
        <f t="shared" si="22"/>
        <v/>
      </c>
      <c r="AK47" s="65" t="str">
        <f t="shared" si="23"/>
        <v/>
      </c>
      <c r="AL47" s="65" t="e">
        <f t="shared" si="30"/>
        <v>#VALUE!</v>
      </c>
      <c r="AM47" s="65" t="e">
        <f t="shared" si="24"/>
        <v>#VALUE!</v>
      </c>
      <c r="AN47" s="161">
        <f t="shared" si="13"/>
        <v>45475</v>
      </c>
      <c r="AT47" s="80"/>
      <c r="AU47" s="142">
        <v>5</v>
      </c>
      <c r="AV47" s="143" t="str">
        <f t="shared" ca="1" si="31"/>
        <v>Italy</v>
      </c>
      <c r="AW47" s="143" t="str">
        <f t="shared" ca="1" si="32"/>
        <v>0-0-0</v>
      </c>
      <c r="AX47" s="143">
        <f t="shared" ca="1" si="33"/>
        <v>0</v>
      </c>
      <c r="AY47" s="144">
        <f t="shared" ca="1" si="34"/>
        <v>0</v>
      </c>
      <c r="AZ47" s="75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U47" s="58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R47" s="75"/>
      <c r="GS47" s="157"/>
      <c r="GT47" s="157"/>
      <c r="GU47" s="75"/>
      <c r="GV47" s="75"/>
      <c r="GW47" s="75"/>
      <c r="GX47" s="75"/>
      <c r="GY47" s="75"/>
      <c r="GZ47" s="75"/>
    </row>
    <row r="48" spans="1:208" s="11" customFormat="1" ht="30" customHeight="1" thickBot="1" x14ac:dyDescent="0.3">
      <c r="A48" s="20"/>
      <c r="B48" s="113">
        <v>45</v>
      </c>
      <c r="C48" s="113" t="s">
        <v>74</v>
      </c>
      <c r="D48" s="114">
        <v>45478</v>
      </c>
      <c r="E48" s="113" t="s">
        <v>83</v>
      </c>
      <c r="F48" s="115">
        <v>0.75</v>
      </c>
      <c r="G48" s="116">
        <f t="shared" si="11"/>
        <v>45478.5</v>
      </c>
      <c r="H48" s="113" t="str">
        <f>IF(I47="","Quarterfinal 1",Z42&amp;" - "&amp;Z40)</f>
        <v>Quarterfinal 1</v>
      </c>
      <c r="I48" s="50"/>
      <c r="J48" s="62"/>
      <c r="K48" s="66"/>
      <c r="L48" s="175">
        <f>IF(I48="",0,IFERROR(IF(SCORING.RULES!$C$8="No",1,((VLOOKUP($B48,ACTUALS!$B$4:$L$100,7,FALSE)=$H48)+(VLOOKUP($B48,ACTUALS!$B$4:$L$100,7,FALSE)=S48)))*(M48+N48+O48+P48+Q48),0))+$R48</f>
        <v>0</v>
      </c>
      <c r="M48" s="168">
        <f>IFERROR(IF($B48="","",IF(U48=INDEX(ACTUALS!$AA$4:$AA$100,MATCH($B48,ACTUALS!$B$4:$B$100,0),1),CorrectScore,0)),0)</f>
        <v>0</v>
      </c>
      <c r="N48" s="168" t="str">
        <f>IFERROR(IF(I48="","",IF(INDEX(ACTUALS!$AB$4:$AB$100,MATCH($B48,ACTUALS!$B$4:$B$100,0),1)=(AB48+AC48+AH48+AI48),CorrectNumberofGoals,0)),0)</f>
        <v/>
      </c>
      <c r="O48" s="168">
        <f>IFERROR(IF(V48="",0,IF($V48=INDEX(ACTUALS!$K$3:$K$100,MATCH($B48,ACTUALS!$B$3:$B$100,0),1),penaltiesscored,0)),0)</f>
        <v>0</v>
      </c>
      <c r="P48" s="168">
        <f>IFERROR(IF(B48="","",IF(INDEX(ACTUALS!$L$4:$L$100,MATCH($B48,ACTUALS!$B$4:$B$100,0),1)=W48,CorrectResult,0)),0)</f>
        <v>3</v>
      </c>
      <c r="Q48" s="168">
        <f>IFERROR(IF(ISNUMBER(AI48),IF(ISNUMBER(INDEX(ACTUALS!$Y$3:$Y$100,MATCH($B48,ACTUALS!$B$3:$B$100,0),1)),shootoutswon,0),0),0)</f>
        <v>0</v>
      </c>
      <c r="R48" s="168">
        <f t="shared" si="14"/>
        <v>0</v>
      </c>
      <c r="S48" s="168" t="e">
        <f t="shared" si="25"/>
        <v>#VALUE!</v>
      </c>
      <c r="T48" s="168" t="str">
        <f>IF($W48="","",IF(NOT(ISERROR(MATCH($S48,ACTUALS!$H$48:$H$51,0))),"Y","N"))</f>
        <v/>
      </c>
      <c r="U48" s="168" t="str">
        <f t="shared" si="26"/>
        <v/>
      </c>
      <c r="V48" s="168" t="str">
        <f t="shared" si="27"/>
        <v/>
      </c>
      <c r="W48" s="63" t="str">
        <f t="shared" si="15"/>
        <v/>
      </c>
      <c r="X48" s="65" t="e">
        <f t="shared" si="16"/>
        <v>#VALUE!</v>
      </c>
      <c r="Y48" s="65" t="e">
        <f t="shared" si="17"/>
        <v>#VALUE!</v>
      </c>
      <c r="Z48" s="65" t="str">
        <f>IF(W48="","",IF(W48=X48,X48,Y48))</f>
        <v/>
      </c>
      <c r="AA48" s="65" t="str">
        <f t="shared" si="19"/>
        <v/>
      </c>
      <c r="AB48" s="65" t="str">
        <f t="shared" si="20"/>
        <v/>
      </c>
      <c r="AC48" s="65" t="str">
        <f t="shared" si="21"/>
        <v/>
      </c>
      <c r="AD48" s="65"/>
      <c r="AE48" s="65"/>
      <c r="AF48" s="65"/>
      <c r="AG48" s="65"/>
      <c r="AH48" s="65">
        <f t="shared" si="28"/>
        <v>0</v>
      </c>
      <c r="AI48" s="65">
        <f t="shared" si="29"/>
        <v>0</v>
      </c>
      <c r="AJ48" s="65" t="str">
        <f t="shared" si="22"/>
        <v/>
      </c>
      <c r="AK48" s="65" t="str">
        <f t="shared" si="23"/>
        <v/>
      </c>
      <c r="AL48" s="65" t="e">
        <f t="shared" si="30"/>
        <v>#VALUE!</v>
      </c>
      <c r="AM48" s="65" t="e">
        <f t="shared" si="24"/>
        <v>#VALUE!</v>
      </c>
      <c r="AN48" s="161">
        <f t="shared" si="13"/>
        <v>45478</v>
      </c>
      <c r="AT48" s="79"/>
      <c r="AU48" s="145">
        <v>6</v>
      </c>
      <c r="AV48" s="146" t="str">
        <f t="shared" ca="1" si="31"/>
        <v>Scotland</v>
      </c>
      <c r="AW48" s="146" t="str">
        <f t="shared" ca="1" si="32"/>
        <v>0-0-0</v>
      </c>
      <c r="AX48" s="146">
        <f t="shared" ca="1" si="33"/>
        <v>0</v>
      </c>
      <c r="AY48" s="147">
        <f t="shared" ca="1" si="34"/>
        <v>0</v>
      </c>
      <c r="AZ48" s="75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U48" s="58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R48" s="75"/>
      <c r="GS48" s="157"/>
      <c r="GT48" s="157"/>
      <c r="GU48" s="75"/>
      <c r="GV48" s="75"/>
      <c r="GW48" s="75"/>
      <c r="GX48" s="75"/>
      <c r="GY48" s="75"/>
      <c r="GZ48" s="75"/>
    </row>
    <row r="49" spans="1:208" s="11" customFormat="1" ht="30" customHeight="1" x14ac:dyDescent="0.25">
      <c r="A49" s="20"/>
      <c r="B49" s="122">
        <v>46</v>
      </c>
      <c r="C49" s="122" t="s">
        <v>74</v>
      </c>
      <c r="D49" s="123">
        <v>45478</v>
      </c>
      <c r="E49" s="122" t="s">
        <v>84</v>
      </c>
      <c r="F49" s="124">
        <v>0.875</v>
      </c>
      <c r="G49" s="125">
        <f t="shared" si="11"/>
        <v>45478.625</v>
      </c>
      <c r="H49" s="122" t="str">
        <f>IF(I47="","Quarterfinal 2",Z44&amp;" - "&amp;Z45)</f>
        <v>Quarterfinal 2</v>
      </c>
      <c r="I49" s="49"/>
      <c r="J49" s="62"/>
      <c r="K49" s="66"/>
      <c r="L49" s="175">
        <f>IF(I49="",0,IFERROR(IF(SCORING.RULES!$C$8="No",1,((VLOOKUP($B49,ACTUALS!$B$4:$L$100,7,FALSE)=$H49)+(VLOOKUP($B49,ACTUALS!$B$4:$L$100,7,FALSE)=S49)))*(M49+N49+O49+P49+Q49),0))+$R49</f>
        <v>0</v>
      </c>
      <c r="M49" s="168">
        <f>IFERROR(IF($B49="","",IF(U49=INDEX(ACTUALS!$AA$4:$AA$100,MATCH($B49,ACTUALS!$B$4:$B$100,0),1),CorrectScore,0)),0)</f>
        <v>0</v>
      </c>
      <c r="N49" s="168" t="str">
        <f>IFERROR(IF(I49="","",IF(INDEX(ACTUALS!$AB$4:$AB$100,MATCH($B49,ACTUALS!$B$4:$B$100,0),1)=(AB49+AC49+AH49+AI49),CorrectNumberofGoals,0)),0)</f>
        <v/>
      </c>
      <c r="O49" s="168">
        <f>IFERROR(IF(V49="",0,IF($V49=INDEX(ACTUALS!$K$3:$K$100,MATCH($B49,ACTUALS!$B$3:$B$100,0),1),penaltiesscored,0)),0)</f>
        <v>0</v>
      </c>
      <c r="P49" s="168">
        <f>IFERROR(IF(B49="","",IF(INDEX(ACTUALS!$L$4:$L$100,MATCH($B49,ACTUALS!$B$4:$B$100,0),1)=W49,CorrectResult,0)),0)</f>
        <v>3</v>
      </c>
      <c r="Q49" s="168">
        <f>IFERROR(IF(ISNUMBER(AI49),IF(ISNUMBER(INDEX(ACTUALS!$Y$3:$Y$100,MATCH($B49,ACTUALS!$B$3:$B$100,0),1)),shootoutswon,0),0),0)</f>
        <v>0</v>
      </c>
      <c r="R49" s="168">
        <f t="shared" si="14"/>
        <v>0</v>
      </c>
      <c r="S49" s="168" t="e">
        <f t="shared" si="25"/>
        <v>#VALUE!</v>
      </c>
      <c r="T49" s="168" t="str">
        <f>IF($W49="","",IF(NOT(ISERROR(MATCH($S49,ACTUALS!$H$48:$H$51,0))),"Y","N"))</f>
        <v/>
      </c>
      <c r="U49" s="168" t="str">
        <f t="shared" si="26"/>
        <v/>
      </c>
      <c r="V49" s="168" t="str">
        <f t="shared" si="27"/>
        <v/>
      </c>
      <c r="W49" s="63" t="str">
        <f t="shared" si="15"/>
        <v/>
      </c>
      <c r="X49" s="65" t="e">
        <f t="shared" si="16"/>
        <v>#VALUE!</v>
      </c>
      <c r="Y49" s="65" t="e">
        <f t="shared" si="17"/>
        <v>#VALUE!</v>
      </c>
      <c r="Z49" s="65" t="str">
        <f t="shared" si="18"/>
        <v/>
      </c>
      <c r="AA49" s="65" t="str">
        <f t="shared" si="19"/>
        <v/>
      </c>
      <c r="AB49" s="65" t="str">
        <f t="shared" si="20"/>
        <v/>
      </c>
      <c r="AC49" s="65" t="str">
        <f t="shared" si="21"/>
        <v/>
      </c>
      <c r="AD49" s="65"/>
      <c r="AE49" s="65"/>
      <c r="AF49" s="65"/>
      <c r="AG49" s="65"/>
      <c r="AH49" s="65">
        <f t="shared" si="28"/>
        <v>0</v>
      </c>
      <c r="AI49" s="65">
        <f t="shared" si="29"/>
        <v>0</v>
      </c>
      <c r="AJ49" s="65" t="str">
        <f t="shared" si="22"/>
        <v/>
      </c>
      <c r="AK49" s="65" t="str">
        <f t="shared" si="23"/>
        <v/>
      </c>
      <c r="AL49" s="65" t="e">
        <f t="shared" si="30"/>
        <v>#VALUE!</v>
      </c>
      <c r="AM49" s="65" t="e">
        <f t="shared" si="24"/>
        <v>#VALUE!</v>
      </c>
      <c r="AN49" s="161">
        <f t="shared" si="13"/>
        <v>45478</v>
      </c>
      <c r="AT49" s="79"/>
      <c r="AU49" s="79"/>
      <c r="AV49" s="79"/>
      <c r="AW49" s="79"/>
      <c r="AX49" s="79"/>
      <c r="AY49" s="79"/>
      <c r="AZ49" s="75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U49" s="58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R49" s="75"/>
      <c r="GS49" s="157"/>
      <c r="GT49" s="157"/>
      <c r="GU49" s="75"/>
      <c r="GV49" s="75"/>
      <c r="GW49" s="75"/>
      <c r="GX49" s="75"/>
      <c r="GY49" s="75"/>
      <c r="GZ49" s="75"/>
    </row>
    <row r="50" spans="1:208" s="11" customFormat="1" ht="30" customHeight="1" x14ac:dyDescent="0.25">
      <c r="A50" s="20"/>
      <c r="B50" s="122">
        <v>47</v>
      </c>
      <c r="C50" s="122" t="s">
        <v>74</v>
      </c>
      <c r="D50" s="123">
        <v>45479</v>
      </c>
      <c r="E50" s="122" t="s">
        <v>80</v>
      </c>
      <c r="F50" s="124">
        <v>0.875</v>
      </c>
      <c r="G50" s="125">
        <f t="shared" si="11"/>
        <v>45479.625</v>
      </c>
      <c r="H50" s="122" t="str">
        <f>IF(I47="","Quarterfinal 3",Z46&amp;" - "&amp;Z47)</f>
        <v>Quarterfinal 3</v>
      </c>
      <c r="I50" s="49"/>
      <c r="J50" s="62"/>
      <c r="K50" s="66"/>
      <c r="L50" s="175">
        <f>IF(I50="",0,IFERROR(IF(SCORING.RULES!$C$8="No",1,((VLOOKUP($B50,ACTUALS!$B$4:$L$100,7,FALSE)=$H50)+(VLOOKUP($B50,ACTUALS!$B$4:$L$100,7,FALSE)=S50)))*(M50+N50+O50+P50+Q50),0))+$R50</f>
        <v>0</v>
      </c>
      <c r="M50" s="168">
        <f>IFERROR(IF($B50="","",IF(U50=INDEX(ACTUALS!$AA$4:$AA$100,MATCH($B50,ACTUALS!$B$4:$B$100,0),1),CorrectScore,0)),0)</f>
        <v>0</v>
      </c>
      <c r="N50" s="168" t="str">
        <f>IFERROR(IF(I50="","",IF(INDEX(ACTUALS!$AB$4:$AB$100,MATCH($B50,ACTUALS!$B$4:$B$100,0),1)=(AB50+AC50+AH50+AI50),CorrectNumberofGoals,0)),0)</f>
        <v/>
      </c>
      <c r="O50" s="168">
        <f>IFERROR(IF(V50="",0,IF($V50=INDEX(ACTUALS!$K$3:$K$100,MATCH($B50,ACTUALS!$B$3:$B$100,0),1),penaltiesscored,0)),0)</f>
        <v>0</v>
      </c>
      <c r="P50" s="168">
        <f>IFERROR(IF(B50="","",IF(INDEX(ACTUALS!$L$4:$L$100,MATCH($B50,ACTUALS!$B$4:$B$100,0),1)=W50,CorrectResult,0)),0)</f>
        <v>3</v>
      </c>
      <c r="Q50" s="168">
        <f>IFERROR(IF(ISNUMBER(AI50),IF(ISNUMBER(INDEX(ACTUALS!$Y$3:$Y$100,MATCH($B50,ACTUALS!$B$3:$B$100,0),1)),shootoutswon,0),0),0)</f>
        <v>0</v>
      </c>
      <c r="R50" s="168">
        <f t="shared" si="14"/>
        <v>0</v>
      </c>
      <c r="S50" s="168" t="e">
        <f t="shared" si="25"/>
        <v>#VALUE!</v>
      </c>
      <c r="T50" s="168" t="str">
        <f>IF($W50="","",IF(NOT(ISERROR(MATCH($S50,ACTUALS!$H$48:$H$51,0))),"Y","N"))</f>
        <v/>
      </c>
      <c r="U50" s="168" t="str">
        <f t="shared" si="26"/>
        <v/>
      </c>
      <c r="V50" s="168" t="str">
        <f t="shared" si="27"/>
        <v/>
      </c>
      <c r="W50" s="63" t="str">
        <f t="shared" si="15"/>
        <v/>
      </c>
      <c r="X50" s="65" t="e">
        <f t="shared" si="16"/>
        <v>#VALUE!</v>
      </c>
      <c r="Y50" s="65" t="e">
        <f t="shared" si="17"/>
        <v>#VALUE!</v>
      </c>
      <c r="Z50" s="65" t="str">
        <f t="shared" si="18"/>
        <v/>
      </c>
      <c r="AA50" s="65" t="str">
        <f t="shared" si="19"/>
        <v/>
      </c>
      <c r="AB50" s="65" t="str">
        <f t="shared" si="20"/>
        <v/>
      </c>
      <c r="AC50" s="65" t="str">
        <f t="shared" si="21"/>
        <v/>
      </c>
      <c r="AD50" s="65"/>
      <c r="AE50" s="65"/>
      <c r="AF50" s="65"/>
      <c r="AG50" s="65"/>
      <c r="AH50" s="65">
        <f t="shared" si="28"/>
        <v>0</v>
      </c>
      <c r="AI50" s="65">
        <f t="shared" si="29"/>
        <v>0</v>
      </c>
      <c r="AJ50" s="65" t="str">
        <f t="shared" si="22"/>
        <v/>
      </c>
      <c r="AK50" s="65" t="str">
        <f t="shared" si="23"/>
        <v/>
      </c>
      <c r="AL50" s="65" t="e">
        <f t="shared" si="30"/>
        <v>#VALUE!</v>
      </c>
      <c r="AM50" s="65" t="e">
        <f t="shared" si="24"/>
        <v>#VALUE!</v>
      </c>
      <c r="AN50" s="161">
        <f t="shared" si="13"/>
        <v>45479</v>
      </c>
      <c r="AT50" s="79"/>
      <c r="AU50" s="181"/>
      <c r="AV50" s="181"/>
      <c r="AW50" s="80"/>
      <c r="AX50" s="81"/>
      <c r="AY50" s="80"/>
      <c r="AZ50" s="75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U50" s="58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R50" s="75"/>
      <c r="GS50" s="157"/>
      <c r="GT50" s="157"/>
      <c r="GU50" s="75"/>
      <c r="GV50" s="75"/>
      <c r="GW50" s="75"/>
      <c r="GX50" s="75"/>
      <c r="GY50" s="75"/>
      <c r="GZ50" s="75"/>
    </row>
    <row r="51" spans="1:208" s="11" customFormat="1" ht="30" customHeight="1" thickBot="1" x14ac:dyDescent="0.3">
      <c r="A51" s="20"/>
      <c r="B51" s="127">
        <v>48</v>
      </c>
      <c r="C51" s="127" t="s">
        <v>74</v>
      </c>
      <c r="D51" s="128">
        <v>45479</v>
      </c>
      <c r="E51" s="127" t="s">
        <v>85</v>
      </c>
      <c r="F51" s="129">
        <v>0.75</v>
      </c>
      <c r="G51" s="130">
        <f t="shared" si="11"/>
        <v>45479.5</v>
      </c>
      <c r="H51" s="127" t="str">
        <f>IF(I47="","Quarterfinal 4",Z43&amp;" - "&amp;Z41)</f>
        <v>Quarterfinal 4</v>
      </c>
      <c r="I51" s="51"/>
      <c r="J51" s="62"/>
      <c r="K51" s="66"/>
      <c r="L51" s="175">
        <f>IF(I51="",0,IFERROR(IF(SCORING.RULES!$C$8="No",1,((VLOOKUP($B51,ACTUALS!$B$4:$L$100,7,FALSE)=$H51)+(VLOOKUP($B51,ACTUALS!$B$4:$L$100,7,FALSE)=S51)))*(M51+N51+O51+P51+Q51),0))+$R51</f>
        <v>0</v>
      </c>
      <c r="M51" s="168">
        <f>IFERROR(IF($B51="","",IF(U51=INDEX(ACTUALS!$AA$4:$AA$100,MATCH($B51,ACTUALS!$B$4:$B$100,0),1),CorrectScore,0)),0)</f>
        <v>0</v>
      </c>
      <c r="N51" s="168" t="str">
        <f>IFERROR(IF(I51="","",IF(INDEX(ACTUALS!$AB$4:$AB$100,MATCH($B51,ACTUALS!$B$4:$B$100,0),1)=(AB51+AC51+AH51+AI51),CorrectNumberofGoals,0)),0)</f>
        <v/>
      </c>
      <c r="O51" s="168">
        <f>IFERROR(IF(V51="",0,IF($V51=INDEX(ACTUALS!$K$3:$K$100,MATCH($B51,ACTUALS!$B$3:$B$100,0),1),penaltiesscored,0)),0)</f>
        <v>0</v>
      </c>
      <c r="P51" s="168">
        <f>IFERROR(IF(B51="","",IF(INDEX(ACTUALS!$L$4:$L$100,MATCH($B51,ACTUALS!$B$4:$B$100,0),1)=W51,CorrectResult,0)),0)</f>
        <v>3</v>
      </c>
      <c r="Q51" s="168">
        <f>IFERROR(IF(ISNUMBER(AI51),IF(ISNUMBER(INDEX(ACTUALS!$Y$3:$Y$100,MATCH($B51,ACTUALS!$B$3:$B$100,0),1)),shootoutswon,0),0),0)</f>
        <v>0</v>
      </c>
      <c r="R51" s="168">
        <f t="shared" si="14"/>
        <v>0</v>
      </c>
      <c r="S51" s="168" t="e">
        <f t="shared" si="25"/>
        <v>#VALUE!</v>
      </c>
      <c r="T51" s="168" t="str">
        <f>IF($W51="","",IF(NOT(ISERROR(MATCH($S51,ACTUALS!$H$48:$H$51,0))),"Y","N"))</f>
        <v/>
      </c>
      <c r="U51" s="168" t="str">
        <f t="shared" si="26"/>
        <v/>
      </c>
      <c r="V51" s="168" t="str">
        <f t="shared" si="27"/>
        <v/>
      </c>
      <c r="W51" s="63" t="str">
        <f t="shared" si="15"/>
        <v/>
      </c>
      <c r="X51" s="65" t="e">
        <f t="shared" si="16"/>
        <v>#VALUE!</v>
      </c>
      <c r="Y51" s="65" t="e">
        <f t="shared" si="17"/>
        <v>#VALUE!</v>
      </c>
      <c r="Z51" s="65" t="str">
        <f t="shared" si="18"/>
        <v/>
      </c>
      <c r="AA51" s="65" t="str">
        <f t="shared" si="19"/>
        <v/>
      </c>
      <c r="AB51" s="65" t="str">
        <f t="shared" si="20"/>
        <v/>
      </c>
      <c r="AC51" s="65" t="str">
        <f t="shared" si="21"/>
        <v/>
      </c>
      <c r="AD51" s="65"/>
      <c r="AE51" s="65"/>
      <c r="AF51" s="65"/>
      <c r="AG51" s="65"/>
      <c r="AH51" s="65">
        <f t="shared" si="28"/>
        <v>0</v>
      </c>
      <c r="AI51" s="65">
        <f t="shared" si="29"/>
        <v>0</v>
      </c>
      <c r="AJ51" s="65" t="str">
        <f t="shared" si="22"/>
        <v/>
      </c>
      <c r="AK51" s="65" t="str">
        <f t="shared" si="23"/>
        <v/>
      </c>
      <c r="AL51" s="65" t="e">
        <f t="shared" si="30"/>
        <v>#VALUE!</v>
      </c>
      <c r="AM51" s="65" t="e">
        <f t="shared" si="24"/>
        <v>#VALUE!</v>
      </c>
      <c r="AN51" s="161">
        <f t="shared" si="13"/>
        <v>45479</v>
      </c>
      <c r="AT51" s="79"/>
      <c r="AU51" s="79"/>
      <c r="AV51" s="79"/>
      <c r="AW51" s="79"/>
      <c r="AX51" s="79"/>
      <c r="AY51" s="79"/>
      <c r="AZ51" s="75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U51" s="58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  <c r="DR51" s="59"/>
      <c r="DS51" s="59"/>
      <c r="DT51" s="59"/>
      <c r="DU51" s="59"/>
      <c r="DV51" s="59"/>
      <c r="DW51" s="59"/>
      <c r="DX51" s="59"/>
      <c r="DY51" s="59"/>
      <c r="DZ51" s="59"/>
      <c r="EA51" s="59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R51" s="75"/>
      <c r="GS51" s="157"/>
      <c r="GT51" s="157"/>
      <c r="GU51" s="75"/>
      <c r="GV51" s="75"/>
      <c r="GW51" s="75"/>
      <c r="GX51" s="75"/>
      <c r="GY51" s="75"/>
      <c r="GZ51" s="75"/>
    </row>
    <row r="52" spans="1:208" s="11" customFormat="1" ht="30" customHeight="1" x14ac:dyDescent="0.25">
      <c r="A52" s="20"/>
      <c r="B52" s="113">
        <v>49</v>
      </c>
      <c r="C52" s="113" t="s">
        <v>75</v>
      </c>
      <c r="D52" s="114">
        <v>45482</v>
      </c>
      <c r="E52" s="113" t="s">
        <v>78</v>
      </c>
      <c r="F52" s="115">
        <v>0.875</v>
      </c>
      <c r="G52" s="116">
        <f>D52+TIME(HOUR(F52)+$A$7,0,0)</f>
        <v>45482.625</v>
      </c>
      <c r="H52" s="113" t="str">
        <f>IF(I51="","Semifinal 1",Z48&amp;" - "&amp;Z49)</f>
        <v>Semifinal 1</v>
      </c>
      <c r="I52" s="50"/>
      <c r="J52" s="62"/>
      <c r="K52" s="66"/>
      <c r="L52" s="175">
        <f>IF(I52="",0,IFERROR(IF(SCORING.RULES!$C$8="No",1,((VLOOKUP($B52,ACTUALS!$B$4:$L$100,7,FALSE)=$H52)+(VLOOKUP($B52,ACTUALS!$B$4:$L$100,7,FALSE)=S52)))*(M52+N52+O52+P52+Q52),0))+$R52</f>
        <v>0</v>
      </c>
      <c r="M52" s="168">
        <f>IFERROR(IF($B52="","",IF(U52=INDEX(ACTUALS!$AA$4:$AA$100,MATCH($B52,ACTUALS!$B$4:$B$100,0),1),CorrectScore,0)),0)</f>
        <v>0</v>
      </c>
      <c r="N52" s="168" t="str">
        <f>IFERROR(IF(I52="","",IF(INDEX(ACTUALS!$AB$4:$AB$100,MATCH($B52,ACTUALS!$B$4:$B$100,0),1)=(AB52+AC52+AH52+AI52),CorrectNumberofGoals,0)),0)</f>
        <v/>
      </c>
      <c r="O52" s="168">
        <f>IFERROR(IF(V52="",0,IF($V52=INDEX(ACTUALS!$K$3:$K$100,MATCH($B52,ACTUALS!$B$3:$B$100,0),1),penaltiesscored,0)),0)</f>
        <v>0</v>
      </c>
      <c r="P52" s="168">
        <f>IFERROR(IF(B52="","",IF(INDEX(ACTUALS!$L$4:$L$100,MATCH($B52,ACTUALS!$B$4:$B$100,0),1)=W52,CorrectResult,0)),0)</f>
        <v>3</v>
      </c>
      <c r="Q52" s="168">
        <f>IFERROR(IF(ISNUMBER(AI52),IF(ISNUMBER(INDEX(ACTUALS!$Y$3:$Y$100,MATCH($B52,ACTUALS!$B$3:$B$100,0),1)),shootoutswon,0),0),0)</f>
        <v>0</v>
      </c>
      <c r="R52" s="168">
        <f t="shared" si="14"/>
        <v>0</v>
      </c>
      <c r="S52" s="168" t="e">
        <f t="shared" si="25"/>
        <v>#VALUE!</v>
      </c>
      <c r="T52" s="168" t="str">
        <f>IF($W52="","",IF(NOT(ISERROR(MATCH($S52,ACTUALS!$H$52:$H$53,0))),"Y","N"))</f>
        <v/>
      </c>
      <c r="U52" s="168" t="str">
        <f t="shared" si="26"/>
        <v/>
      </c>
      <c r="V52" s="168" t="str">
        <f t="shared" si="27"/>
        <v/>
      </c>
      <c r="W52" s="63" t="str">
        <f t="shared" si="15"/>
        <v/>
      </c>
      <c r="X52" s="65" t="e">
        <f t="shared" si="16"/>
        <v>#VALUE!</v>
      </c>
      <c r="Y52" s="65" t="e">
        <f t="shared" si="17"/>
        <v>#VALUE!</v>
      </c>
      <c r="Z52" s="65" t="str">
        <f>IF(W52="","",IF(W52=X52,X52,Y52))</f>
        <v/>
      </c>
      <c r="AA52" s="65" t="str">
        <f>IF(W52="","",IF(Z52=X52,Y52,X52))</f>
        <v/>
      </c>
      <c r="AB52" s="65" t="str">
        <f t="shared" si="20"/>
        <v/>
      </c>
      <c r="AC52" s="65" t="str">
        <f t="shared" si="21"/>
        <v/>
      </c>
      <c r="AD52" s="65"/>
      <c r="AE52" s="65"/>
      <c r="AF52" s="65"/>
      <c r="AG52" s="65"/>
      <c r="AH52" s="65">
        <f t="shared" si="28"/>
        <v>0</v>
      </c>
      <c r="AI52" s="65">
        <f t="shared" si="29"/>
        <v>0</v>
      </c>
      <c r="AJ52" s="65" t="str">
        <f t="shared" si="22"/>
        <v/>
      </c>
      <c r="AK52" s="65" t="str">
        <f t="shared" si="23"/>
        <v/>
      </c>
      <c r="AL52" s="65" t="e">
        <f t="shared" si="30"/>
        <v>#VALUE!</v>
      </c>
      <c r="AM52" s="65" t="e">
        <f t="shared" si="24"/>
        <v>#VALUE!</v>
      </c>
      <c r="AN52" s="161">
        <f t="shared" si="13"/>
        <v>45482</v>
      </c>
      <c r="AT52" s="75"/>
      <c r="AU52" s="79"/>
      <c r="AV52" s="79"/>
      <c r="AW52" s="79"/>
      <c r="AX52" s="79"/>
      <c r="AY52" s="79"/>
      <c r="AZ52" s="75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U52" s="58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R52" s="75"/>
      <c r="GS52" s="157"/>
      <c r="GT52" s="157"/>
      <c r="GU52" s="75"/>
      <c r="GV52" s="75"/>
      <c r="GW52" s="75"/>
      <c r="GX52" s="75"/>
      <c r="GY52" s="75"/>
      <c r="GZ52" s="75"/>
    </row>
    <row r="53" spans="1:208" s="11" customFormat="1" ht="30" customHeight="1" thickBot="1" x14ac:dyDescent="0.3">
      <c r="A53" s="20"/>
      <c r="B53" s="127">
        <v>50</v>
      </c>
      <c r="C53" s="127" t="s">
        <v>75</v>
      </c>
      <c r="D53" s="128">
        <v>45483</v>
      </c>
      <c r="E53" s="127" t="s">
        <v>81</v>
      </c>
      <c r="F53" s="129">
        <v>0.875</v>
      </c>
      <c r="G53" s="130">
        <f>D53+TIME(HOUR(F53)+$A$7,0,0)</f>
        <v>45483.625</v>
      </c>
      <c r="H53" s="127" t="str">
        <f>IF(I51="","Semifinal 2",Z50&amp;" - "&amp;Z51)</f>
        <v>Semifinal 2</v>
      </c>
      <c r="I53" s="51"/>
      <c r="J53" s="62"/>
      <c r="K53" s="66"/>
      <c r="L53" s="175">
        <f>IF(I53="",0,IFERROR(IF(SCORING.RULES!$C$8="No",1,((VLOOKUP($B53,ACTUALS!$B$4:$L$100,7,FALSE)=$H53)+(VLOOKUP($B53,ACTUALS!$B$4:$L$100,7,FALSE)=S53)))*(M53+N53+O53+P53+Q53),0))+$R53</f>
        <v>0</v>
      </c>
      <c r="M53" s="168">
        <f>IFERROR(IF($B53="","",IF(U53=INDEX(ACTUALS!$AA$4:$AA$100,MATCH($B53,ACTUALS!$B$4:$B$100,0),1),CorrectScore,0)),0)</f>
        <v>0</v>
      </c>
      <c r="N53" s="168" t="str">
        <f>IFERROR(IF(I53="","",IF(INDEX(ACTUALS!$AB$4:$AB$100,MATCH($B53,ACTUALS!$B$4:$B$100,0),1)=(AB53+AC53+AH53+AI53),CorrectNumberofGoals,0)),0)</f>
        <v/>
      </c>
      <c r="O53" s="168">
        <f>IFERROR(IF(V53="",0,IF($V53=INDEX(ACTUALS!$K$3:$K$100,MATCH($B53,ACTUALS!$B$3:$B$100,0),1),penaltiesscored,0)),0)</f>
        <v>0</v>
      </c>
      <c r="P53" s="168">
        <f>IFERROR(IF(B53="","",IF(INDEX(ACTUALS!$L$4:$L$100,MATCH($B53,ACTUALS!$B$4:$B$100,0),1)=W53,CorrectResult,0)),0)</f>
        <v>3</v>
      </c>
      <c r="Q53" s="168">
        <f>IFERROR(IF(ISNUMBER(AI53),IF(ISNUMBER(INDEX(ACTUALS!$Y$3:$Y$100,MATCH($B53,ACTUALS!$B$3:$B$100,0),1)),shootoutswon,0),0),0)</f>
        <v>0</v>
      </c>
      <c r="R53" s="168">
        <f t="shared" si="14"/>
        <v>0</v>
      </c>
      <c r="S53" s="168" t="e">
        <f t="shared" si="25"/>
        <v>#VALUE!</v>
      </c>
      <c r="T53" s="168" t="str">
        <f>IF($W53="","",IF(NOT(ISERROR(MATCH($S53,ACTUALS!$H$52:$H$53,0))),"Y","N"))</f>
        <v/>
      </c>
      <c r="U53" s="168" t="str">
        <f t="shared" si="26"/>
        <v/>
      </c>
      <c r="V53" s="168" t="str">
        <f t="shared" si="27"/>
        <v/>
      </c>
      <c r="W53" s="63" t="str">
        <f t="shared" si="15"/>
        <v/>
      </c>
      <c r="X53" s="65" t="e">
        <f t="shared" si="16"/>
        <v>#VALUE!</v>
      </c>
      <c r="Y53" s="65" t="e">
        <f t="shared" si="17"/>
        <v>#VALUE!</v>
      </c>
      <c r="Z53" s="65" t="str">
        <f>IF(W53="","",IF(W53=X53,X53,Y53))</f>
        <v/>
      </c>
      <c r="AA53" s="65" t="str">
        <f>IF(W53="","",IF(Z53=X53,Y53,X53))</f>
        <v/>
      </c>
      <c r="AB53" s="65" t="str">
        <f t="shared" si="20"/>
        <v/>
      </c>
      <c r="AC53" s="65" t="str">
        <f t="shared" si="21"/>
        <v/>
      </c>
      <c r="AD53" s="65"/>
      <c r="AE53" s="65"/>
      <c r="AF53" s="65"/>
      <c r="AG53" s="65"/>
      <c r="AH53" s="65">
        <f t="shared" si="28"/>
        <v>0</v>
      </c>
      <c r="AI53" s="65">
        <f t="shared" si="29"/>
        <v>0</v>
      </c>
      <c r="AJ53" s="65" t="str">
        <f t="shared" si="22"/>
        <v/>
      </c>
      <c r="AK53" s="65" t="str">
        <f t="shared" si="23"/>
        <v/>
      </c>
      <c r="AL53" s="65" t="e">
        <f t="shared" si="30"/>
        <v>#VALUE!</v>
      </c>
      <c r="AM53" s="65" t="e">
        <f t="shared" si="24"/>
        <v>#VALUE!</v>
      </c>
      <c r="AN53" s="161">
        <f t="shared" si="13"/>
        <v>45483</v>
      </c>
      <c r="AT53" s="75"/>
      <c r="AU53" s="79"/>
      <c r="AV53" s="79"/>
      <c r="AW53" s="79"/>
      <c r="AX53" s="79"/>
      <c r="AY53" s="79"/>
      <c r="AZ53" s="75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U53" s="58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R53" s="75"/>
      <c r="GS53" s="157"/>
      <c r="GT53" s="157"/>
      <c r="GU53" s="75"/>
      <c r="GV53" s="75"/>
      <c r="GW53" s="75"/>
      <c r="GX53" s="75"/>
      <c r="GY53" s="75"/>
      <c r="GZ53" s="75"/>
    </row>
    <row r="54" spans="1:208" s="11" customFormat="1" ht="30" customHeight="1" x14ac:dyDescent="0.25">
      <c r="A54" s="20"/>
      <c r="B54" s="113">
        <v>51</v>
      </c>
      <c r="C54" s="113" t="s">
        <v>45</v>
      </c>
      <c r="D54" s="114">
        <v>45487</v>
      </c>
      <c r="E54" s="113" t="s">
        <v>80</v>
      </c>
      <c r="F54" s="115">
        <v>0.875</v>
      </c>
      <c r="G54" s="116">
        <f>D54+TIME(HOUR(F54)+$A$7,0,0)</f>
        <v>45487.625</v>
      </c>
      <c r="H54" s="113" t="str">
        <f>IF(I53="","Final",Z52&amp;" - "&amp;Z53)</f>
        <v>Final</v>
      </c>
      <c r="I54" s="50"/>
      <c r="J54" s="62"/>
      <c r="K54" s="66"/>
      <c r="L54" s="175">
        <f>IF(I54="",0,IFERROR(IF(SCORING.RULES!$C$8="No",1,((VLOOKUP($B54,ACTUALS!$B$4:$L$100,7,FALSE)=$H54)+(VLOOKUP($B54,ACTUALS!$B$4:$L$100,7,FALSE)=S54)))*(M54+N54+O54+P54+Q54),0))+$R54</f>
        <v>0</v>
      </c>
      <c r="M54" s="168">
        <f>IFERROR(IF($B54="","",IF(U54=INDEX(ACTUALS!$AA$4:$AA$100,MATCH($B54,ACTUALS!$B$4:$B$100,0),1),CorrectScore,0)),0)</f>
        <v>0</v>
      </c>
      <c r="N54" s="168" t="str">
        <f>IFERROR(IF(I54="","",IF(INDEX(ACTUALS!$AB$4:$AB$100,MATCH($B54,ACTUALS!$B$4:$B$100,0),1)=(AB54+AC54+AH54+AI54),CorrectNumberofGoals,0)),0)</f>
        <v/>
      </c>
      <c r="O54" s="168">
        <f>IFERROR(IF(V54="",0,IF($V54=INDEX(ACTUALS!$K$3:$K$100,MATCH($B54,ACTUALS!$B$3:$B$100,0),1),penaltiesscored,0)),0)</f>
        <v>0</v>
      </c>
      <c r="P54" s="168">
        <f>IFERROR(IF(B54="","",IF(INDEX(ACTUALS!$L$4:$L$100,MATCH($B54,ACTUALS!$B$4:$B$100,0),1)=W54,CorrectResult,0)),0)</f>
        <v>3</v>
      </c>
      <c r="Q54" s="168">
        <f>IFERROR(IF(ISNUMBER(AI54),IF(ISNUMBER(INDEX(ACTUALS!$Y$3:$Y$100,MATCH($B54,ACTUALS!$B$3:$B$100,0),1)),shootoutswon,0),0),0)</f>
        <v>0</v>
      </c>
      <c r="R54" s="168">
        <f t="shared" si="14"/>
        <v>0</v>
      </c>
      <c r="S54" s="168" t="e">
        <f t="shared" si="25"/>
        <v>#VALUE!</v>
      </c>
      <c r="T54" s="168" t="e">
        <f>IF($X54="","",IF($S54=ACTUALS!H54,"Y","N"))</f>
        <v>#VALUE!</v>
      </c>
      <c r="U54" s="168" t="str">
        <f t="shared" si="26"/>
        <v/>
      </c>
      <c r="V54" s="168" t="str">
        <f t="shared" si="27"/>
        <v/>
      </c>
      <c r="W54" s="63" t="str">
        <f t="shared" si="15"/>
        <v/>
      </c>
      <c r="X54" s="65" t="e">
        <f t="shared" si="16"/>
        <v>#VALUE!</v>
      </c>
      <c r="Y54" s="65" t="e">
        <f t="shared" si="17"/>
        <v>#VALUE!</v>
      </c>
      <c r="Z54" s="65" t="str">
        <f>IF(W54="","",IF(W54=X54,X54,Y54))</f>
        <v/>
      </c>
      <c r="AA54" s="65" t="str">
        <f>IF(W54="","",IF(Z54=X54,Y54,X54))</f>
        <v/>
      </c>
      <c r="AB54" s="65" t="str">
        <f t="shared" si="20"/>
        <v/>
      </c>
      <c r="AC54" s="65" t="str">
        <f t="shared" si="21"/>
        <v/>
      </c>
      <c r="AD54" s="65"/>
      <c r="AE54" s="65"/>
      <c r="AF54" s="65"/>
      <c r="AG54" s="65"/>
      <c r="AH54" s="65">
        <f t="shared" si="28"/>
        <v>0</v>
      </c>
      <c r="AI54" s="65">
        <f t="shared" si="29"/>
        <v>0</v>
      </c>
      <c r="AJ54" s="65" t="str">
        <f t="shared" si="22"/>
        <v/>
      </c>
      <c r="AK54" s="65" t="str">
        <f t="shared" si="23"/>
        <v/>
      </c>
      <c r="AL54" s="65" t="e">
        <f t="shared" si="30"/>
        <v>#VALUE!</v>
      </c>
      <c r="AM54" s="65" t="e">
        <f t="shared" si="24"/>
        <v>#VALUE!</v>
      </c>
      <c r="AN54" s="161">
        <f t="shared" si="13"/>
        <v>45487</v>
      </c>
      <c r="AT54" s="75"/>
      <c r="AU54" s="79"/>
      <c r="AV54" s="79"/>
      <c r="AW54" s="79"/>
      <c r="AX54" s="79"/>
      <c r="AY54" s="79"/>
      <c r="AZ54" s="75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U54" s="58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R54" s="75"/>
      <c r="GS54" s="157"/>
      <c r="GT54" s="157"/>
      <c r="GU54" s="75"/>
      <c r="GV54" s="75"/>
      <c r="GW54" s="75"/>
      <c r="GX54" s="75"/>
      <c r="GY54" s="75"/>
      <c r="GZ54" s="75"/>
    </row>
    <row r="55" spans="1:208" x14ac:dyDescent="0.3">
      <c r="A55" s="21"/>
      <c r="D55" s="14"/>
      <c r="F55" s="15"/>
      <c r="G55" s="16"/>
      <c r="W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U55" s="11"/>
      <c r="AV55" s="11"/>
      <c r="AW55" s="11"/>
      <c r="AX55" s="11"/>
      <c r="AY55" s="11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CU55" s="60"/>
      <c r="GS55" s="156"/>
      <c r="GT55" s="159"/>
    </row>
    <row r="56" spans="1:208" x14ac:dyDescent="0.3">
      <c r="A56" s="21"/>
      <c r="B56" s="76"/>
      <c r="C56" s="76"/>
      <c r="D56" s="14"/>
      <c r="E56" s="89"/>
      <c r="F56" s="89"/>
      <c r="G56" s="90"/>
      <c r="H56" s="89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89"/>
      <c r="X56" s="89"/>
      <c r="Y56" s="92"/>
      <c r="Z56" s="92"/>
      <c r="AA56" s="92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92"/>
      <c r="AP56" s="92"/>
      <c r="AQ56" s="92"/>
      <c r="AR56" s="92"/>
      <c r="AS56" s="92"/>
      <c r="AT56" s="92"/>
      <c r="AU56" s="11"/>
      <c r="AV56" s="11"/>
      <c r="AW56" s="11"/>
      <c r="AX56" s="11"/>
      <c r="AY56" s="11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CU56" s="60"/>
      <c r="GS56" s="156"/>
      <c r="GT56" s="159"/>
    </row>
    <row r="57" spans="1:208" x14ac:dyDescent="0.3">
      <c r="A57" s="21"/>
      <c r="B57" s="170" t="s">
        <v>201</v>
      </c>
      <c r="C57" s="169"/>
      <c r="D57" s="172">
        <f>COUNTA(K4:K54)</f>
        <v>0</v>
      </c>
      <c r="E57" s="2"/>
      <c r="F57" s="47"/>
      <c r="W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U57" s="11"/>
      <c r="AV57" s="11"/>
      <c r="AW57" s="11"/>
      <c r="AX57" s="11"/>
      <c r="AY57" s="11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CU57" s="60"/>
      <c r="GS57" s="159"/>
      <c r="GT57" s="159"/>
    </row>
    <row r="58" spans="1:208" x14ac:dyDescent="0.3">
      <c r="A58" s="21"/>
      <c r="B58" s="171" t="s">
        <v>202</v>
      </c>
      <c r="C58" s="169"/>
      <c r="D58" s="172">
        <f>SUM(L4:L54)+(IF(D57=ACTUALS!F62,SCORING.RULES!C10,0))</f>
        <v>10</v>
      </c>
      <c r="E58" s="2"/>
      <c r="F58" s="47"/>
      <c r="W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CU58" s="60"/>
      <c r="GS58" s="159"/>
      <c r="GT58" s="159"/>
    </row>
    <row r="59" spans="1:208" x14ac:dyDescent="0.3">
      <c r="A59" s="21"/>
      <c r="B59" s="169"/>
      <c r="C59" s="169"/>
      <c r="D59" s="14"/>
      <c r="E59" s="2"/>
      <c r="F59" s="47"/>
      <c r="W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CU59" s="60"/>
      <c r="GS59" s="159"/>
      <c r="GT59" s="159"/>
    </row>
    <row r="60" spans="1:208" x14ac:dyDescent="0.3">
      <c r="A60" s="21"/>
      <c r="B60" s="169"/>
      <c r="C60" s="169"/>
      <c r="D60" s="14"/>
      <c r="E60" s="2"/>
      <c r="F60" s="47"/>
      <c r="W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CU60" s="60"/>
      <c r="GS60" s="159"/>
      <c r="GT60" s="159"/>
    </row>
    <row r="61" spans="1:208" x14ac:dyDescent="0.3">
      <c r="A61" s="21"/>
      <c r="B61" s="169"/>
      <c r="C61" s="169"/>
      <c r="D61" s="14"/>
      <c r="E61" s="89"/>
      <c r="F61" s="89"/>
      <c r="G61" s="90"/>
      <c r="H61" s="89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89"/>
      <c r="X61" s="89"/>
      <c r="Y61" s="92"/>
      <c r="Z61" s="92"/>
      <c r="AA61" s="92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92"/>
      <c r="AP61" s="92"/>
      <c r="AQ61" s="92"/>
      <c r="AR61" s="92"/>
      <c r="AS61" s="92"/>
      <c r="AT61" s="92"/>
      <c r="CU61" s="60"/>
      <c r="GS61" s="159"/>
      <c r="GT61" s="159"/>
    </row>
    <row r="62" spans="1:208" x14ac:dyDescent="0.3">
      <c r="B62" s="169"/>
      <c r="C62" s="169"/>
      <c r="D62" s="14"/>
      <c r="E62" s="89"/>
      <c r="F62" s="89"/>
      <c r="G62" s="90"/>
      <c r="H62" s="89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89"/>
      <c r="X62" s="89"/>
      <c r="Y62" s="92"/>
      <c r="Z62" s="92"/>
      <c r="AA62" s="92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92"/>
      <c r="AP62" s="92"/>
      <c r="AQ62" s="92"/>
      <c r="AR62" s="92"/>
      <c r="AS62" s="92"/>
      <c r="AT62" s="92"/>
      <c r="GS62" s="159"/>
      <c r="GT62" s="159"/>
    </row>
    <row r="63" spans="1:208" x14ac:dyDescent="0.3">
      <c r="B63" s="169"/>
      <c r="C63" s="169"/>
      <c r="E63" s="89"/>
      <c r="F63" s="89"/>
      <c r="G63" s="90"/>
      <c r="H63" s="89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89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GS63" s="159"/>
      <c r="GT63" s="159"/>
    </row>
    <row r="64" spans="1:208" x14ac:dyDescent="0.3">
      <c r="B64" s="169"/>
      <c r="C64" s="169"/>
      <c r="E64" s="89"/>
      <c r="F64" s="89"/>
      <c r="G64" s="90"/>
      <c r="H64" s="89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89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GS64" s="159"/>
      <c r="GT64" s="159"/>
    </row>
    <row r="65" spans="2:202" x14ac:dyDescent="0.3">
      <c r="B65" s="169"/>
      <c r="C65" s="169"/>
      <c r="E65" s="89"/>
      <c r="F65" s="89"/>
      <c r="G65" s="90"/>
      <c r="H65" s="89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89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GS65" s="159"/>
      <c r="GT65" s="159"/>
    </row>
    <row r="66" spans="2:202" x14ac:dyDescent="0.3">
      <c r="B66" s="169"/>
      <c r="C66" s="169"/>
      <c r="E66" s="89"/>
      <c r="F66" s="89"/>
      <c r="G66" s="90"/>
      <c r="H66" s="89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89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GS66" s="159"/>
      <c r="GT66" s="159"/>
    </row>
    <row r="67" spans="2:202" x14ac:dyDescent="0.3">
      <c r="B67" s="169"/>
      <c r="C67" s="169"/>
      <c r="E67" s="89"/>
      <c r="F67" s="89"/>
      <c r="G67" s="90"/>
      <c r="H67" s="89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89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GS67" s="159"/>
      <c r="GT67" s="159"/>
    </row>
    <row r="68" spans="2:202" x14ac:dyDescent="0.3">
      <c r="B68" s="169"/>
      <c r="C68" s="169"/>
      <c r="E68" s="2"/>
      <c r="F68" s="2"/>
      <c r="G68" s="47"/>
      <c r="H68" s="2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2"/>
      <c r="Y68" s="1"/>
      <c r="GS68" s="159"/>
      <c r="GT68" s="159"/>
    </row>
    <row r="69" spans="2:202" x14ac:dyDescent="0.3">
      <c r="B69" s="169"/>
      <c r="C69" s="169"/>
      <c r="E69" s="2"/>
      <c r="F69" s="2"/>
      <c r="G69" s="47"/>
      <c r="H69" s="2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2"/>
      <c r="Y69" s="1"/>
      <c r="GS69" s="159"/>
      <c r="GT69" s="159"/>
    </row>
    <row r="70" spans="2:202" x14ac:dyDescent="0.3">
      <c r="B70" s="169"/>
      <c r="C70" s="169"/>
      <c r="G70" s="47"/>
      <c r="H70" s="2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2"/>
      <c r="Y70" s="1"/>
      <c r="GS70" s="159"/>
      <c r="GT70" s="159"/>
    </row>
    <row r="71" spans="2:202" x14ac:dyDescent="0.3">
      <c r="B71" s="169"/>
      <c r="C71" s="169"/>
      <c r="GS71" s="159"/>
      <c r="GT71" s="159"/>
    </row>
    <row r="72" spans="2:202" x14ac:dyDescent="0.3">
      <c r="B72" s="169"/>
      <c r="C72" s="169"/>
      <c r="GS72" s="159"/>
    </row>
    <row r="73" spans="2:202" x14ac:dyDescent="0.3">
      <c r="B73" s="169"/>
      <c r="C73" s="169"/>
      <c r="GS73" s="159"/>
    </row>
    <row r="74" spans="2:202" x14ac:dyDescent="0.3">
      <c r="B74" s="169"/>
      <c r="C74" s="169"/>
    </row>
    <row r="75" spans="2:202" x14ac:dyDescent="0.3">
      <c r="B75" s="169"/>
      <c r="C75" s="169"/>
    </row>
    <row r="76" spans="2:202" x14ac:dyDescent="0.3">
      <c r="B76" s="169"/>
      <c r="C76" s="169"/>
    </row>
    <row r="77" spans="2:202" x14ac:dyDescent="0.3">
      <c r="B77" s="169"/>
      <c r="C77" s="169"/>
    </row>
    <row r="78" spans="2:202" x14ac:dyDescent="0.3">
      <c r="B78" s="169"/>
      <c r="C78" s="169"/>
    </row>
    <row r="79" spans="2:202" x14ac:dyDescent="0.3">
      <c r="B79" s="169"/>
      <c r="C79" s="169"/>
    </row>
    <row r="80" spans="2:202" x14ac:dyDescent="0.3">
      <c r="B80" s="169"/>
      <c r="C80" s="169"/>
    </row>
    <row r="81" spans="2:3" x14ac:dyDescent="0.3">
      <c r="B81" s="169"/>
      <c r="C81" s="169"/>
    </row>
    <row r="82" spans="2:3" x14ac:dyDescent="0.3">
      <c r="B82" s="169"/>
      <c r="C82" s="169"/>
    </row>
    <row r="83" spans="2:3" x14ac:dyDescent="0.3">
      <c r="B83" s="169"/>
      <c r="C83" s="169"/>
    </row>
    <row r="84" spans="2:3" x14ac:dyDescent="0.3">
      <c r="B84" s="169"/>
      <c r="C84" s="169"/>
    </row>
    <row r="85" spans="2:3" x14ac:dyDescent="0.3">
      <c r="B85" s="169"/>
      <c r="C85" s="169"/>
    </row>
    <row r="86" spans="2:3" x14ac:dyDescent="0.3">
      <c r="B86" s="169"/>
      <c r="C86" s="169"/>
    </row>
    <row r="87" spans="2:3" x14ac:dyDescent="0.3">
      <c r="B87" s="169"/>
      <c r="C87" s="169"/>
    </row>
  </sheetData>
  <sheetProtection algorithmName="SHA-512" hashValue="ictnF0aHka91md3HzBJjiR4R8A1kF7mP42wEejB2IpjHY7btUFB+tPJgt1wRv0jAG/KMN06OGXETGehCFG9yZA==" saltValue="RtwQYGy5+yDQ/WyANl4Zjg==" spinCount="100000" sheet="1" objects="1" scenarios="1"/>
  <mergeCells count="15">
    <mergeCell ref="HI3:HI19"/>
    <mergeCell ref="HC4:HH4"/>
    <mergeCell ref="AU5:AV5"/>
    <mergeCell ref="AU11:AV11"/>
    <mergeCell ref="AU17:AV17"/>
    <mergeCell ref="B1:W1"/>
    <mergeCell ref="AT1:AY1"/>
    <mergeCell ref="AT2:AY2"/>
    <mergeCell ref="AU3:AY3"/>
    <mergeCell ref="HC3:HH3"/>
    <mergeCell ref="AU23:AV23"/>
    <mergeCell ref="AU29:AV29"/>
    <mergeCell ref="AU35:AV35"/>
    <mergeCell ref="AU41:AY41"/>
    <mergeCell ref="AU50:AV50"/>
  </mergeCells>
  <conditionalFormatting sqref="A5 A8">
    <cfRule type="expression" dxfId="20" priority="13">
      <formula>AND(LEN($X2)&gt;0,(OR(IFERROR(FIND($X2,$HA$30,1)&gt;0,0),IFERROR(FIND($Y2,$HA$30,1)&gt;0,0))))</formula>
    </cfRule>
  </conditionalFormatting>
  <conditionalFormatting sqref="A6">
    <cfRule type="expression" dxfId="19" priority="14">
      <formula>AND(LEN($X2)&gt;0,(OR(IFERROR(FIND($X2,$HA$30,1)&gt;0,0),IFERROR(FIND($Y2,$HA$30,1)&gt;0,0))))</formula>
    </cfRule>
  </conditionalFormatting>
  <conditionalFormatting sqref="A7">
    <cfRule type="expression" dxfId="18" priority="15">
      <formula>AND(LEN($X2)&gt;0,(OR(IFERROR(FIND($X2,$HA$30,1)&gt;0,0),IFERROR(FIND($Y2,$HA$30,1)&gt;0,0))))</formula>
    </cfRule>
  </conditionalFormatting>
  <conditionalFormatting sqref="B4:I54">
    <cfRule type="expression" dxfId="17" priority="11">
      <formula>AND(LEN($X4)&gt;0,(OR(IFERROR(FIND($X4,$HA$30,1)&gt;0,0),IFERROR(FIND($Y4,$HA$30,1)&gt;0,0))))</formula>
    </cfRule>
  </conditionalFormatting>
  <conditionalFormatting sqref="M4:M39 J40:V54">
    <cfRule type="expression" dxfId="16" priority="1">
      <formula>LEFT(I4,FIND(":",I4,1)-1)=RIGHT(I4,LEN(I4)-FIND(":",I4,1))</formula>
    </cfRule>
  </conditionalFormatting>
  <conditionalFormatting sqref="AU8:AY8">
    <cfRule type="expression" dxfId="15" priority="7">
      <formula>$AZ8="X"</formula>
    </cfRule>
  </conditionalFormatting>
  <conditionalFormatting sqref="AU14:AY14">
    <cfRule type="expression" dxfId="14" priority="6">
      <formula>$AZ14="X"</formula>
    </cfRule>
  </conditionalFormatting>
  <conditionalFormatting sqref="AU20:AY20">
    <cfRule type="expression" dxfId="13" priority="5">
      <formula>$AZ20="X"</formula>
    </cfRule>
  </conditionalFormatting>
  <conditionalFormatting sqref="AU26:AY26">
    <cfRule type="expression" dxfId="12" priority="4">
      <formula>$AZ26="X"</formula>
    </cfRule>
  </conditionalFormatting>
  <conditionalFormatting sqref="AU32:AY32">
    <cfRule type="expression" dxfId="11" priority="3">
      <formula>$AZ32="X"</formula>
    </cfRule>
  </conditionalFormatting>
  <conditionalFormatting sqref="AU38:AY38">
    <cfRule type="expression" dxfId="10" priority="2">
      <formula>$AZ38="X"</formula>
    </cfRule>
  </conditionalFormatting>
  <conditionalFormatting sqref="BM1:BM1048576">
    <cfRule type="expression" dxfId="9" priority="8">
      <formula>ISNUMBER(BM1)</formula>
    </cfRule>
  </conditionalFormatting>
  <conditionalFormatting sqref="CV4:EA35">
    <cfRule type="expression" dxfId="8" priority="12">
      <formula>CV4=0</formula>
    </cfRule>
  </conditionalFormatting>
  <conditionalFormatting sqref="ED4:FI35">
    <cfRule type="expression" dxfId="7" priority="10">
      <formula>ED4=0</formula>
    </cfRule>
  </conditionalFormatting>
  <conditionalFormatting sqref="FL4:GQ35">
    <cfRule type="expression" dxfId="6" priority="9">
      <formula>FL4=0</formula>
    </cfRule>
  </conditionalFormatting>
  <hyperlinks>
    <hyperlink ref="AT2" r:id="rId1" xr:uid="{305E5052-D9C1-4DE0-BB48-671581C13F37}"/>
  </hyperlinks>
  <pageMargins left="0.7" right="0.7" top="0.75" bottom="0.75" header="0.3" footer="0.3"/>
  <pageSetup orientation="portrait" horizontalDpi="4294967293" verticalDpi="0" r:id="rId2"/>
  <drawing r:id="rId3"/>
  <tableParts count="4">
    <tablePart r:id="rId4"/>
    <tablePart r:id="rId5"/>
    <tablePart r:id="rId6"/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08B63-CC31-4C6D-970F-FA9EE36CD45D}">
  <sheetPr codeName="Sheet4">
    <tabColor theme="4" tint="-0.499984740745262"/>
  </sheetPr>
  <dimension ref="B2:C10"/>
  <sheetViews>
    <sheetView showGridLines="0" showRowColHeaders="0" workbookViewId="0">
      <selection activeCell="C3" sqref="C3"/>
    </sheetView>
  </sheetViews>
  <sheetFormatPr defaultRowHeight="15" x14ac:dyDescent="0.25"/>
  <cols>
    <col min="2" max="2" width="48" bestFit="1" customWidth="1"/>
    <col min="3" max="3" width="10.28515625" style="17" bestFit="1" customWidth="1"/>
  </cols>
  <sheetData>
    <row r="2" spans="2:3" x14ac:dyDescent="0.25">
      <c r="B2" s="18" t="s">
        <v>67</v>
      </c>
      <c r="C2" s="112" t="s">
        <v>68</v>
      </c>
    </row>
    <row r="3" spans="2:3" x14ac:dyDescent="0.25">
      <c r="B3" t="s">
        <v>176</v>
      </c>
      <c r="C3" s="19">
        <v>2</v>
      </c>
    </row>
    <row r="4" spans="2:3" x14ac:dyDescent="0.25">
      <c r="B4" t="s">
        <v>71</v>
      </c>
      <c r="C4" s="19">
        <v>3</v>
      </c>
    </row>
    <row r="5" spans="2:3" x14ac:dyDescent="0.25">
      <c r="B5" t="s">
        <v>177</v>
      </c>
      <c r="C5" s="19">
        <v>5</v>
      </c>
    </row>
    <row r="6" spans="2:3" x14ac:dyDescent="0.25">
      <c r="B6" t="s">
        <v>178</v>
      </c>
      <c r="C6" s="19">
        <v>8</v>
      </c>
    </row>
    <row r="7" spans="2:3" x14ac:dyDescent="0.25">
      <c r="B7" t="s">
        <v>77</v>
      </c>
      <c r="C7" s="19">
        <v>7</v>
      </c>
    </row>
    <row r="8" spans="2:3" x14ac:dyDescent="0.25">
      <c r="B8" t="s">
        <v>69</v>
      </c>
      <c r="C8" s="19" t="s">
        <v>70</v>
      </c>
    </row>
    <row r="9" spans="2:3" x14ac:dyDescent="0.25">
      <c r="B9" t="s">
        <v>194</v>
      </c>
      <c r="C9" s="19">
        <v>5</v>
      </c>
    </row>
    <row r="10" spans="2:3" x14ac:dyDescent="0.25">
      <c r="B10" t="s">
        <v>183</v>
      </c>
      <c r="C10" s="19">
        <v>10</v>
      </c>
    </row>
  </sheetData>
  <dataValidations count="1">
    <dataValidation type="list" allowBlank="1" showInputMessage="1" showErrorMessage="1" sqref="C8" xr:uid="{8184300D-4D3F-4B58-AB8F-84CE47976FF1}">
      <formula1>"Yes,No"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BDC56-EEC7-4175-9F2B-B43652B5765B}">
  <dimension ref="A1:C100"/>
  <sheetViews>
    <sheetView showGridLines="0" workbookViewId="0"/>
  </sheetViews>
  <sheetFormatPr defaultRowHeight="30" customHeight="1" x14ac:dyDescent="0.25"/>
  <cols>
    <col min="1" max="1" width="13.28515625" style="176" bestFit="1" customWidth="1"/>
    <col min="2" max="3" width="9.140625" style="176"/>
    <col min="4" max="16384" width="9.140625" style="94"/>
  </cols>
  <sheetData>
    <row r="1" spans="1:3" ht="30" customHeight="1" thickBot="1" x14ac:dyDescent="0.3">
      <c r="A1" s="177" t="s">
        <v>203</v>
      </c>
      <c r="B1" s="177" t="s">
        <v>204</v>
      </c>
      <c r="C1" s="177" t="s">
        <v>21</v>
      </c>
    </row>
    <row r="2" spans="1:3" ht="30" customHeight="1" x14ac:dyDescent="0.25">
      <c r="A2" s="176" t="s">
        <v>205</v>
      </c>
      <c r="B2" s="176" cm="1">
        <f t="array" aca="1" ref="B2" ca="1">IF(A2="","",INDIRECT(A2&amp;"!D58"))</f>
        <v>10</v>
      </c>
      <c r="C2" s="176">
        <f ca="1">IF(A2="","",RANK(B2,B:B,FALSE))</f>
        <v>1</v>
      </c>
    </row>
    <row r="3" spans="1:3" ht="30" customHeight="1" x14ac:dyDescent="0.25">
      <c r="A3" s="176" t="s">
        <v>206</v>
      </c>
      <c r="B3" s="176" cm="1">
        <f t="array" aca="1" ref="B3" ca="1">IF(A3="","",INDIRECT(A3&amp;"!D58"))</f>
        <v>10</v>
      </c>
      <c r="C3" s="176">
        <f t="shared" ref="C3:C66" ca="1" si="0">IF(A3="","",RANK(B3,B:B,FALSE))</f>
        <v>1</v>
      </c>
    </row>
    <row r="4" spans="1:3" ht="30" customHeight="1" x14ac:dyDescent="0.25">
      <c r="A4" s="176" t="s">
        <v>208</v>
      </c>
      <c r="B4" s="176" cm="1">
        <f t="array" aca="1" ref="B4" ca="1">IF(A4="","",INDIRECT(A4&amp;"!D58"))</f>
        <v>10</v>
      </c>
      <c r="C4" s="176">
        <f t="shared" ca="1" si="0"/>
        <v>1</v>
      </c>
    </row>
    <row r="5" spans="1:3" ht="30" customHeight="1" x14ac:dyDescent="0.25">
      <c r="A5" s="176" t="s">
        <v>209</v>
      </c>
      <c r="B5" s="176" cm="1">
        <f t="array" aca="1" ref="B5" ca="1">IF(A5="","",INDIRECT(A5&amp;"!D58"))</f>
        <v>10</v>
      </c>
      <c r="C5" s="176">
        <f t="shared" ca="1" si="0"/>
        <v>1</v>
      </c>
    </row>
    <row r="6" spans="1:3" ht="30" customHeight="1" x14ac:dyDescent="0.25">
      <c r="A6" s="176" t="s">
        <v>210</v>
      </c>
      <c r="B6" s="176" cm="1">
        <f t="array" aca="1" ref="B6" ca="1">IF(A6="","",INDIRECT(A6&amp;"!D58"))</f>
        <v>10</v>
      </c>
      <c r="C6" s="176">
        <f t="shared" ca="1" si="0"/>
        <v>1</v>
      </c>
    </row>
    <row r="7" spans="1:3" ht="30" customHeight="1" x14ac:dyDescent="0.25">
      <c r="B7" s="176" t="str" cm="1">
        <f t="array" aca="1" ref="B7" ca="1">IF(A7="","",INDIRECT(A7&amp;"!D58"))</f>
        <v/>
      </c>
      <c r="C7" s="176" t="str">
        <f t="shared" si="0"/>
        <v/>
      </c>
    </row>
    <row r="8" spans="1:3" ht="30" customHeight="1" x14ac:dyDescent="0.25">
      <c r="B8" s="176" t="str" cm="1">
        <f t="array" aca="1" ref="B8" ca="1">IF(A8="","",INDIRECT(A8&amp;"!D58"))</f>
        <v/>
      </c>
      <c r="C8" s="176" t="str">
        <f t="shared" si="0"/>
        <v/>
      </c>
    </row>
    <row r="9" spans="1:3" ht="30" customHeight="1" x14ac:dyDescent="0.25">
      <c r="B9" s="176" t="str" cm="1">
        <f t="array" aca="1" ref="B9" ca="1">IF(A9="","",INDIRECT(A9&amp;"!D58"))</f>
        <v/>
      </c>
      <c r="C9" s="176" t="str">
        <f t="shared" si="0"/>
        <v/>
      </c>
    </row>
    <row r="10" spans="1:3" ht="30" customHeight="1" x14ac:dyDescent="0.25">
      <c r="B10" s="176" t="str" cm="1">
        <f t="array" aca="1" ref="B10" ca="1">IF(A10="","",INDIRECT(A10&amp;"!D58"))</f>
        <v/>
      </c>
      <c r="C10" s="176" t="str">
        <f t="shared" si="0"/>
        <v/>
      </c>
    </row>
    <row r="11" spans="1:3" ht="30" customHeight="1" x14ac:dyDescent="0.25">
      <c r="B11" s="176" t="str" cm="1">
        <f t="array" aca="1" ref="B11" ca="1">IF(A11="","",INDIRECT(A11&amp;"!D58"))</f>
        <v/>
      </c>
      <c r="C11" s="176" t="str">
        <f t="shared" si="0"/>
        <v/>
      </c>
    </row>
    <row r="12" spans="1:3" ht="30" customHeight="1" x14ac:dyDescent="0.25">
      <c r="B12" s="176" t="str" cm="1">
        <f t="array" aca="1" ref="B12" ca="1">IF(A12="","",INDIRECT(A12&amp;"!D58"))</f>
        <v/>
      </c>
      <c r="C12" s="176" t="str">
        <f t="shared" si="0"/>
        <v/>
      </c>
    </row>
    <row r="13" spans="1:3" ht="30" customHeight="1" x14ac:dyDescent="0.25">
      <c r="B13" s="176" t="str" cm="1">
        <f t="array" aca="1" ref="B13" ca="1">IF(A13="","",INDIRECT(A13&amp;"!D58"))</f>
        <v/>
      </c>
      <c r="C13" s="176" t="str">
        <f t="shared" si="0"/>
        <v/>
      </c>
    </row>
    <row r="14" spans="1:3" ht="30" customHeight="1" x14ac:dyDescent="0.25">
      <c r="B14" s="176" t="str" cm="1">
        <f t="array" aca="1" ref="B14" ca="1">IF(A14="","",INDIRECT(A14&amp;"!D58"))</f>
        <v/>
      </c>
      <c r="C14" s="176" t="str">
        <f t="shared" si="0"/>
        <v/>
      </c>
    </row>
    <row r="15" spans="1:3" ht="30" customHeight="1" x14ac:dyDescent="0.25">
      <c r="B15" s="176" t="str" cm="1">
        <f t="array" aca="1" ref="B15" ca="1">IF(A15="","",INDIRECT(A15&amp;"!D58"))</f>
        <v/>
      </c>
      <c r="C15" s="176" t="str">
        <f t="shared" si="0"/>
        <v/>
      </c>
    </row>
    <row r="16" spans="1:3" ht="30" customHeight="1" x14ac:dyDescent="0.25">
      <c r="B16" s="176" t="str" cm="1">
        <f t="array" aca="1" ref="B16" ca="1">IF(A16="","",INDIRECT(A16&amp;"!D58"))</f>
        <v/>
      </c>
      <c r="C16" s="176" t="str">
        <f t="shared" si="0"/>
        <v/>
      </c>
    </row>
    <row r="17" spans="2:3" ht="30" customHeight="1" x14ac:dyDescent="0.25">
      <c r="B17" s="176" t="str" cm="1">
        <f t="array" aca="1" ref="B17" ca="1">IF(A17="","",INDIRECT(A17&amp;"!D58"))</f>
        <v/>
      </c>
      <c r="C17" s="176" t="str">
        <f t="shared" si="0"/>
        <v/>
      </c>
    </row>
    <row r="18" spans="2:3" ht="30" customHeight="1" x14ac:dyDescent="0.25">
      <c r="B18" s="176" t="str" cm="1">
        <f t="array" aca="1" ref="B18" ca="1">IF(A18="","",INDIRECT(A18&amp;"!D58"))</f>
        <v/>
      </c>
      <c r="C18" s="176" t="str">
        <f t="shared" si="0"/>
        <v/>
      </c>
    </row>
    <row r="19" spans="2:3" ht="30" customHeight="1" x14ac:dyDescent="0.25">
      <c r="B19" s="176" t="str" cm="1">
        <f t="array" aca="1" ref="B19" ca="1">IF(A19="","",INDIRECT(A19&amp;"!D58"))</f>
        <v/>
      </c>
      <c r="C19" s="176" t="str">
        <f t="shared" si="0"/>
        <v/>
      </c>
    </row>
    <row r="20" spans="2:3" ht="30" customHeight="1" x14ac:dyDescent="0.25">
      <c r="B20" s="176" t="str" cm="1">
        <f t="array" aca="1" ref="B20" ca="1">IF(A20="","",INDIRECT(A20&amp;"!D58"))</f>
        <v/>
      </c>
      <c r="C20" s="176" t="str">
        <f t="shared" si="0"/>
        <v/>
      </c>
    </row>
    <row r="21" spans="2:3" ht="30" customHeight="1" x14ac:dyDescent="0.25">
      <c r="B21" s="176" t="str" cm="1">
        <f t="array" aca="1" ref="B21" ca="1">IF(A21="","",INDIRECT(A21&amp;"!D58"))</f>
        <v/>
      </c>
      <c r="C21" s="176" t="str">
        <f t="shared" si="0"/>
        <v/>
      </c>
    </row>
    <row r="22" spans="2:3" ht="30" customHeight="1" x14ac:dyDescent="0.25">
      <c r="B22" s="176" t="str" cm="1">
        <f t="array" aca="1" ref="B22" ca="1">IF(A22="","",INDIRECT(A22&amp;"!D58"))</f>
        <v/>
      </c>
      <c r="C22" s="176" t="str">
        <f t="shared" si="0"/>
        <v/>
      </c>
    </row>
    <row r="23" spans="2:3" ht="30" customHeight="1" x14ac:dyDescent="0.25">
      <c r="B23" s="176" t="str" cm="1">
        <f t="array" aca="1" ref="B23" ca="1">IF(A23="","",INDIRECT(A23&amp;"!D58"))</f>
        <v/>
      </c>
      <c r="C23" s="176" t="str">
        <f t="shared" si="0"/>
        <v/>
      </c>
    </row>
    <row r="24" spans="2:3" ht="30" customHeight="1" x14ac:dyDescent="0.25">
      <c r="B24" s="176" t="str" cm="1">
        <f t="array" aca="1" ref="B24" ca="1">IF(A24="","",INDIRECT(A24&amp;"!D58"))</f>
        <v/>
      </c>
      <c r="C24" s="176" t="str">
        <f t="shared" si="0"/>
        <v/>
      </c>
    </row>
    <row r="25" spans="2:3" ht="30" customHeight="1" x14ac:dyDescent="0.25">
      <c r="B25" s="176" t="str" cm="1">
        <f t="array" aca="1" ref="B25" ca="1">IF(A25="","",INDIRECT(A25&amp;"!D58"))</f>
        <v/>
      </c>
      <c r="C25" s="176" t="str">
        <f t="shared" si="0"/>
        <v/>
      </c>
    </row>
    <row r="26" spans="2:3" ht="30" customHeight="1" x14ac:dyDescent="0.25">
      <c r="B26" s="176" t="str" cm="1">
        <f t="array" aca="1" ref="B26" ca="1">IF(A26="","",INDIRECT(A26&amp;"!D58"))</f>
        <v/>
      </c>
      <c r="C26" s="176" t="str">
        <f t="shared" si="0"/>
        <v/>
      </c>
    </row>
    <row r="27" spans="2:3" ht="30" customHeight="1" x14ac:dyDescent="0.25">
      <c r="B27" s="176" t="str" cm="1">
        <f t="array" aca="1" ref="B27" ca="1">IF(A27="","",INDIRECT(A27&amp;"!D58"))</f>
        <v/>
      </c>
      <c r="C27" s="176" t="str">
        <f t="shared" si="0"/>
        <v/>
      </c>
    </row>
    <row r="28" spans="2:3" ht="30" customHeight="1" x14ac:dyDescent="0.25">
      <c r="B28" s="176" t="str" cm="1">
        <f t="array" aca="1" ref="B28" ca="1">IF(A28="","",INDIRECT(A28&amp;"!D58"))</f>
        <v/>
      </c>
      <c r="C28" s="176" t="str">
        <f t="shared" si="0"/>
        <v/>
      </c>
    </row>
    <row r="29" spans="2:3" ht="30" customHeight="1" x14ac:dyDescent="0.25">
      <c r="B29" s="176" t="str" cm="1">
        <f t="array" aca="1" ref="B29" ca="1">IF(A29="","",INDIRECT(A29&amp;"!D58"))</f>
        <v/>
      </c>
      <c r="C29" s="176" t="str">
        <f t="shared" si="0"/>
        <v/>
      </c>
    </row>
    <row r="30" spans="2:3" ht="30" customHeight="1" x14ac:dyDescent="0.25">
      <c r="B30" s="176" t="str" cm="1">
        <f t="array" aca="1" ref="B30" ca="1">IF(A30="","",INDIRECT(A30&amp;"!D58"))</f>
        <v/>
      </c>
      <c r="C30" s="176" t="str">
        <f t="shared" si="0"/>
        <v/>
      </c>
    </row>
    <row r="31" spans="2:3" ht="30" customHeight="1" x14ac:dyDescent="0.25">
      <c r="B31" s="176" t="str" cm="1">
        <f t="array" aca="1" ref="B31" ca="1">IF(A31="","",INDIRECT(A31&amp;"!D58"))</f>
        <v/>
      </c>
      <c r="C31" s="176" t="str">
        <f t="shared" si="0"/>
        <v/>
      </c>
    </row>
    <row r="32" spans="2:3" ht="30" customHeight="1" x14ac:dyDescent="0.25">
      <c r="B32" s="176" t="str" cm="1">
        <f t="array" aca="1" ref="B32" ca="1">IF(A32="","",INDIRECT(A32&amp;"!D58"))</f>
        <v/>
      </c>
      <c r="C32" s="176" t="str">
        <f t="shared" si="0"/>
        <v/>
      </c>
    </row>
    <row r="33" spans="2:3" ht="30" customHeight="1" x14ac:dyDescent="0.25">
      <c r="B33" s="176" t="str" cm="1">
        <f t="array" aca="1" ref="B33" ca="1">IF(A33="","",INDIRECT(A33&amp;"!D58"))</f>
        <v/>
      </c>
      <c r="C33" s="176" t="str">
        <f t="shared" si="0"/>
        <v/>
      </c>
    </row>
    <row r="34" spans="2:3" ht="30" customHeight="1" x14ac:dyDescent="0.25">
      <c r="B34" s="176" t="str" cm="1">
        <f t="array" aca="1" ref="B34" ca="1">IF(A34="","",INDIRECT(A34&amp;"!D58"))</f>
        <v/>
      </c>
      <c r="C34" s="176" t="str">
        <f t="shared" si="0"/>
        <v/>
      </c>
    </row>
    <row r="35" spans="2:3" ht="30" customHeight="1" x14ac:dyDescent="0.25">
      <c r="B35" s="176" t="str" cm="1">
        <f t="array" aca="1" ref="B35" ca="1">IF(A35="","",INDIRECT(A35&amp;"!D58"))</f>
        <v/>
      </c>
      <c r="C35" s="176" t="str">
        <f t="shared" si="0"/>
        <v/>
      </c>
    </row>
    <row r="36" spans="2:3" ht="30" customHeight="1" x14ac:dyDescent="0.25">
      <c r="B36" s="176" t="str" cm="1">
        <f t="array" aca="1" ref="B36" ca="1">IF(A36="","",INDIRECT(A36&amp;"!D58"))</f>
        <v/>
      </c>
      <c r="C36" s="176" t="str">
        <f t="shared" si="0"/>
        <v/>
      </c>
    </row>
    <row r="37" spans="2:3" ht="30" customHeight="1" x14ac:dyDescent="0.25">
      <c r="B37" s="176" t="str" cm="1">
        <f t="array" aca="1" ref="B37" ca="1">IF(A37="","",INDIRECT(A37&amp;"!D58"))</f>
        <v/>
      </c>
      <c r="C37" s="176" t="str">
        <f t="shared" si="0"/>
        <v/>
      </c>
    </row>
    <row r="38" spans="2:3" ht="30" customHeight="1" x14ac:dyDescent="0.25">
      <c r="B38" s="176" t="str" cm="1">
        <f t="array" aca="1" ref="B38" ca="1">IF(A38="","",INDIRECT(A38&amp;"!D58"))</f>
        <v/>
      </c>
      <c r="C38" s="176" t="str">
        <f t="shared" si="0"/>
        <v/>
      </c>
    </row>
    <row r="39" spans="2:3" ht="30" customHeight="1" x14ac:dyDescent="0.25">
      <c r="B39" s="176" t="str" cm="1">
        <f t="array" aca="1" ref="B39" ca="1">IF(A39="","",INDIRECT(A39&amp;"!D58"))</f>
        <v/>
      </c>
      <c r="C39" s="176" t="str">
        <f t="shared" si="0"/>
        <v/>
      </c>
    </row>
    <row r="40" spans="2:3" ht="30" customHeight="1" x14ac:dyDescent="0.25">
      <c r="B40" s="176" t="str" cm="1">
        <f t="array" aca="1" ref="B40" ca="1">IF(A40="","",INDIRECT(A40&amp;"!D58"))</f>
        <v/>
      </c>
      <c r="C40" s="176" t="str">
        <f t="shared" si="0"/>
        <v/>
      </c>
    </row>
    <row r="41" spans="2:3" ht="30" customHeight="1" x14ac:dyDescent="0.25">
      <c r="B41" s="176" t="str" cm="1">
        <f t="array" aca="1" ref="B41" ca="1">IF(A41="","",INDIRECT(A41&amp;"!D58"))</f>
        <v/>
      </c>
      <c r="C41" s="176" t="str">
        <f t="shared" si="0"/>
        <v/>
      </c>
    </row>
    <row r="42" spans="2:3" ht="30" customHeight="1" x14ac:dyDescent="0.25">
      <c r="B42" s="176" t="str" cm="1">
        <f t="array" aca="1" ref="B42" ca="1">IF(A42="","",INDIRECT(A42&amp;"!D58"))</f>
        <v/>
      </c>
      <c r="C42" s="176" t="str">
        <f t="shared" si="0"/>
        <v/>
      </c>
    </row>
    <row r="43" spans="2:3" ht="30" customHeight="1" x14ac:dyDescent="0.25">
      <c r="B43" s="176" t="str" cm="1">
        <f t="array" aca="1" ref="B43" ca="1">IF(A43="","",INDIRECT(A43&amp;"!D58"))</f>
        <v/>
      </c>
      <c r="C43" s="176" t="str">
        <f t="shared" si="0"/>
        <v/>
      </c>
    </row>
    <row r="44" spans="2:3" ht="30" customHeight="1" x14ac:dyDescent="0.25">
      <c r="B44" s="176" t="str" cm="1">
        <f t="array" aca="1" ref="B44" ca="1">IF(A44="","",INDIRECT(A44&amp;"!D58"))</f>
        <v/>
      </c>
      <c r="C44" s="176" t="str">
        <f t="shared" si="0"/>
        <v/>
      </c>
    </row>
    <row r="45" spans="2:3" ht="30" customHeight="1" x14ac:dyDescent="0.25">
      <c r="B45" s="176" t="str" cm="1">
        <f t="array" aca="1" ref="B45" ca="1">IF(A45="","",INDIRECT(A45&amp;"!D58"))</f>
        <v/>
      </c>
      <c r="C45" s="176" t="str">
        <f t="shared" si="0"/>
        <v/>
      </c>
    </row>
    <row r="46" spans="2:3" ht="30" customHeight="1" x14ac:dyDescent="0.25">
      <c r="B46" s="176" t="str" cm="1">
        <f t="array" aca="1" ref="B46" ca="1">IF(A46="","",INDIRECT(A46&amp;"!D58"))</f>
        <v/>
      </c>
      <c r="C46" s="176" t="str">
        <f t="shared" si="0"/>
        <v/>
      </c>
    </row>
    <row r="47" spans="2:3" ht="30" customHeight="1" x14ac:dyDescent="0.25">
      <c r="B47" s="176" t="str" cm="1">
        <f t="array" aca="1" ref="B47" ca="1">IF(A47="","",INDIRECT(A47&amp;"!D58"))</f>
        <v/>
      </c>
      <c r="C47" s="176" t="str">
        <f t="shared" si="0"/>
        <v/>
      </c>
    </row>
    <row r="48" spans="2:3" ht="30" customHeight="1" x14ac:dyDescent="0.25">
      <c r="B48" s="176" t="str" cm="1">
        <f t="array" aca="1" ref="B48" ca="1">IF(A48="","",INDIRECT(A48&amp;"!D58"))</f>
        <v/>
      </c>
      <c r="C48" s="176" t="str">
        <f t="shared" si="0"/>
        <v/>
      </c>
    </row>
    <row r="49" spans="2:3" ht="30" customHeight="1" x14ac:dyDescent="0.25">
      <c r="B49" s="176" t="str" cm="1">
        <f t="array" aca="1" ref="B49" ca="1">IF(A49="","",INDIRECT(A49&amp;"!D58"))</f>
        <v/>
      </c>
      <c r="C49" s="176" t="str">
        <f t="shared" si="0"/>
        <v/>
      </c>
    </row>
    <row r="50" spans="2:3" ht="30" customHeight="1" x14ac:dyDescent="0.25">
      <c r="B50" s="176" t="str" cm="1">
        <f t="array" aca="1" ref="B50" ca="1">IF(A50="","",INDIRECT(A50&amp;"!D58"))</f>
        <v/>
      </c>
      <c r="C50" s="176" t="str">
        <f t="shared" si="0"/>
        <v/>
      </c>
    </row>
    <row r="51" spans="2:3" ht="30" customHeight="1" x14ac:dyDescent="0.25">
      <c r="B51" s="176" t="str" cm="1">
        <f t="array" aca="1" ref="B51" ca="1">IF(A51="","",INDIRECT(A51&amp;"!D58"))</f>
        <v/>
      </c>
      <c r="C51" s="176" t="str">
        <f t="shared" si="0"/>
        <v/>
      </c>
    </row>
    <row r="52" spans="2:3" ht="30" customHeight="1" x14ac:dyDescent="0.25">
      <c r="B52" s="176" t="str" cm="1">
        <f t="array" aca="1" ref="B52" ca="1">IF(A52="","",INDIRECT(A52&amp;"!D58"))</f>
        <v/>
      </c>
      <c r="C52" s="176" t="str">
        <f t="shared" si="0"/>
        <v/>
      </c>
    </row>
    <row r="53" spans="2:3" ht="30" customHeight="1" x14ac:dyDescent="0.25">
      <c r="B53" s="176" t="str" cm="1">
        <f t="array" aca="1" ref="B53" ca="1">IF(A53="","",INDIRECT(A53&amp;"!D58"))</f>
        <v/>
      </c>
      <c r="C53" s="176" t="str">
        <f t="shared" si="0"/>
        <v/>
      </c>
    </row>
    <row r="54" spans="2:3" ht="30" customHeight="1" x14ac:dyDescent="0.25">
      <c r="B54" s="176" t="str" cm="1">
        <f t="array" aca="1" ref="B54" ca="1">IF(A54="","",INDIRECT(A54&amp;"!D58"))</f>
        <v/>
      </c>
      <c r="C54" s="176" t="str">
        <f t="shared" si="0"/>
        <v/>
      </c>
    </row>
    <row r="55" spans="2:3" ht="30" customHeight="1" x14ac:dyDescent="0.25">
      <c r="B55" s="176" t="str" cm="1">
        <f t="array" aca="1" ref="B55" ca="1">IF(A55="","",INDIRECT(A55&amp;"!D58"))</f>
        <v/>
      </c>
      <c r="C55" s="176" t="str">
        <f t="shared" si="0"/>
        <v/>
      </c>
    </row>
    <row r="56" spans="2:3" ht="30" customHeight="1" x14ac:dyDescent="0.25">
      <c r="B56" s="176" t="str" cm="1">
        <f t="array" aca="1" ref="B56" ca="1">IF(A56="","",INDIRECT(A56&amp;"!D58"))</f>
        <v/>
      </c>
      <c r="C56" s="176" t="str">
        <f t="shared" si="0"/>
        <v/>
      </c>
    </row>
    <row r="57" spans="2:3" ht="30" customHeight="1" x14ac:dyDescent="0.25">
      <c r="B57" s="176" t="str" cm="1">
        <f t="array" aca="1" ref="B57" ca="1">IF(A57="","",INDIRECT(A57&amp;"!D58"))</f>
        <v/>
      </c>
      <c r="C57" s="176" t="str">
        <f t="shared" si="0"/>
        <v/>
      </c>
    </row>
    <row r="58" spans="2:3" ht="30" customHeight="1" x14ac:dyDescent="0.25">
      <c r="B58" s="176" t="str" cm="1">
        <f t="array" aca="1" ref="B58" ca="1">IF(A58="","",INDIRECT(A58&amp;"!D58"))</f>
        <v/>
      </c>
      <c r="C58" s="176" t="str">
        <f t="shared" si="0"/>
        <v/>
      </c>
    </row>
    <row r="59" spans="2:3" ht="30" customHeight="1" x14ac:dyDescent="0.25">
      <c r="B59" s="176" t="str" cm="1">
        <f t="array" aca="1" ref="B59" ca="1">IF(A59="","",INDIRECT(A59&amp;"!D58"))</f>
        <v/>
      </c>
      <c r="C59" s="176" t="str">
        <f t="shared" si="0"/>
        <v/>
      </c>
    </row>
    <row r="60" spans="2:3" ht="30" customHeight="1" x14ac:dyDescent="0.25">
      <c r="B60" s="176" t="str" cm="1">
        <f t="array" aca="1" ref="B60" ca="1">IF(A60="","",INDIRECT(A60&amp;"!D58"))</f>
        <v/>
      </c>
      <c r="C60" s="176" t="str">
        <f t="shared" si="0"/>
        <v/>
      </c>
    </row>
    <row r="61" spans="2:3" ht="30" customHeight="1" x14ac:dyDescent="0.25">
      <c r="B61" s="176" t="str" cm="1">
        <f t="array" aca="1" ref="B61" ca="1">IF(A61="","",INDIRECT(A61&amp;"!D58"))</f>
        <v/>
      </c>
      <c r="C61" s="176" t="str">
        <f t="shared" si="0"/>
        <v/>
      </c>
    </row>
    <row r="62" spans="2:3" ht="30" customHeight="1" x14ac:dyDescent="0.25">
      <c r="B62" s="176" t="str" cm="1">
        <f t="array" aca="1" ref="B62" ca="1">IF(A62="","",INDIRECT(A62&amp;"!D58"))</f>
        <v/>
      </c>
      <c r="C62" s="176" t="str">
        <f t="shared" si="0"/>
        <v/>
      </c>
    </row>
    <row r="63" spans="2:3" ht="30" customHeight="1" x14ac:dyDescent="0.25">
      <c r="B63" s="176" t="str" cm="1">
        <f t="array" aca="1" ref="B63" ca="1">IF(A63="","",INDIRECT(A63&amp;"!D58"))</f>
        <v/>
      </c>
      <c r="C63" s="176" t="str">
        <f t="shared" si="0"/>
        <v/>
      </c>
    </row>
    <row r="64" spans="2:3" ht="30" customHeight="1" x14ac:dyDescent="0.25">
      <c r="B64" s="176" t="str" cm="1">
        <f t="array" aca="1" ref="B64" ca="1">IF(A64="","",INDIRECT(A64&amp;"!D58"))</f>
        <v/>
      </c>
      <c r="C64" s="176" t="str">
        <f t="shared" si="0"/>
        <v/>
      </c>
    </row>
    <row r="65" spans="2:3" ht="30" customHeight="1" x14ac:dyDescent="0.25">
      <c r="B65" s="176" t="str" cm="1">
        <f t="array" aca="1" ref="B65" ca="1">IF(A65="","",INDIRECT(A65&amp;"!D58"))</f>
        <v/>
      </c>
      <c r="C65" s="176" t="str">
        <f t="shared" si="0"/>
        <v/>
      </c>
    </row>
    <row r="66" spans="2:3" ht="30" customHeight="1" x14ac:dyDescent="0.25">
      <c r="B66" s="176" t="str" cm="1">
        <f t="array" aca="1" ref="B66" ca="1">IF(A66="","",INDIRECT(A66&amp;"!D58"))</f>
        <v/>
      </c>
      <c r="C66" s="176" t="str">
        <f t="shared" si="0"/>
        <v/>
      </c>
    </row>
    <row r="67" spans="2:3" ht="30" customHeight="1" x14ac:dyDescent="0.25">
      <c r="B67" s="176" t="str" cm="1">
        <f t="array" aca="1" ref="B67" ca="1">IF(A67="","",INDIRECT(A67&amp;"!D58"))</f>
        <v/>
      </c>
      <c r="C67" s="176" t="str">
        <f t="shared" ref="C67:C100" si="1">IF(A67="","",RANK(B67,B:B,FALSE))</f>
        <v/>
      </c>
    </row>
    <row r="68" spans="2:3" ht="30" customHeight="1" x14ac:dyDescent="0.25">
      <c r="B68" s="176" t="str" cm="1">
        <f t="array" aca="1" ref="B68" ca="1">IF(A68="","",INDIRECT(A68&amp;"!D58"))</f>
        <v/>
      </c>
      <c r="C68" s="176" t="str">
        <f t="shared" si="1"/>
        <v/>
      </c>
    </row>
    <row r="69" spans="2:3" ht="30" customHeight="1" x14ac:dyDescent="0.25">
      <c r="B69" s="176" t="str" cm="1">
        <f t="array" aca="1" ref="B69" ca="1">IF(A69="","",INDIRECT(A69&amp;"!D58"))</f>
        <v/>
      </c>
      <c r="C69" s="176" t="str">
        <f t="shared" si="1"/>
        <v/>
      </c>
    </row>
    <row r="70" spans="2:3" ht="30" customHeight="1" x14ac:dyDescent="0.25">
      <c r="B70" s="176" t="str" cm="1">
        <f t="array" aca="1" ref="B70" ca="1">IF(A70="","",INDIRECT(A70&amp;"!D58"))</f>
        <v/>
      </c>
      <c r="C70" s="176" t="str">
        <f t="shared" si="1"/>
        <v/>
      </c>
    </row>
    <row r="71" spans="2:3" ht="30" customHeight="1" x14ac:dyDescent="0.25">
      <c r="B71" s="176" t="str" cm="1">
        <f t="array" aca="1" ref="B71" ca="1">IF(A71="","",INDIRECT(A71&amp;"!D58"))</f>
        <v/>
      </c>
      <c r="C71" s="176" t="str">
        <f t="shared" si="1"/>
        <v/>
      </c>
    </row>
    <row r="72" spans="2:3" ht="30" customHeight="1" x14ac:dyDescent="0.25">
      <c r="B72" s="176" t="str" cm="1">
        <f t="array" aca="1" ref="B72" ca="1">IF(A72="","",INDIRECT(A72&amp;"!D58"))</f>
        <v/>
      </c>
      <c r="C72" s="176" t="str">
        <f t="shared" si="1"/>
        <v/>
      </c>
    </row>
    <row r="73" spans="2:3" ht="30" customHeight="1" x14ac:dyDescent="0.25">
      <c r="B73" s="176" t="str" cm="1">
        <f t="array" aca="1" ref="B73" ca="1">IF(A73="","",INDIRECT(A73&amp;"!D58"))</f>
        <v/>
      </c>
      <c r="C73" s="176" t="str">
        <f t="shared" si="1"/>
        <v/>
      </c>
    </row>
    <row r="74" spans="2:3" ht="30" customHeight="1" x14ac:dyDescent="0.25">
      <c r="B74" s="176" t="str" cm="1">
        <f t="array" aca="1" ref="B74" ca="1">IF(A74="","",INDIRECT(A74&amp;"!D58"))</f>
        <v/>
      </c>
      <c r="C74" s="176" t="str">
        <f t="shared" si="1"/>
        <v/>
      </c>
    </row>
    <row r="75" spans="2:3" ht="30" customHeight="1" x14ac:dyDescent="0.25">
      <c r="B75" s="176" t="str" cm="1">
        <f t="array" aca="1" ref="B75" ca="1">IF(A75="","",INDIRECT(A75&amp;"!D58"))</f>
        <v/>
      </c>
      <c r="C75" s="176" t="str">
        <f t="shared" si="1"/>
        <v/>
      </c>
    </row>
    <row r="76" spans="2:3" ht="30" customHeight="1" x14ac:dyDescent="0.25">
      <c r="B76" s="176" t="str" cm="1">
        <f t="array" aca="1" ref="B76" ca="1">IF(A76="","",INDIRECT(A76&amp;"!D58"))</f>
        <v/>
      </c>
      <c r="C76" s="176" t="str">
        <f t="shared" si="1"/>
        <v/>
      </c>
    </row>
    <row r="77" spans="2:3" ht="30" customHeight="1" x14ac:dyDescent="0.25">
      <c r="B77" s="176" t="str" cm="1">
        <f t="array" aca="1" ref="B77" ca="1">IF(A77="","",INDIRECT(A77&amp;"!D58"))</f>
        <v/>
      </c>
      <c r="C77" s="176" t="str">
        <f t="shared" si="1"/>
        <v/>
      </c>
    </row>
    <row r="78" spans="2:3" ht="30" customHeight="1" x14ac:dyDescent="0.25">
      <c r="B78" s="176" t="str" cm="1">
        <f t="array" aca="1" ref="B78" ca="1">IF(A78="","",INDIRECT(A78&amp;"!D58"))</f>
        <v/>
      </c>
      <c r="C78" s="176" t="str">
        <f t="shared" si="1"/>
        <v/>
      </c>
    </row>
    <row r="79" spans="2:3" ht="30" customHeight="1" x14ac:dyDescent="0.25">
      <c r="B79" s="176" t="str" cm="1">
        <f t="array" aca="1" ref="B79" ca="1">IF(A79="","",INDIRECT(A79&amp;"!D58"))</f>
        <v/>
      </c>
      <c r="C79" s="176" t="str">
        <f t="shared" si="1"/>
        <v/>
      </c>
    </row>
    <row r="80" spans="2:3" ht="30" customHeight="1" x14ac:dyDescent="0.25">
      <c r="B80" s="176" t="str" cm="1">
        <f t="array" aca="1" ref="B80" ca="1">IF(A80="","",INDIRECT(A80&amp;"!D58"))</f>
        <v/>
      </c>
      <c r="C80" s="176" t="str">
        <f t="shared" si="1"/>
        <v/>
      </c>
    </row>
    <row r="81" spans="2:3" ht="30" customHeight="1" x14ac:dyDescent="0.25">
      <c r="B81" s="176" t="str" cm="1">
        <f t="array" aca="1" ref="B81" ca="1">IF(A81="","",INDIRECT(A81&amp;"!D58"))</f>
        <v/>
      </c>
      <c r="C81" s="176" t="str">
        <f t="shared" si="1"/>
        <v/>
      </c>
    </row>
    <row r="82" spans="2:3" ht="30" customHeight="1" x14ac:dyDescent="0.25">
      <c r="B82" s="176" t="str" cm="1">
        <f t="array" aca="1" ref="B82" ca="1">IF(A82="","",INDIRECT(A82&amp;"!D58"))</f>
        <v/>
      </c>
      <c r="C82" s="176" t="str">
        <f t="shared" si="1"/>
        <v/>
      </c>
    </row>
    <row r="83" spans="2:3" ht="30" customHeight="1" x14ac:dyDescent="0.25">
      <c r="B83" s="176" t="str" cm="1">
        <f t="array" aca="1" ref="B83" ca="1">IF(A83="","",INDIRECT(A83&amp;"!D58"))</f>
        <v/>
      </c>
      <c r="C83" s="176" t="str">
        <f t="shared" si="1"/>
        <v/>
      </c>
    </row>
    <row r="84" spans="2:3" ht="30" customHeight="1" x14ac:dyDescent="0.25">
      <c r="B84" s="176" t="str" cm="1">
        <f t="array" aca="1" ref="B84" ca="1">IF(A84="","",INDIRECT(A84&amp;"!D58"))</f>
        <v/>
      </c>
      <c r="C84" s="176" t="str">
        <f t="shared" si="1"/>
        <v/>
      </c>
    </row>
    <row r="85" spans="2:3" ht="30" customHeight="1" x14ac:dyDescent="0.25">
      <c r="B85" s="176" t="str" cm="1">
        <f t="array" aca="1" ref="B85" ca="1">IF(A85="","",INDIRECT(A85&amp;"!D58"))</f>
        <v/>
      </c>
      <c r="C85" s="176" t="str">
        <f t="shared" si="1"/>
        <v/>
      </c>
    </row>
    <row r="86" spans="2:3" ht="30" customHeight="1" x14ac:dyDescent="0.25">
      <c r="B86" s="176" t="str" cm="1">
        <f t="array" aca="1" ref="B86" ca="1">IF(A86="","",INDIRECT(A86&amp;"!D58"))</f>
        <v/>
      </c>
      <c r="C86" s="176" t="str">
        <f t="shared" si="1"/>
        <v/>
      </c>
    </row>
    <row r="87" spans="2:3" ht="30" customHeight="1" x14ac:dyDescent="0.25">
      <c r="B87" s="176" t="str" cm="1">
        <f t="array" aca="1" ref="B87" ca="1">IF(A87="","",INDIRECT(A87&amp;"!D58"))</f>
        <v/>
      </c>
      <c r="C87" s="176" t="str">
        <f t="shared" si="1"/>
        <v/>
      </c>
    </row>
    <row r="88" spans="2:3" ht="30" customHeight="1" x14ac:dyDescent="0.25">
      <c r="B88" s="176" t="str" cm="1">
        <f t="array" aca="1" ref="B88" ca="1">IF(A88="","",INDIRECT(A88&amp;"!D58"))</f>
        <v/>
      </c>
      <c r="C88" s="176" t="str">
        <f t="shared" si="1"/>
        <v/>
      </c>
    </row>
    <row r="89" spans="2:3" ht="30" customHeight="1" x14ac:dyDescent="0.25">
      <c r="B89" s="176" t="str" cm="1">
        <f t="array" aca="1" ref="B89" ca="1">IF(A89="","",INDIRECT(A89&amp;"!D58"))</f>
        <v/>
      </c>
      <c r="C89" s="176" t="str">
        <f t="shared" si="1"/>
        <v/>
      </c>
    </row>
    <row r="90" spans="2:3" ht="30" customHeight="1" x14ac:dyDescent="0.25">
      <c r="B90" s="176" t="str" cm="1">
        <f t="array" aca="1" ref="B90" ca="1">IF(A90="","",INDIRECT(A90&amp;"!D58"))</f>
        <v/>
      </c>
      <c r="C90" s="176" t="str">
        <f t="shared" si="1"/>
        <v/>
      </c>
    </row>
    <row r="91" spans="2:3" ht="30" customHeight="1" x14ac:dyDescent="0.25">
      <c r="B91" s="176" t="str" cm="1">
        <f t="array" aca="1" ref="B91" ca="1">IF(A91="","",INDIRECT(A91&amp;"!D58"))</f>
        <v/>
      </c>
      <c r="C91" s="176" t="str">
        <f t="shared" si="1"/>
        <v/>
      </c>
    </row>
    <row r="92" spans="2:3" ht="30" customHeight="1" x14ac:dyDescent="0.25">
      <c r="B92" s="176" t="str" cm="1">
        <f t="array" aca="1" ref="B92" ca="1">IF(A92="","",INDIRECT(A92&amp;"!D58"))</f>
        <v/>
      </c>
      <c r="C92" s="176" t="str">
        <f t="shared" si="1"/>
        <v/>
      </c>
    </row>
    <row r="93" spans="2:3" ht="30" customHeight="1" x14ac:dyDescent="0.25">
      <c r="B93" s="176" t="str" cm="1">
        <f t="array" aca="1" ref="B93" ca="1">IF(A93="","",INDIRECT(A93&amp;"!D58"))</f>
        <v/>
      </c>
      <c r="C93" s="176" t="str">
        <f t="shared" si="1"/>
        <v/>
      </c>
    </row>
    <row r="94" spans="2:3" ht="30" customHeight="1" x14ac:dyDescent="0.25">
      <c r="B94" s="176" t="str" cm="1">
        <f t="array" aca="1" ref="B94" ca="1">IF(A94="","",INDIRECT(A94&amp;"!D58"))</f>
        <v/>
      </c>
      <c r="C94" s="176" t="str">
        <f t="shared" si="1"/>
        <v/>
      </c>
    </row>
    <row r="95" spans="2:3" ht="30" customHeight="1" x14ac:dyDescent="0.25">
      <c r="B95" s="176" t="str" cm="1">
        <f t="array" aca="1" ref="B95" ca="1">IF(A95="","",INDIRECT(A95&amp;"!D58"))</f>
        <v/>
      </c>
      <c r="C95" s="176" t="str">
        <f t="shared" si="1"/>
        <v/>
      </c>
    </row>
    <row r="96" spans="2:3" ht="30" customHeight="1" x14ac:dyDescent="0.25">
      <c r="B96" s="176" t="str" cm="1">
        <f t="array" aca="1" ref="B96" ca="1">IF(A96="","",INDIRECT(A96&amp;"!D58"))</f>
        <v/>
      </c>
      <c r="C96" s="176" t="str">
        <f t="shared" si="1"/>
        <v/>
      </c>
    </row>
    <row r="97" spans="2:3" ht="30" customHeight="1" x14ac:dyDescent="0.25">
      <c r="B97" s="176" t="str" cm="1">
        <f t="array" aca="1" ref="B97" ca="1">IF(A97="","",INDIRECT(A97&amp;"!D58"))</f>
        <v/>
      </c>
      <c r="C97" s="176" t="str">
        <f t="shared" si="1"/>
        <v/>
      </c>
    </row>
    <row r="98" spans="2:3" ht="30" customHeight="1" x14ac:dyDescent="0.25">
      <c r="B98" s="176" t="str" cm="1">
        <f t="array" aca="1" ref="B98" ca="1">IF(A98="","",INDIRECT(A98&amp;"!D58"))</f>
        <v/>
      </c>
      <c r="C98" s="176" t="str">
        <f t="shared" si="1"/>
        <v/>
      </c>
    </row>
    <row r="99" spans="2:3" ht="30" customHeight="1" x14ac:dyDescent="0.25">
      <c r="B99" s="176" t="str" cm="1">
        <f t="array" aca="1" ref="B99" ca="1">IF(A99="","",INDIRECT(A99&amp;"!D58"))</f>
        <v/>
      </c>
      <c r="C99" s="176" t="str">
        <f t="shared" si="1"/>
        <v/>
      </c>
    </row>
    <row r="100" spans="2:3" ht="30" customHeight="1" x14ac:dyDescent="0.25">
      <c r="B100" s="176" t="str" cm="1">
        <f t="array" aca="1" ref="B100" ca="1">IF(A100="","",INDIRECT(A100&amp;"!D58"))</f>
        <v/>
      </c>
      <c r="C100" s="176" t="str">
        <f t="shared" si="1"/>
        <v/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6B159-32D5-4A6B-B8BA-84598304AA59}">
  <sheetPr>
    <tabColor theme="0"/>
  </sheetPr>
  <dimension ref="A1:AH25"/>
  <sheetViews>
    <sheetView showGridLines="0" zoomScaleNormal="100" workbookViewId="0">
      <selection activeCell="G3" sqref="G3"/>
    </sheetView>
  </sheetViews>
  <sheetFormatPr defaultRowHeight="15" x14ac:dyDescent="0.25"/>
  <cols>
    <col min="1" max="1" width="8.7109375" style="93" customWidth="1"/>
    <col min="2" max="5" width="18.7109375" style="164" customWidth="1"/>
    <col min="6" max="6" width="4.5703125" style="96" customWidth="1"/>
    <col min="7" max="7" width="18.7109375" style="110" customWidth="1"/>
    <col min="8" max="8" width="18.7109375" style="111" customWidth="1"/>
    <col min="9" max="15" width="18.7109375" style="96" hidden="1" customWidth="1"/>
    <col min="16" max="34" width="9.140625" hidden="1" customWidth="1"/>
  </cols>
  <sheetData>
    <row r="1" spans="1:33" ht="31.5" x14ac:dyDescent="0.25">
      <c r="A1" s="95"/>
      <c r="B1" s="162" t="s">
        <v>190</v>
      </c>
      <c r="C1" s="162"/>
      <c r="D1" s="162"/>
      <c r="E1" s="162"/>
      <c r="F1" s="100"/>
      <c r="G1" s="104"/>
      <c r="H1" s="104"/>
      <c r="I1" s="98"/>
      <c r="J1" s="98"/>
      <c r="K1" s="98"/>
      <c r="L1" s="98"/>
      <c r="M1" s="98"/>
      <c r="N1" s="98"/>
      <c r="O1" s="98"/>
    </row>
    <row r="2" spans="1:33" s="94" customFormat="1" ht="30" customHeight="1" thickBot="1" x14ac:dyDescent="0.3">
      <c r="A2" s="101" cm="1">
        <f t="array" ref="A2:A23">_xlfn.UNIQUE(ACTUALS!AC4:AC54)</f>
        <v>45457</v>
      </c>
      <c r="B2" s="163" t="str">
        <f ca="1">IF(V2="","",(OFFSET(tblActuals[[#Headers],[TEAMS]],V2,0))&amp;CHAR(10)&amp;TEXT(OFFSET(tblActuals[[#Headers],[YOUR LOCAL TIME]],V2,0),IF($H$3="AM/PM","hh:mm am/pm","hh:mm")))</f>
        <v>Germany - Scotland
03:00 PM</v>
      </c>
      <c r="C2" s="163" t="str">
        <f ca="1">IF(W2="","",(OFFSET(tblActuals[[#Headers],[TEAMS]],W2,0))&amp;CHAR(10)&amp;TEXT(OFFSET(tblActuals[[#Headers],[YOUR LOCAL TIME]],W2,0),IF($H$3="AM/PM","hh:mm am/pm","hh:mm")))</f>
        <v/>
      </c>
      <c r="D2" s="163" t="str">
        <f ca="1">IF(X2="","",(OFFSET(tblActuals[[#Headers],[TEAMS]],X2,0))&amp;CHAR(10)&amp;TEXT(OFFSET(tblActuals[[#Headers],[YOUR LOCAL TIME]],X2,0),IF($H$3="AM/PM","hh:mm am/pm","hh:mm")))</f>
        <v/>
      </c>
      <c r="E2" s="163" t="str">
        <f ca="1">IF(Y2="","",(OFFSET(tblActuals[[#Headers],[TEAMS]],Y2,0))&amp;CHAR(10)&amp;TEXT(OFFSET(tblActuals[[#Headers],[YOUR LOCAL TIME]],Y2,0),IF($H$3="AM/PM","hh:mm am/pm","hh:mm")))</f>
        <v/>
      </c>
      <c r="G2" s="105" t="s">
        <v>49</v>
      </c>
      <c r="H2" s="105" t="s">
        <v>188</v>
      </c>
      <c r="I2" s="99"/>
      <c r="J2" s="99"/>
      <c r="K2" s="99"/>
      <c r="L2" s="98"/>
      <c r="M2" s="99"/>
      <c r="N2" s="99"/>
      <c r="O2" s="99"/>
      <c r="Q2" s="94">
        <f>IF(V2="","",MATCH(V2,ACTUALS!$AD:$AD,0)-3)</f>
        <v>1</v>
      </c>
      <c r="R2" s="94" t="str">
        <f>IF(W2="","",MATCH(W2,ACTUALS!$AD:$AD,0)-3)</f>
        <v/>
      </c>
      <c r="S2" s="94" t="str">
        <f>IF(X2="","",MATCH(X2,ACTUALS!$AD:$AD,0)-3)</f>
        <v/>
      </c>
      <c r="T2" s="94" t="str">
        <f>IF(Y2="","",MATCH(Y2,ACTUALS!$AD:$AD,0)-3)</f>
        <v/>
      </c>
      <c r="V2" s="94" cm="1">
        <f t="array" ref="V2">IFERROR(_xlfn.AGGREGATE(15, 6, (ACTUALS!$AD$4:$AD$54) / (ACTUALS!$AC$4:$AC$54=$A2), COLUMN(A1)),"")</f>
        <v>1.4</v>
      </c>
      <c r="W2" s="94" t="str" cm="1">
        <f t="array" ref="W2">IFERROR(_xlfn.AGGREGATE(15, 6, (ACTUALS!$B$4:$B$54) / (ACTUALS!$AC$4:$AC$54=$A2), COLUMN(B1)),"")</f>
        <v/>
      </c>
      <c r="X2" s="94" t="str" cm="1">
        <f t="array" ref="X2">IFERROR(_xlfn.AGGREGATE(15, 6, (ACTUALS!$B$4:$B$54) / (ACTUALS!$AC$4:$AC$54=$A2), COLUMN(C1)),"")</f>
        <v/>
      </c>
      <c r="Y2" s="94" t="str" cm="1">
        <f t="array" ref="Y2">IFERROR(_xlfn.AGGREGATE(15, 6, (ACTUALS!$B$4:$B$54) / (ACTUALS!$AC$4:$AC$54=$A2), COLUMN(D1)),"")</f>
        <v/>
      </c>
      <c r="AD2" s="94" cm="1">
        <f t="array" ref="AD2">IF($G$3="",0,SUM(IFERROR(FIND(TeamstoWatch,B2,1),0)))</f>
        <v>0</v>
      </c>
      <c r="AE2" s="94" cm="1">
        <f t="array" ref="AE2">IF($G$3="",0,SUM(IFERROR(FIND(TeamstoWatch,C2,1),0)))</f>
        <v>0</v>
      </c>
      <c r="AF2" s="94" cm="1">
        <f t="array" ref="AF2">IF($G$3="",0,SUM(IFERROR(FIND(TeamstoWatch,D2,1),0)))</f>
        <v>0</v>
      </c>
      <c r="AG2" s="94" cm="1">
        <f t="array" ref="AG2">IF($G$3="",0,SUM(IFERROR(FIND(TeamstoWatch,E2,1),0)))</f>
        <v>0</v>
      </c>
    </row>
    <row r="3" spans="1:33" s="94" customFormat="1" ht="30" customHeight="1" x14ac:dyDescent="0.25">
      <c r="A3" s="102">
        <v>45458</v>
      </c>
      <c r="B3" s="163" t="str">
        <f ca="1">IF(Q3="","",(OFFSET(tblActuals[[#Headers],[TEAMS]],Q3,0))&amp;CHAR(10)&amp;TEXT(OFFSET(tblActuals[[#Headers],[YOUR LOCAL TIME]],Q3,0),IF($H$3="AM/PM","hh:mm am/pm","hh:mm")))</f>
        <v>Hungary - Switzerland
09:00 AM</v>
      </c>
      <c r="C3" s="163" t="str">
        <f ca="1">IF(R3="","",(OFFSET(tblActuals[[#Headers],[TEAMS]],R3,0))&amp;CHAR(10)&amp;TEXT(OFFSET(tblActuals[[#Headers],[YOUR LOCAL TIME]],R3,0),IF($H$3="AM/PM","hh:mm am/pm","hh:mm")))</f>
        <v>Spain - Croatia
12:00 PM</v>
      </c>
      <c r="D3" s="163" t="str">
        <f ca="1">IF(S3="","",(OFFSET(tblActuals[[#Headers],[TEAMS]],S3,0))&amp;CHAR(10)&amp;TEXT(OFFSET(tblActuals[[#Headers],[YOUR LOCAL TIME]],S3,0),IF($H$3="AM/PM","hh:mm am/pm","hh:mm")))</f>
        <v>Italy - Albania
03:00 PM</v>
      </c>
      <c r="E3" s="163" t="str">
        <f ca="1">IF(T3="","",(OFFSET(tblActuals[[#Headers],[TEAMS]],T3,0))&amp;CHAR(10)&amp;TEXT(OFFSET(tblActuals[[#Headers],[YOUR LOCAL TIME]],T3,0),IF($H$3="AM/PM","hh:mm am/pm","hh:mm")))</f>
        <v/>
      </c>
      <c r="F3" s="95"/>
      <c r="G3" s="106"/>
      <c r="H3" s="107" t="s">
        <v>189</v>
      </c>
      <c r="I3" s="95"/>
      <c r="J3" s="95"/>
      <c r="K3" s="95"/>
      <c r="L3" s="98"/>
      <c r="M3" s="95"/>
      <c r="N3" s="95"/>
      <c r="O3" s="95"/>
      <c r="Q3" s="94">
        <f>IF(V3="","",MATCH(V3,ACTUALS!$AD:$AD,0)-3)</f>
        <v>2</v>
      </c>
      <c r="R3" s="94">
        <f>IF(W3="","",MATCH(W3,ACTUALS!$AD:$AD,0)-3)</f>
        <v>3</v>
      </c>
      <c r="S3" s="94">
        <f>IF(X3="","",MATCH(X3,ACTUALS!$AD:$AD,0)-3)</f>
        <v>4</v>
      </c>
      <c r="T3" s="94" t="str">
        <f>IF(Y3="","",MATCH(Y3,ACTUALS!$AD:$AD,0)-3)</f>
        <v/>
      </c>
      <c r="V3" s="94" cm="1">
        <f t="array" ref="V3">IFERROR(_xlfn.AGGREGATE(15, 6, (ACTUALS!$AD$4:$AD$54) / (ACTUALS!$AC$4:$AC$54=$A3), COLUMN(A2)),"")</f>
        <v>2.5</v>
      </c>
      <c r="W3" s="94" cm="1">
        <f t="array" ref="W3">IFERROR(_xlfn.AGGREGATE(15, 6, (ACTUALS!$AD$4:$AD$54) / (ACTUALS!$AC$4:$AC$54=$A3), COLUMN(B2)),"")</f>
        <v>3.6</v>
      </c>
      <c r="X3" s="94" cm="1">
        <f t="array" ref="X3">IFERROR(_xlfn.AGGREGATE(15, 6, (ACTUALS!$AD$4:$AD$54) / (ACTUALS!$AC$4:$AC$54=$A3), COLUMN(C2)),"")</f>
        <v>4.7</v>
      </c>
      <c r="Y3" s="94" t="str" cm="1">
        <f t="array" ref="Y3">IFERROR(_xlfn.AGGREGATE(15, 6, (ACTUALS!$AD$4:$AD$54) / (ACTUALS!$AC$4:$AC$54=$A3), COLUMN(D2)),"")</f>
        <v/>
      </c>
      <c r="AD3" s="94" cm="1">
        <f t="array" ref="AD3">IF($G$3="",0,SUM(IFERROR(FIND(TeamstoWatch,B3,1),0)))</f>
        <v>0</v>
      </c>
      <c r="AE3" s="94" cm="1">
        <f t="array" ref="AE3">IF($G$3="",0,SUM(IFERROR(FIND(TeamstoWatch,C3,1),0)))</f>
        <v>0</v>
      </c>
      <c r="AF3" s="94" cm="1">
        <f t="array" ref="AF3">IF($G$3="",0,SUM(IFERROR(FIND(TeamstoWatch,D3,1),0)))</f>
        <v>0</v>
      </c>
      <c r="AG3" s="94" cm="1">
        <f t="array" ref="AG3">IF($G$3="",0,SUM(IFERROR(FIND(TeamstoWatch,E3,1),0)))</f>
        <v>0</v>
      </c>
    </row>
    <row r="4" spans="1:33" s="94" customFormat="1" ht="30" customHeight="1" x14ac:dyDescent="0.25">
      <c r="A4" s="102">
        <v>45459</v>
      </c>
      <c r="B4" s="163" t="str">
        <f ca="1">IF(Q4="","",(OFFSET(tblActuals[[#Headers],[TEAMS]],Q4,0))&amp;CHAR(10)&amp;TEXT(OFFSET(tblActuals[[#Headers],[YOUR LOCAL TIME]],Q4,0),IF($H$3="AM/PM","hh:mm am/pm","hh:mm")))</f>
        <v>Poland - Netherlands
09:00 AM</v>
      </c>
      <c r="C4" s="163" t="str">
        <f ca="1">IF(R4="","",(OFFSET(tblActuals[[#Headers],[TEAMS]],R4,0))&amp;CHAR(10)&amp;TEXT(OFFSET(tblActuals[[#Headers],[YOUR LOCAL TIME]],R4,0),IF($H$3="AM/PM","hh:mm am/pm","hh:mm")))</f>
        <v>Slovenia - Denmark
12:00 PM</v>
      </c>
      <c r="D4" s="163" t="str">
        <f ca="1">IF(S4="","",(OFFSET(tblActuals[[#Headers],[TEAMS]],S4,0))&amp;CHAR(10)&amp;TEXT(OFFSET(tblActuals[[#Headers],[YOUR LOCAL TIME]],S4,0),IF($H$3="AM/PM","hh:mm am/pm","hh:mm")))</f>
        <v>Serbia - England
03:00 PM</v>
      </c>
      <c r="E4" s="163" t="str">
        <f ca="1">IF(T4="","",(OFFSET(tblActuals[[#Headers],[TEAMS]],T4,0))&amp;CHAR(10)&amp;TEXT(OFFSET(tblActuals[[#Headers],[YOUR LOCAL TIME]],T4,0),IF($H$3="AM/PM","hh:mm am/pm","hh:mm")))</f>
        <v/>
      </c>
      <c r="F4" s="95"/>
      <c r="G4" s="106"/>
      <c r="H4" s="108"/>
      <c r="I4" s="95"/>
      <c r="J4" s="95"/>
      <c r="K4" s="95"/>
      <c r="L4" s="98"/>
      <c r="M4" s="95"/>
      <c r="N4" s="95"/>
      <c r="O4" s="95"/>
      <c r="Q4" s="94">
        <f>IF(V4="","",MATCH(V4,ACTUALS!$AD:$AD,0)-3)</f>
        <v>7</v>
      </c>
      <c r="R4" s="94">
        <f>IF(W4="","",MATCH(W4,ACTUALS!$AD:$AD,0)-3)</f>
        <v>6</v>
      </c>
      <c r="S4" s="94">
        <f>IF(X4="","",MATCH(X4,ACTUALS!$AD:$AD,0)-3)</f>
        <v>5</v>
      </c>
      <c r="T4" s="94" t="str">
        <f>IF(Y4="","",MATCH(Y4,ACTUALS!$AD:$AD,0)-3)</f>
        <v/>
      </c>
      <c r="V4" s="94" cm="1">
        <f t="array" ref="V4">IFERROR(_xlfn.AGGREGATE(15, 6, (ACTUALS!$AD$4:$AD$54) / (ACTUALS!$AC$4:$AC$54=$A4), COLUMN(A3)),"")</f>
        <v>6</v>
      </c>
      <c r="W4" s="94" cm="1">
        <f t="array" ref="W4">IFERROR(_xlfn.AGGREGATE(15, 6, (ACTUALS!$AD$4:$AD$54) / (ACTUALS!$AC$4:$AC$54=$A4), COLUMN(B3)),"")</f>
        <v>6.9</v>
      </c>
      <c r="X4" s="94" cm="1">
        <f t="array" ref="X4">IFERROR(_xlfn.AGGREGATE(15, 6, (ACTUALS!$AD$4:$AD$54) / (ACTUALS!$AC$4:$AC$54=$A4), COLUMN(C3)),"")</f>
        <v>7.8</v>
      </c>
      <c r="Y4" s="94" t="str" cm="1">
        <f t="array" ref="Y4">IFERROR(_xlfn.AGGREGATE(15, 6, (ACTUALS!$AD$4:$AD$54) / (ACTUALS!$AC$4:$AC$54=$A4), COLUMN(D3)),"")</f>
        <v/>
      </c>
      <c r="AD4" s="94" cm="1">
        <f t="array" ref="AD4">IF($G$3="",0,SUM(IFERROR(FIND(TeamstoWatch,B4,1),0)))</f>
        <v>0</v>
      </c>
      <c r="AE4" s="94" cm="1">
        <f t="array" ref="AE4">IF($G$3="",0,SUM(IFERROR(FIND(TeamstoWatch,C4,1),0)))</f>
        <v>0</v>
      </c>
      <c r="AF4" s="94" cm="1">
        <f t="array" ref="AF4">IF($G$3="",0,SUM(IFERROR(FIND(TeamstoWatch,D4,1),0)))</f>
        <v>0</v>
      </c>
      <c r="AG4" s="94" cm="1">
        <f t="array" ref="AG4">IF($G$3="",0,SUM(IFERROR(FIND(TeamstoWatch,E4,1),0)))</f>
        <v>0</v>
      </c>
    </row>
    <row r="5" spans="1:33" s="94" customFormat="1" ht="30" customHeight="1" x14ac:dyDescent="0.25">
      <c r="A5" s="102">
        <v>45460</v>
      </c>
      <c r="B5" s="163" t="str">
        <f ca="1">IF(Q5="","",(OFFSET(tblActuals[[#Headers],[TEAMS]],Q5,0))&amp;CHAR(10)&amp;TEXT(OFFSET(tblActuals[[#Headers],[YOUR LOCAL TIME]],Q5,0),IF($H$3="AM/PM","hh:mm am/pm","hh:mm")))</f>
        <v>Romania - Ukraine
09:00 AM</v>
      </c>
      <c r="C5" s="163" t="str">
        <f ca="1">IF(R5="","",(OFFSET(tblActuals[[#Headers],[TEAMS]],R5,0))&amp;CHAR(10)&amp;TEXT(OFFSET(tblActuals[[#Headers],[YOUR LOCAL TIME]],R5,0),IF($H$3="AM/PM","hh:mm am/pm","hh:mm")))</f>
        <v>Belgium - Slovakia
12:00 PM</v>
      </c>
      <c r="D5" s="163" t="str">
        <f ca="1">IF(S5="","",(OFFSET(tblActuals[[#Headers],[TEAMS]],S5,0))&amp;CHAR(10)&amp;TEXT(OFFSET(tblActuals[[#Headers],[YOUR LOCAL TIME]],S5,0),IF($H$3="AM/PM","hh:mm am/pm","hh:mm")))</f>
        <v>Austria - France
03:00 PM</v>
      </c>
      <c r="E5" s="163" t="str">
        <f ca="1">IF(T5="","",(OFFSET(tblActuals[[#Headers],[TEAMS]],T5,0))&amp;CHAR(10)&amp;TEXT(OFFSET(tblActuals[[#Headers],[YOUR LOCAL TIME]],T5,0),IF($H$3="AM/PM","hh:mm am/pm","hh:mm")))</f>
        <v/>
      </c>
      <c r="F5" s="95"/>
      <c r="G5" s="106"/>
      <c r="H5" s="108"/>
      <c r="I5" s="95"/>
      <c r="J5" s="95"/>
      <c r="K5" s="95"/>
      <c r="L5" s="98"/>
      <c r="M5" s="95"/>
      <c r="N5" s="95"/>
      <c r="O5" s="95"/>
      <c r="Q5" s="94">
        <f>IF(V5="","",MATCH(V5,ACTUALS!$AD:$AD,0)-3)</f>
        <v>10</v>
      </c>
      <c r="R5" s="94">
        <f>IF(W5="","",MATCH(W5,ACTUALS!$AD:$AD,0)-3)</f>
        <v>9</v>
      </c>
      <c r="S5" s="94">
        <f>IF(X5="","",MATCH(X5,ACTUALS!$AD:$AD,0)-3)</f>
        <v>8</v>
      </c>
      <c r="T5" s="94" t="str">
        <f>IF(Y5="","",MATCH(Y5,ACTUALS!$AD:$AD,0)-3)</f>
        <v/>
      </c>
      <c r="V5" s="94" cm="1">
        <f t="array" ref="V5">IFERROR(_xlfn.AGGREGATE(15, 6, (ACTUALS!$AD$4:$AD$54) / (ACTUALS!$AC$4:$AC$54=$A5), COLUMN(A4)),"")</f>
        <v>9.3000000000000007</v>
      </c>
      <c r="W5" s="94" cm="1">
        <f t="array" ref="W5">IFERROR(_xlfn.AGGREGATE(15, 6, (ACTUALS!$AD$4:$AD$54) / (ACTUALS!$AC$4:$AC$54=$A5), COLUMN(B4)),"")</f>
        <v>10.199999999999999</v>
      </c>
      <c r="X5" s="94" cm="1">
        <f t="array" ref="X5">IFERROR(_xlfn.AGGREGATE(15, 6, (ACTUALS!$AD$4:$AD$54) / (ACTUALS!$AC$4:$AC$54=$A5), COLUMN(C4)),"")</f>
        <v>11.1</v>
      </c>
      <c r="Y5" s="94" t="str" cm="1">
        <f t="array" ref="Y5">IFERROR(_xlfn.AGGREGATE(15, 6, (ACTUALS!$AD$4:$AD$54) / (ACTUALS!$AC$4:$AC$54=$A5), COLUMN(D4)),"")</f>
        <v/>
      </c>
      <c r="AD5" s="94" cm="1">
        <f t="array" ref="AD5">IF($G$3="",0,SUM(IFERROR(FIND(TeamstoWatch,B5,1),0)))</f>
        <v>0</v>
      </c>
      <c r="AE5" s="94" cm="1">
        <f t="array" ref="AE5">IF($G$3="",0,SUM(IFERROR(FIND(TeamstoWatch,C5,1),0)))</f>
        <v>0</v>
      </c>
      <c r="AF5" s="94" cm="1">
        <f t="array" ref="AF5">IF($G$3="",0,SUM(IFERROR(FIND(TeamstoWatch,D5,1),0)))</f>
        <v>0</v>
      </c>
      <c r="AG5" s="94" cm="1">
        <f t="array" ref="AG5">IF($G$3="",0,SUM(IFERROR(FIND(TeamstoWatch,E5,1),0)))</f>
        <v>0</v>
      </c>
    </row>
    <row r="6" spans="1:33" s="94" customFormat="1" ht="30" customHeight="1" x14ac:dyDescent="0.25">
      <c r="A6" s="102">
        <v>45461</v>
      </c>
      <c r="B6" s="163" t="str">
        <f ca="1">IF(Q6="","",(OFFSET(tblActuals[[#Headers],[TEAMS]],Q6,0))&amp;CHAR(10)&amp;TEXT(OFFSET(tblActuals[[#Headers],[YOUR LOCAL TIME]],Q6,0),IF($H$3="AM/PM","hh:mm am/pm","hh:mm")))</f>
        <v>Turkey - Georgia
12:00 PM</v>
      </c>
      <c r="C6" s="163" t="str">
        <f ca="1">IF(R6="","",(OFFSET(tblActuals[[#Headers],[TEAMS]],R6,0))&amp;CHAR(10)&amp;TEXT(OFFSET(tblActuals[[#Headers],[YOUR LOCAL TIME]],R6,0),IF($H$3="AM/PM","hh:mm am/pm","hh:mm")))</f>
        <v>Portugal - Czechia
03:00 PM</v>
      </c>
      <c r="D6" s="163" t="str">
        <f ca="1">IF(S6="","",(OFFSET(tblActuals[[#Headers],[TEAMS]],S6,0))&amp;CHAR(10)&amp;TEXT(OFFSET(tblActuals[[#Headers],[YOUR LOCAL TIME]],S6,0),IF($H$3="AM/PM","hh:mm am/pm","hh:mm")))</f>
        <v/>
      </c>
      <c r="E6" s="163" t="str">
        <f ca="1">IF(T6="","",(OFFSET(tblActuals[[#Headers],[TEAMS]],T6,0))&amp;CHAR(10)&amp;TEXT(OFFSET(tblActuals[[#Headers],[YOUR LOCAL TIME]],T6,0),IF($H$3="AM/PM","hh:mm am/pm","hh:mm")))</f>
        <v/>
      </c>
      <c r="F6" s="95"/>
      <c r="G6" s="109"/>
      <c r="H6" s="108"/>
      <c r="I6" s="95"/>
      <c r="J6" s="95"/>
      <c r="K6" s="95"/>
      <c r="L6" s="95"/>
      <c r="M6" s="95"/>
      <c r="N6" s="95"/>
      <c r="O6" s="95"/>
      <c r="Q6" s="94">
        <f>IF(V6="","",MATCH(V6,ACTUALS!$AD:$AD,0)-3)</f>
        <v>11</v>
      </c>
      <c r="R6" s="94">
        <f>IF(W6="","",MATCH(W6,ACTUALS!$AD:$AD,0)-3)</f>
        <v>12</v>
      </c>
      <c r="S6" s="94" t="str">
        <f>IF(X6="","",MATCH(X6,ACTUALS!$AD:$AD,0)-3)</f>
        <v/>
      </c>
      <c r="T6" s="94" t="str">
        <f>IF(Y6="","",MATCH(Y6,ACTUALS!$AD:$AD,0)-3)</f>
        <v/>
      </c>
      <c r="V6" s="94" cm="1">
        <f t="array" ref="V6">IFERROR(_xlfn.AGGREGATE(15, 6, (ACTUALS!$AD$4:$AD$54) / (ACTUALS!$AC$4:$AC$54=$A6), COLUMN(A5)),"")</f>
        <v>12.4</v>
      </c>
      <c r="W6" s="94" cm="1">
        <f t="array" ref="W6">IFERROR(_xlfn.AGGREGATE(15, 6, (ACTUALS!$AD$4:$AD$54) / (ACTUALS!$AC$4:$AC$54=$A6), COLUMN(B5)),"")</f>
        <v>13.5</v>
      </c>
      <c r="X6" s="94" t="str" cm="1">
        <f t="array" ref="X6">IFERROR(_xlfn.AGGREGATE(15, 6, (ACTUALS!$AD$4:$AD$54) / (ACTUALS!$AC$4:$AC$54=$A6), COLUMN(C5)),"")</f>
        <v/>
      </c>
      <c r="Y6" s="94" t="str" cm="1">
        <f t="array" ref="Y6">IFERROR(_xlfn.AGGREGATE(15, 6, (ACTUALS!$AD$4:$AD$54) / (ACTUALS!$AC$4:$AC$54=$A6), COLUMN(D5)),"")</f>
        <v/>
      </c>
      <c r="AD6" s="94" cm="1">
        <f t="array" ref="AD6">IF($G$3="",0,SUM(IFERROR(FIND(TeamstoWatch,B6,1),0)))</f>
        <v>0</v>
      </c>
      <c r="AE6" s="94" cm="1">
        <f t="array" ref="AE6">IF($G$3="",0,SUM(IFERROR(FIND(TeamstoWatch,C6,1),0)))</f>
        <v>0</v>
      </c>
      <c r="AF6" s="94" cm="1">
        <f t="array" ref="AF6">IF($G$3="",0,SUM(IFERROR(FIND(TeamstoWatch,D6,1),0)))</f>
        <v>0</v>
      </c>
      <c r="AG6" s="94" cm="1">
        <f t="array" ref="AG6">IF($G$3="",0,SUM(IFERROR(FIND(TeamstoWatch,E6,1),0)))</f>
        <v>0</v>
      </c>
    </row>
    <row r="7" spans="1:33" s="94" customFormat="1" ht="30" customHeight="1" x14ac:dyDescent="0.25">
      <c r="A7" s="102">
        <v>45462</v>
      </c>
      <c r="B7" s="163" t="str">
        <f ca="1">IF(Q7="","",(OFFSET(tblActuals[[#Headers],[TEAMS]],Q7,0))&amp;CHAR(10)&amp;TEXT(OFFSET(tblActuals[[#Headers],[YOUR LOCAL TIME]],Q7,0),IF($H$3="AM/PM","hh:mm am/pm","hh:mm")))</f>
        <v>Croatia - Albania
09:00 AM</v>
      </c>
      <c r="C7" s="163" t="str">
        <f ca="1">IF(R7="","",(OFFSET(tblActuals[[#Headers],[TEAMS]],R7,0))&amp;CHAR(10)&amp;TEXT(OFFSET(tblActuals[[#Headers],[YOUR LOCAL TIME]],R7,0),IF($H$3="AM/PM","hh:mm am/pm","hh:mm")))</f>
        <v>Germany - Hungary
12:00 PM</v>
      </c>
      <c r="D7" s="163" t="str">
        <f ca="1">IF(S7="","",(OFFSET(tblActuals[[#Headers],[TEAMS]],S7,0))&amp;CHAR(10)&amp;TEXT(OFFSET(tblActuals[[#Headers],[YOUR LOCAL TIME]],S7,0),IF($H$3="AM/PM","hh:mm am/pm","hh:mm")))</f>
        <v>Scotland - Switzerland
03:00 PM</v>
      </c>
      <c r="E7" s="163" t="str">
        <f ca="1">IF(T7="","",(OFFSET(tblActuals[[#Headers],[TEAMS]],T7,0))&amp;CHAR(10)&amp;TEXT(OFFSET(tblActuals[[#Headers],[YOUR LOCAL TIME]],T7,0),IF($H$3="AM/PM","hh:mm am/pm","hh:mm")))</f>
        <v/>
      </c>
      <c r="F7" s="95"/>
      <c r="G7" s="106"/>
      <c r="H7" s="108"/>
      <c r="I7" s="95"/>
      <c r="J7" s="95"/>
      <c r="K7" s="95"/>
      <c r="L7" s="95"/>
      <c r="M7" s="95"/>
      <c r="N7" s="95"/>
      <c r="O7" s="95"/>
      <c r="Q7" s="94">
        <f>IF(V7="","",MATCH(V7,ACTUALS!$AD:$AD,0)-3)</f>
        <v>15</v>
      </c>
      <c r="R7" s="94">
        <f>IF(W7="","",MATCH(W7,ACTUALS!$AD:$AD,0)-3)</f>
        <v>14</v>
      </c>
      <c r="S7" s="94">
        <f>IF(X7="","",MATCH(X7,ACTUALS!$AD:$AD,0)-3)</f>
        <v>13</v>
      </c>
      <c r="T7" s="94" t="str">
        <f>IF(Y7="","",MATCH(Y7,ACTUALS!$AD:$AD,0)-3)</f>
        <v/>
      </c>
      <c r="V7" s="94" cm="1">
        <f t="array" ref="V7">IFERROR(_xlfn.AGGREGATE(15, 6, (ACTUALS!$AD$4:$AD$54) / (ACTUALS!$AC$4:$AC$54=$A7), COLUMN(A6)),"")</f>
        <v>14.8</v>
      </c>
      <c r="W7" s="94" cm="1">
        <f t="array" ref="W7">IFERROR(_xlfn.AGGREGATE(15, 6, (ACTUALS!$AD$4:$AD$54) / (ACTUALS!$AC$4:$AC$54=$A7), COLUMN(B6)),"")</f>
        <v>15.7</v>
      </c>
      <c r="X7" s="94" cm="1">
        <f t="array" ref="X7">IFERROR(_xlfn.AGGREGATE(15, 6, (ACTUALS!$AD$4:$AD$54) / (ACTUALS!$AC$4:$AC$54=$A7), COLUMN(C6)),"")</f>
        <v>16.600000000000001</v>
      </c>
      <c r="Y7" s="94" t="str" cm="1">
        <f t="array" ref="Y7">IFERROR(_xlfn.AGGREGATE(15, 6, (ACTUALS!$AD$4:$AD$54) / (ACTUALS!$AC$4:$AC$54=$A7), COLUMN(D6)),"")</f>
        <v/>
      </c>
      <c r="AD7" s="94" cm="1">
        <f t="array" ref="AD7">IF($G$3="",0,SUM(IFERROR(FIND(TeamstoWatch,B7,1),0)))</f>
        <v>0</v>
      </c>
      <c r="AE7" s="94" cm="1">
        <f t="array" ref="AE7">IF($G$3="",0,SUM(IFERROR(FIND(TeamstoWatch,C7,1),0)))</f>
        <v>0</v>
      </c>
      <c r="AF7" s="94" cm="1">
        <f t="array" ref="AF7">IF($G$3="",0,SUM(IFERROR(FIND(TeamstoWatch,D7,1),0)))</f>
        <v>0</v>
      </c>
      <c r="AG7" s="94" cm="1">
        <f t="array" ref="AG7">IF($G$3="",0,SUM(IFERROR(FIND(TeamstoWatch,E7,1),0)))</f>
        <v>0</v>
      </c>
    </row>
    <row r="8" spans="1:33" s="94" customFormat="1" ht="30" customHeight="1" x14ac:dyDescent="0.25">
      <c r="A8" s="102">
        <v>45463</v>
      </c>
      <c r="B8" s="163" t="str">
        <f ca="1">IF(Q8="","",(OFFSET(tblActuals[[#Headers],[TEAMS]],Q8,0))&amp;CHAR(10)&amp;TEXT(OFFSET(tblActuals[[#Headers],[YOUR LOCAL TIME]],Q8,0),IF($H$3="AM/PM","hh:mm am/pm","hh:mm")))</f>
        <v>Slovenia - Serbia
09:00 AM</v>
      </c>
      <c r="C8" s="163" t="str">
        <f ca="1">IF(R8="","",(OFFSET(tblActuals[[#Headers],[TEAMS]],R8,0))&amp;CHAR(10)&amp;TEXT(OFFSET(tblActuals[[#Headers],[YOUR LOCAL TIME]],R8,0),IF($H$3="AM/PM","hh:mm am/pm","hh:mm")))</f>
        <v>Denmark - England
12:00 PM</v>
      </c>
      <c r="D8" s="163" t="str">
        <f ca="1">IF(S8="","",(OFFSET(tblActuals[[#Headers],[TEAMS]],S8,0))&amp;CHAR(10)&amp;TEXT(OFFSET(tblActuals[[#Headers],[YOUR LOCAL TIME]],S8,0),IF($H$3="AM/PM","hh:mm am/pm","hh:mm")))</f>
        <v>Spain - Italy
03:00 PM</v>
      </c>
      <c r="E8" s="163" t="str">
        <f ca="1">IF(T8="","",(OFFSET(tblActuals[[#Headers],[TEAMS]],T8,0))&amp;CHAR(10)&amp;TEXT(OFFSET(tblActuals[[#Headers],[YOUR LOCAL TIME]],T8,0),IF($H$3="AM/PM","hh:mm am/pm","hh:mm")))</f>
        <v/>
      </c>
      <c r="F8" s="95"/>
      <c r="G8" s="108"/>
      <c r="H8" s="108"/>
      <c r="I8" s="95"/>
      <c r="J8" s="95"/>
      <c r="K8" s="95"/>
      <c r="L8" s="95"/>
      <c r="M8" s="95"/>
      <c r="N8" s="95"/>
      <c r="O8" s="95"/>
      <c r="Q8" s="94">
        <f>IF(V8="","",MATCH(V8,ACTUALS!$AD:$AD,0)-3)</f>
        <v>18</v>
      </c>
      <c r="R8" s="94">
        <f>IF(W8="","",MATCH(W8,ACTUALS!$AD:$AD,0)-3)</f>
        <v>17</v>
      </c>
      <c r="S8" s="94">
        <f>IF(X8="","",MATCH(X8,ACTUALS!$AD:$AD,0)-3)</f>
        <v>16</v>
      </c>
      <c r="T8" s="94" t="str">
        <f>IF(Y8="","",MATCH(Y8,ACTUALS!$AD:$AD,0)-3)</f>
        <v/>
      </c>
      <c r="V8" s="94" cm="1">
        <f t="array" ref="V8">IFERROR(_xlfn.AGGREGATE(15, 6, (ACTUALS!$AD$4:$AD$54) / (ACTUALS!$AC$4:$AC$54=$A8), COLUMN(A7)),"")</f>
        <v>18.100000000000001</v>
      </c>
      <c r="W8" s="94" cm="1">
        <f t="array" ref="W8">IFERROR(_xlfn.AGGREGATE(15, 6, (ACTUALS!$AD$4:$AD$54) / (ACTUALS!$AC$4:$AC$54=$A8), COLUMN(B7)),"")</f>
        <v>19</v>
      </c>
      <c r="X8" s="94" cm="1">
        <f t="array" ref="X8">IFERROR(_xlfn.AGGREGATE(15, 6, (ACTUALS!$AD$4:$AD$54) / (ACTUALS!$AC$4:$AC$54=$A8), COLUMN(C7)),"")</f>
        <v>19.899999999999999</v>
      </c>
      <c r="Y8" s="94" t="str" cm="1">
        <f t="array" ref="Y8">IFERROR(_xlfn.AGGREGATE(15, 6, (ACTUALS!$AD$4:$AD$54) / (ACTUALS!$AC$4:$AC$54=$A8), COLUMN(D7)),"")</f>
        <v/>
      </c>
      <c r="AD8" s="94" cm="1">
        <f t="array" ref="AD8">IF($G$3="",0,SUM(IFERROR(FIND(TeamstoWatch,B8,1),0)))</f>
        <v>0</v>
      </c>
      <c r="AE8" s="94" cm="1">
        <f t="array" ref="AE8">IF($G$3="",0,SUM(IFERROR(FIND(TeamstoWatch,C8,1),0)))</f>
        <v>0</v>
      </c>
      <c r="AF8" s="94" cm="1">
        <f t="array" ref="AF8">IF($G$3="",0,SUM(IFERROR(FIND(TeamstoWatch,D8,1),0)))</f>
        <v>0</v>
      </c>
      <c r="AG8" s="94" cm="1">
        <f t="array" ref="AG8">IF($G$3="",0,SUM(IFERROR(FIND(TeamstoWatch,E8,1),0)))</f>
        <v>0</v>
      </c>
    </row>
    <row r="9" spans="1:33" s="94" customFormat="1" ht="30" customHeight="1" x14ac:dyDescent="0.25">
      <c r="A9" s="102">
        <v>45464</v>
      </c>
      <c r="B9" s="163" t="str">
        <f ca="1">IF(Q9="","",(OFFSET(tblActuals[[#Headers],[TEAMS]],Q9,0))&amp;CHAR(10)&amp;TEXT(OFFSET(tblActuals[[#Headers],[YOUR LOCAL TIME]],Q9,0),IF($H$3="AM/PM","hh:mm am/pm","hh:mm")))</f>
        <v>Slovakia - Ukraine
09:00 AM</v>
      </c>
      <c r="C9" s="163" t="str">
        <f ca="1">IF(R9="","",(OFFSET(tblActuals[[#Headers],[TEAMS]],R9,0))&amp;CHAR(10)&amp;TEXT(OFFSET(tblActuals[[#Headers],[YOUR LOCAL TIME]],R9,0),IF($H$3="AM/PM","hh:mm am/pm","hh:mm")))</f>
        <v>Poland - Austria
12:00 PM</v>
      </c>
      <c r="D9" s="163" t="str">
        <f ca="1">IF(S9="","",(OFFSET(tblActuals[[#Headers],[TEAMS]],S9,0))&amp;CHAR(10)&amp;TEXT(OFFSET(tblActuals[[#Headers],[YOUR LOCAL TIME]],S9,0),IF($H$3="AM/PM","hh:mm am/pm","hh:mm")))</f>
        <v>Netherlands - France
03:00 PM</v>
      </c>
      <c r="E9" s="163" t="str">
        <f ca="1">IF(T9="","",(OFFSET(tblActuals[[#Headers],[TEAMS]],T9,0))&amp;CHAR(10)&amp;TEXT(OFFSET(tblActuals[[#Headers],[YOUR LOCAL TIME]],T9,0),IF($H$3="AM/PM","hh:mm am/pm","hh:mm")))</f>
        <v/>
      </c>
      <c r="F9" s="95"/>
      <c r="G9" s="108"/>
      <c r="H9" s="108"/>
      <c r="I9" s="95"/>
      <c r="J9" s="95"/>
      <c r="K9" s="95"/>
      <c r="L9" s="95"/>
      <c r="M9" s="95"/>
      <c r="N9" s="95"/>
      <c r="O9" s="95"/>
      <c r="Q9" s="94">
        <f>IF(V9="","",MATCH(V9,ACTUALS!$AD:$AD,0)-3)</f>
        <v>21</v>
      </c>
      <c r="R9" s="94">
        <f>IF(W9="","",MATCH(W9,ACTUALS!$AD:$AD,0)-3)</f>
        <v>19</v>
      </c>
      <c r="S9" s="94">
        <f>IF(X9="","",MATCH(X9,ACTUALS!$AD:$AD,0)-3)</f>
        <v>20</v>
      </c>
      <c r="T9" s="94" t="str">
        <f>IF(Y9="","",MATCH(Y9,ACTUALS!$AD:$AD,0)-3)</f>
        <v/>
      </c>
      <c r="V9" s="94" cm="1">
        <f t="array" ref="V9">IFERROR(_xlfn.AGGREGATE(15, 6, (ACTUALS!$AD$4:$AD$54) / (ACTUALS!$AC$4:$AC$54=$A9), COLUMN(A8)),"")</f>
        <v>21.4</v>
      </c>
      <c r="W9" s="94" cm="1">
        <f t="array" ref="W9">IFERROR(_xlfn.AGGREGATE(15, 6, (ACTUALS!$AD$4:$AD$54) / (ACTUALS!$AC$4:$AC$54=$A9), COLUMN(B8)),"")</f>
        <v>22.2</v>
      </c>
      <c r="X9" s="94" cm="1">
        <f t="array" ref="X9">IFERROR(_xlfn.AGGREGATE(15, 6, (ACTUALS!$AD$4:$AD$54) / (ACTUALS!$AC$4:$AC$54=$A9), COLUMN(C8)),"")</f>
        <v>23.3</v>
      </c>
      <c r="Y9" s="94" t="str" cm="1">
        <f t="array" ref="Y9">IFERROR(_xlfn.AGGREGATE(15, 6, (ACTUALS!$AD$4:$AD$54) / (ACTUALS!$AC$4:$AC$54=$A9), COLUMN(D8)),"")</f>
        <v/>
      </c>
      <c r="AD9" s="94" cm="1">
        <f t="array" ref="AD9">IF($G$3="",0,SUM(IFERROR(FIND(TeamstoWatch,B9,1),0)))</f>
        <v>0</v>
      </c>
      <c r="AE9" s="94" cm="1">
        <f t="array" ref="AE9">IF($G$3="",0,SUM(IFERROR(FIND(TeamstoWatch,C9,1),0)))</f>
        <v>0</v>
      </c>
      <c r="AF9" s="94" cm="1">
        <f t="array" ref="AF9">IF($G$3="",0,SUM(IFERROR(FIND(TeamstoWatch,D9,1),0)))</f>
        <v>0</v>
      </c>
      <c r="AG9" s="94" cm="1">
        <f t="array" ref="AG9">IF($G$3="",0,SUM(IFERROR(FIND(TeamstoWatch,E9,1),0)))</f>
        <v>0</v>
      </c>
    </row>
    <row r="10" spans="1:33" s="94" customFormat="1" ht="30" customHeight="1" x14ac:dyDescent="0.25">
      <c r="A10" s="102">
        <v>45465</v>
      </c>
      <c r="B10" s="163" t="str">
        <f ca="1">IF(Q10="","",(OFFSET(tblActuals[[#Headers],[TEAMS]],Q10,0))&amp;CHAR(10)&amp;TEXT(OFFSET(tblActuals[[#Headers],[YOUR LOCAL TIME]],Q10,0),IF($H$3="AM/PM","hh:mm am/pm","hh:mm")))</f>
        <v>Georgia - Czechia
09:00 AM</v>
      </c>
      <c r="C10" s="163" t="str">
        <f ca="1">IF(R10="","",(OFFSET(tblActuals[[#Headers],[TEAMS]],R10,0))&amp;CHAR(10)&amp;TEXT(OFFSET(tblActuals[[#Headers],[YOUR LOCAL TIME]],R10,0),IF($H$3="AM/PM","hh:mm am/pm","hh:mm")))</f>
        <v>Turkey - Portugal
12:00 PM</v>
      </c>
      <c r="D10" s="163" t="str">
        <f ca="1">IF(S10="","",(OFFSET(tblActuals[[#Headers],[TEAMS]],S10,0))&amp;CHAR(10)&amp;TEXT(OFFSET(tblActuals[[#Headers],[YOUR LOCAL TIME]],S10,0),IF($H$3="AM/PM","hh:mm am/pm","hh:mm")))</f>
        <v>Belgium - Romania
03:00 PM</v>
      </c>
      <c r="E10" s="163" t="str">
        <f ca="1">IF(T10="","",(OFFSET(tblActuals[[#Headers],[TEAMS]],T10,0))&amp;CHAR(10)&amp;TEXT(OFFSET(tblActuals[[#Headers],[YOUR LOCAL TIME]],T10,0),IF($H$3="AM/PM","hh:mm am/pm","hh:mm")))</f>
        <v/>
      </c>
      <c r="F10" s="95"/>
      <c r="G10" s="108"/>
      <c r="H10" s="108"/>
      <c r="I10" s="95"/>
      <c r="J10" s="95"/>
      <c r="K10" s="95"/>
      <c r="L10" s="95"/>
      <c r="M10" s="95"/>
      <c r="N10" s="95"/>
      <c r="O10" s="95"/>
      <c r="Q10" s="94">
        <f>IF(V10="","",MATCH(V10,ACTUALS!$AD:$AD,0)-3)</f>
        <v>24</v>
      </c>
      <c r="R10" s="94">
        <f>IF(W10="","",MATCH(W10,ACTUALS!$AD:$AD,0)-3)</f>
        <v>23</v>
      </c>
      <c r="S10" s="94">
        <f>IF(X10="","",MATCH(X10,ACTUALS!$AD:$AD,0)-3)</f>
        <v>22</v>
      </c>
      <c r="T10" s="94" t="str">
        <f>IF(Y10="","",MATCH(Y10,ACTUALS!$AD:$AD,0)-3)</f>
        <v/>
      </c>
      <c r="V10" s="94" cm="1">
        <f t="array" ref="V10">IFERROR(_xlfn.AGGREGATE(15, 6, (ACTUALS!$AD$4:$AD$54) / (ACTUALS!$AC$4:$AC$54=$A10), COLUMN(A9)),"")</f>
        <v>24.7</v>
      </c>
      <c r="W10" s="94" cm="1">
        <f t="array" ref="W10">IFERROR(_xlfn.AGGREGATE(15, 6, (ACTUALS!$AD$4:$AD$54) / (ACTUALS!$AC$4:$AC$54=$A10), COLUMN(B9)),"")</f>
        <v>25.6</v>
      </c>
      <c r="X10" s="94" cm="1">
        <f t="array" ref="X10">IFERROR(_xlfn.AGGREGATE(15, 6, (ACTUALS!$AD$4:$AD$54) / (ACTUALS!$AC$4:$AC$54=$A10), COLUMN(C9)),"")</f>
        <v>26.5</v>
      </c>
      <c r="Y10" s="94" t="str" cm="1">
        <f t="array" ref="Y10">IFERROR(_xlfn.AGGREGATE(15, 6, (ACTUALS!$AD$4:$AD$54) / (ACTUALS!$AC$4:$AC$54=$A10), COLUMN(D9)),"")</f>
        <v/>
      </c>
      <c r="AD10" s="94" cm="1">
        <f t="array" ref="AD10">IF($G$3="",0,SUM(IFERROR(FIND(TeamstoWatch,B10,1),0)))</f>
        <v>0</v>
      </c>
      <c r="AE10" s="94" cm="1">
        <f t="array" ref="AE10">IF($G$3="",0,SUM(IFERROR(FIND(TeamstoWatch,C10,1),0)))</f>
        <v>0</v>
      </c>
      <c r="AF10" s="94" cm="1">
        <f t="array" ref="AF10">IF($G$3="",0,SUM(IFERROR(FIND(TeamstoWatch,D10,1),0)))</f>
        <v>0</v>
      </c>
      <c r="AG10" s="94" cm="1">
        <f t="array" ref="AG10">IF($G$3="",0,SUM(IFERROR(FIND(TeamstoWatch,E10,1),0)))</f>
        <v>0</v>
      </c>
    </row>
    <row r="11" spans="1:33" s="94" customFormat="1" ht="30" customHeight="1" x14ac:dyDescent="0.25">
      <c r="A11" s="102">
        <v>45466</v>
      </c>
      <c r="B11" s="163" t="str">
        <f ca="1">IF(Q11="","",(OFFSET(tblActuals[[#Headers],[TEAMS]],Q11,0))&amp;CHAR(10)&amp;TEXT(OFFSET(tblActuals[[#Headers],[YOUR LOCAL TIME]],Q11,0),IF($H$3="AM/PM","hh:mm am/pm","hh:mm")))</f>
        <v>Switzerland - Germany
03:00 PM</v>
      </c>
      <c r="C11" s="163" t="str">
        <f ca="1">IF(R11="","",(OFFSET(tblActuals[[#Headers],[TEAMS]],R11,0))&amp;CHAR(10)&amp;TEXT(OFFSET(tblActuals[[#Headers],[YOUR LOCAL TIME]],R11,0),IF($H$3="AM/PM","hh:mm am/pm","hh:mm")))</f>
        <v>Scotland - Hungary
03:00 PM</v>
      </c>
      <c r="D11" s="163" t="str">
        <f ca="1">IF(S11="","",(OFFSET(tblActuals[[#Headers],[TEAMS]],S11,0))&amp;CHAR(10)&amp;TEXT(OFFSET(tblActuals[[#Headers],[YOUR LOCAL TIME]],S11,0),IF($H$3="AM/PM","hh:mm am/pm","hh:mm")))</f>
        <v/>
      </c>
      <c r="E11" s="163" t="str">
        <f ca="1">IF(T11="","",(OFFSET(tblActuals[[#Headers],[TEAMS]],T11,0))&amp;CHAR(10)&amp;TEXT(OFFSET(tblActuals[[#Headers],[YOUR LOCAL TIME]],T11,0),IF($H$3="AM/PM","hh:mm am/pm","hh:mm")))</f>
        <v/>
      </c>
      <c r="F11" s="95"/>
      <c r="G11" s="108"/>
      <c r="H11" s="108"/>
      <c r="I11" s="95"/>
      <c r="J11" s="95"/>
      <c r="K11" s="95"/>
      <c r="L11" s="95"/>
      <c r="M11" s="95"/>
      <c r="N11" s="95"/>
      <c r="O11" s="95"/>
      <c r="Q11" s="94">
        <f>IF(V11="","",MATCH(V11,ACTUALS!$AD:$AD,0)-3)</f>
        <v>25</v>
      </c>
      <c r="R11" s="94">
        <f>IF(W11="","",MATCH(W11,ACTUALS!$AD:$AD,0)-3)</f>
        <v>26</v>
      </c>
      <c r="S11" s="94" t="str">
        <f>IF(X11="","",MATCH(X11,ACTUALS!$AD:$AD,0)-3)</f>
        <v/>
      </c>
      <c r="T11" s="94" t="str">
        <f>IF(Y11="","",MATCH(Y11,ACTUALS!$AD:$AD,0)-3)</f>
        <v/>
      </c>
      <c r="V11" s="94" cm="1">
        <f t="array" ref="V11">IFERROR(_xlfn.AGGREGATE(15, 6, (ACTUALS!$AD$4:$AD$54) / (ACTUALS!$AC$4:$AC$54=$A11), COLUMN(A10)),"")</f>
        <v>27.8</v>
      </c>
      <c r="W11" s="94" cm="1">
        <f t="array" ref="W11">IFERROR(_xlfn.AGGREGATE(15, 6, (ACTUALS!$AD$4:$AD$54) / (ACTUALS!$AC$4:$AC$54=$A11), COLUMN(B10)),"")</f>
        <v>27.9</v>
      </c>
      <c r="X11" s="94" t="str" cm="1">
        <f t="array" ref="X11">IFERROR(_xlfn.AGGREGATE(15, 6, (ACTUALS!$AD$4:$AD$54) / (ACTUALS!$AC$4:$AC$54=$A11), COLUMN(C10)),"")</f>
        <v/>
      </c>
      <c r="Y11" s="94" t="str" cm="1">
        <f t="array" ref="Y11">IFERROR(_xlfn.AGGREGATE(15, 6, (ACTUALS!$AD$4:$AD$54) / (ACTUALS!$AC$4:$AC$54=$A11), COLUMN(D10)),"")</f>
        <v/>
      </c>
      <c r="AD11" s="94" cm="1">
        <f t="array" ref="AD11">IF($G$3="",0,SUM(IFERROR(FIND(TeamstoWatch,B11,1),0)))</f>
        <v>0</v>
      </c>
      <c r="AE11" s="94" cm="1">
        <f t="array" ref="AE11">IF($G$3="",0,SUM(IFERROR(FIND(TeamstoWatch,C11,1),0)))</f>
        <v>0</v>
      </c>
      <c r="AF11" s="94" cm="1">
        <f t="array" ref="AF11">IF($G$3="",0,SUM(IFERROR(FIND(TeamstoWatch,D11,1),0)))</f>
        <v>0</v>
      </c>
      <c r="AG11" s="94" cm="1">
        <f t="array" ref="AG11">IF($G$3="",0,SUM(IFERROR(FIND(TeamstoWatch,E11,1),0)))</f>
        <v>0</v>
      </c>
    </row>
    <row r="12" spans="1:33" s="94" customFormat="1" ht="30" customHeight="1" x14ac:dyDescent="0.25">
      <c r="A12" s="102">
        <v>45467</v>
      </c>
      <c r="B12" s="163" t="str">
        <f ca="1">IF(Q12="","",(OFFSET(tblActuals[[#Headers],[TEAMS]],Q12,0))&amp;CHAR(10)&amp;TEXT(OFFSET(tblActuals[[#Headers],[YOUR LOCAL TIME]],Q12,0),IF($H$3="AM/PM","hh:mm am/pm","hh:mm")))</f>
        <v>Albania - Spain
03:00 PM</v>
      </c>
      <c r="C12" s="163" t="str">
        <f ca="1">IF(R12="","",(OFFSET(tblActuals[[#Headers],[TEAMS]],R12,0))&amp;CHAR(10)&amp;TEXT(OFFSET(tblActuals[[#Headers],[YOUR LOCAL TIME]],R12,0),IF($H$3="AM/PM","hh:mm am/pm","hh:mm")))</f>
        <v>Croatia - Italy
03:00 PM</v>
      </c>
      <c r="D12" s="163" t="str">
        <f ca="1">IF(S12="","",(OFFSET(tblActuals[[#Headers],[TEAMS]],S12,0))&amp;CHAR(10)&amp;TEXT(OFFSET(tblActuals[[#Headers],[YOUR LOCAL TIME]],S12,0),IF($H$3="AM/PM","hh:mm am/pm","hh:mm")))</f>
        <v/>
      </c>
      <c r="E12" s="163" t="str">
        <f ca="1">IF(T12="","",(OFFSET(tblActuals[[#Headers],[TEAMS]],T12,0))&amp;CHAR(10)&amp;TEXT(OFFSET(tblActuals[[#Headers],[YOUR LOCAL TIME]],T12,0),IF($H$3="AM/PM","hh:mm am/pm","hh:mm")))</f>
        <v/>
      </c>
      <c r="F12" s="95"/>
      <c r="G12" s="108"/>
      <c r="H12" s="108"/>
      <c r="I12" s="95"/>
      <c r="J12" s="95"/>
      <c r="K12" s="95"/>
      <c r="L12" s="95"/>
      <c r="M12" s="95"/>
      <c r="N12" s="95"/>
      <c r="O12" s="95"/>
      <c r="Q12" s="94">
        <f>IF(V12="","",MATCH(V12,ACTUALS!$AD:$AD,0)-3)</f>
        <v>27</v>
      </c>
      <c r="R12" s="94">
        <f>IF(W12="","",MATCH(W12,ACTUALS!$AD:$AD,0)-3)</f>
        <v>28</v>
      </c>
      <c r="S12" s="94" t="str">
        <f>IF(X12="","",MATCH(X12,ACTUALS!$AD:$AD,0)-3)</f>
        <v/>
      </c>
      <c r="T12" s="94" t="str">
        <f>IF(Y12="","",MATCH(Y12,ACTUALS!$AD:$AD,0)-3)</f>
        <v/>
      </c>
      <c r="V12" s="94" cm="1">
        <f t="array" ref="V12">IFERROR(_xlfn.AGGREGATE(15, 6, (ACTUALS!$AD$4:$AD$54) / (ACTUALS!$AC$4:$AC$54=$A12), COLUMN(A11)),"")</f>
        <v>30</v>
      </c>
      <c r="W12" s="94" cm="1">
        <f t="array" ref="W12">IFERROR(_xlfn.AGGREGATE(15, 6, (ACTUALS!$AD$4:$AD$54) / (ACTUALS!$AC$4:$AC$54=$A12), COLUMN(B11)),"")</f>
        <v>30.1</v>
      </c>
      <c r="X12" s="94" t="str" cm="1">
        <f t="array" ref="X12">IFERROR(_xlfn.AGGREGATE(15, 6, (ACTUALS!$AD$4:$AD$54) / (ACTUALS!$AC$4:$AC$54=$A12), COLUMN(C11)),"")</f>
        <v/>
      </c>
      <c r="Y12" s="94" t="str" cm="1">
        <f t="array" ref="Y12">IFERROR(_xlfn.AGGREGATE(15, 6, (ACTUALS!$AD$4:$AD$54) / (ACTUALS!$AC$4:$AC$54=$A12), COLUMN(D11)),"")</f>
        <v/>
      </c>
      <c r="AD12" s="94" cm="1">
        <f t="array" ref="AD12">IF($G$3="",0,SUM(IFERROR(FIND(TeamstoWatch,B12,1),0)))</f>
        <v>0</v>
      </c>
      <c r="AE12" s="94" cm="1">
        <f t="array" ref="AE12">IF($G$3="",0,SUM(IFERROR(FIND(TeamstoWatch,C12,1),0)))</f>
        <v>0</v>
      </c>
      <c r="AF12" s="94" cm="1">
        <f t="array" ref="AF12">IF($G$3="",0,SUM(IFERROR(FIND(TeamstoWatch,D12,1),0)))</f>
        <v>0</v>
      </c>
      <c r="AG12" s="94" cm="1">
        <f t="array" ref="AG12">IF($G$3="",0,SUM(IFERROR(FIND(TeamstoWatch,E12,1),0)))</f>
        <v>0</v>
      </c>
    </row>
    <row r="13" spans="1:33" s="94" customFormat="1" ht="30" customHeight="1" x14ac:dyDescent="0.25">
      <c r="A13" s="102">
        <v>45468</v>
      </c>
      <c r="B13" s="163" t="str">
        <f ca="1">IF(Q13="","",(OFFSET(tblActuals[[#Headers],[TEAMS]],Q13,0))&amp;CHAR(10)&amp;TEXT(OFFSET(tblActuals[[#Headers],[YOUR LOCAL TIME]],Q13,0),IF($H$3="AM/PM","hh:mm am/pm","hh:mm")))</f>
        <v>Netherlands - Austria
12:00 PM</v>
      </c>
      <c r="C13" s="163" t="str">
        <f ca="1">IF(R13="","",(OFFSET(tblActuals[[#Headers],[TEAMS]],R13,0))&amp;CHAR(10)&amp;TEXT(OFFSET(tblActuals[[#Headers],[YOUR LOCAL TIME]],R13,0),IF($H$3="AM/PM","hh:mm am/pm","hh:mm")))</f>
        <v>France - Poland
12:00 PM</v>
      </c>
      <c r="D13" s="163" t="str">
        <f ca="1">IF(S13="","",(OFFSET(tblActuals[[#Headers],[TEAMS]],S13,0))&amp;CHAR(10)&amp;TEXT(OFFSET(tblActuals[[#Headers],[YOUR LOCAL TIME]],S13,0),IF($H$3="AM/PM","hh:mm am/pm","hh:mm")))</f>
        <v>England - Slovenia
03:00 PM</v>
      </c>
      <c r="E13" s="163" t="str">
        <f ca="1">IF(T13="","",(OFFSET(tblActuals[[#Headers],[TEAMS]],T13,0))&amp;CHAR(10)&amp;TEXT(OFFSET(tblActuals[[#Headers],[YOUR LOCAL TIME]],T13,0),IF($H$3="AM/PM","hh:mm am/pm","hh:mm")))</f>
        <v>Denmark - Serbia
03:00 PM</v>
      </c>
      <c r="F13" s="95"/>
      <c r="G13" s="108"/>
      <c r="H13" s="108"/>
      <c r="I13" s="95"/>
      <c r="J13" s="95"/>
      <c r="K13" s="95"/>
      <c r="L13" s="95"/>
      <c r="M13" s="95"/>
      <c r="N13" s="95"/>
      <c r="O13" s="95"/>
      <c r="Q13" s="94">
        <f>IF(V13="","",MATCH(V13,ACTUALS!$AD:$AD,0)-3)</f>
        <v>31</v>
      </c>
      <c r="R13" s="94">
        <f>IF(W13="","",MATCH(W13,ACTUALS!$AD:$AD,0)-3)</f>
        <v>32</v>
      </c>
      <c r="S13" s="94">
        <f>IF(X13="","",MATCH(X13,ACTUALS!$AD:$AD,0)-3)</f>
        <v>29</v>
      </c>
      <c r="T13" s="94">
        <f>IF(Y13="","",MATCH(Y13,ACTUALS!$AD:$AD,0)-3)</f>
        <v>30</v>
      </c>
      <c r="V13" s="94" cm="1">
        <f t="array" ref="V13">IFERROR(_xlfn.AGGREGATE(15, 6, (ACTUALS!$AD$4:$AD$54) / (ACTUALS!$AC$4:$AC$54=$A13), COLUMN(A12)),"")</f>
        <v>32.4</v>
      </c>
      <c r="W13" s="94" cm="1">
        <f t="array" ref="W13">IFERROR(_xlfn.AGGREGATE(15, 6, (ACTUALS!$AD$4:$AD$54) / (ACTUALS!$AC$4:$AC$54=$A13), COLUMN(B12)),"")</f>
        <v>32.5</v>
      </c>
      <c r="X13" s="94" cm="1">
        <f t="array" ref="X13">IFERROR(_xlfn.AGGREGATE(15, 6, (ACTUALS!$AD$4:$AD$54) / (ACTUALS!$AC$4:$AC$54=$A13), COLUMN(C12)),"")</f>
        <v>34.200000000000003</v>
      </c>
      <c r="Y13" s="94" cm="1">
        <f t="array" ref="Y13">IFERROR(_xlfn.AGGREGATE(15, 6, (ACTUALS!$AD$4:$AD$54) / (ACTUALS!$AC$4:$AC$54=$A13), COLUMN(D12)),"")</f>
        <v>34.299999999999997</v>
      </c>
      <c r="AD13" s="94" cm="1">
        <f t="array" ref="AD13">IF($G$3="",0,SUM(IFERROR(FIND(TeamstoWatch,B13,1),0)))</f>
        <v>0</v>
      </c>
      <c r="AE13" s="94" cm="1">
        <f t="array" ref="AE13">IF($G$3="",0,SUM(IFERROR(FIND(TeamstoWatch,C13,1),0)))</f>
        <v>0</v>
      </c>
      <c r="AF13" s="94" cm="1">
        <f t="array" ref="AF13">IF($G$3="",0,SUM(IFERROR(FIND(TeamstoWatch,D13,1),0)))</f>
        <v>0</v>
      </c>
      <c r="AG13" s="94" cm="1">
        <f t="array" ref="AG13">IF($G$3="",0,SUM(IFERROR(FIND(TeamstoWatch,E13,1),0)))</f>
        <v>0</v>
      </c>
    </row>
    <row r="14" spans="1:33" s="94" customFormat="1" ht="30" customHeight="1" x14ac:dyDescent="0.25">
      <c r="A14" s="102">
        <v>45469</v>
      </c>
      <c r="B14" s="163" t="str">
        <f ca="1">IF(Q14="","",(OFFSET(tblActuals[[#Headers],[TEAMS]],Q14,0))&amp;CHAR(10)&amp;TEXT(OFFSET(tblActuals[[#Headers],[YOUR LOCAL TIME]],Q14,0),IF($H$3="AM/PM","hh:mm am/pm","hh:mm")))</f>
        <v>Slovakia - Romania
12:00 PM</v>
      </c>
      <c r="C14" s="163" t="str">
        <f ca="1">IF(R14="","",(OFFSET(tblActuals[[#Headers],[TEAMS]],R14,0))&amp;CHAR(10)&amp;TEXT(OFFSET(tblActuals[[#Headers],[YOUR LOCAL TIME]],R14,0),IF($H$3="AM/PM","hh:mm am/pm","hh:mm")))</f>
        <v>Ukraine - Belgium
12:00 PM</v>
      </c>
      <c r="D14" s="163" t="str">
        <f ca="1">IF(S14="","",(OFFSET(tblActuals[[#Headers],[TEAMS]],S14,0))&amp;CHAR(10)&amp;TEXT(OFFSET(tblActuals[[#Headers],[YOUR LOCAL TIME]],S14,0),IF($H$3="AM/PM","hh:mm am/pm","hh:mm")))</f>
        <v>Georgia - Portugal
03:00 PM</v>
      </c>
      <c r="E14" s="163" t="str">
        <f ca="1">IF(T14="","",(OFFSET(tblActuals[[#Headers],[TEAMS]],T14,0))&amp;CHAR(10)&amp;TEXT(OFFSET(tblActuals[[#Headers],[YOUR LOCAL TIME]],T14,0),IF($H$3="AM/PM","hh:mm am/pm","hh:mm")))</f>
        <v>Czechia - Turkey
03:00 PM</v>
      </c>
      <c r="F14" s="95"/>
      <c r="G14" s="108"/>
      <c r="H14" s="108"/>
      <c r="I14" s="95"/>
      <c r="J14" s="95"/>
      <c r="K14" s="95"/>
      <c r="L14" s="95"/>
      <c r="M14" s="95"/>
      <c r="N14" s="95"/>
      <c r="O14" s="95"/>
      <c r="Q14" s="94">
        <f>IF(V14="","",MATCH(V14,ACTUALS!$AD:$AD,0)-3)</f>
        <v>33</v>
      </c>
      <c r="R14" s="94">
        <f>IF(W14="","",MATCH(W14,ACTUALS!$AD:$AD,0)-3)</f>
        <v>34</v>
      </c>
      <c r="S14" s="94">
        <f>IF(X14="","",MATCH(X14,ACTUALS!$AD:$AD,0)-3)</f>
        <v>35</v>
      </c>
      <c r="T14" s="94">
        <f>IF(Y14="","",MATCH(Y14,ACTUALS!$AD:$AD,0)-3)</f>
        <v>36</v>
      </c>
      <c r="V14" s="94" cm="1">
        <f t="array" ref="V14">IFERROR(_xlfn.AGGREGATE(15, 6, (ACTUALS!$AD$4:$AD$54) / (ACTUALS!$AC$4:$AC$54=$A14), COLUMN(A13)),"")</f>
        <v>36.6</v>
      </c>
      <c r="W14" s="94" cm="1">
        <f t="array" ref="W14">IFERROR(_xlfn.AGGREGATE(15, 6, (ACTUALS!$AD$4:$AD$54) / (ACTUALS!$AC$4:$AC$54=$A14), COLUMN(B13)),"")</f>
        <v>36.700000000000003</v>
      </c>
      <c r="X14" s="94" cm="1">
        <f t="array" ref="X14">IFERROR(_xlfn.AGGREGATE(15, 6, (ACTUALS!$AD$4:$AD$54) / (ACTUALS!$AC$4:$AC$54=$A14), COLUMN(C13)),"")</f>
        <v>38.799999999999997</v>
      </c>
      <c r="Y14" s="94" cm="1">
        <f t="array" ref="Y14">IFERROR(_xlfn.AGGREGATE(15, 6, (ACTUALS!$AD$4:$AD$54) / (ACTUALS!$AC$4:$AC$54=$A14), COLUMN(D13)),"")</f>
        <v>38.9</v>
      </c>
      <c r="AD14" s="94" cm="1">
        <f t="array" ref="AD14">IF($G$3="",0,SUM(IFERROR(FIND(TeamstoWatch,B14,1),0)))</f>
        <v>0</v>
      </c>
      <c r="AE14" s="94" cm="1">
        <f t="array" ref="AE14">IF($G$3="",0,SUM(IFERROR(FIND(TeamstoWatch,C14,1),0)))</f>
        <v>0</v>
      </c>
      <c r="AF14" s="94" cm="1">
        <f t="array" ref="AF14">IF($G$3="",0,SUM(IFERROR(FIND(TeamstoWatch,D14,1),0)))</f>
        <v>0</v>
      </c>
      <c r="AG14" s="94" cm="1">
        <f t="array" ref="AG14">IF($G$3="",0,SUM(IFERROR(FIND(TeamstoWatch,E14,1),0)))</f>
        <v>0</v>
      </c>
    </row>
    <row r="15" spans="1:33" s="94" customFormat="1" ht="30" customHeight="1" x14ac:dyDescent="0.25">
      <c r="A15" s="102">
        <v>45472</v>
      </c>
      <c r="B15" s="163" t="str">
        <f ca="1">IF(Q15="","",(OFFSET(tblActuals[[#Headers],[TEAMS]],Q15,0))&amp;CHAR(10)&amp;TEXT(OFFSET(tblActuals[[#Headers],[YOUR LOCAL TIME]],Q15,0),IF($H$3="AM/PM","hh:mm am/pm","hh:mm")))</f>
        <v>Round of 16
12:00 PM</v>
      </c>
      <c r="C15" s="163" t="str">
        <f ca="1">IF(R15="","",(OFFSET(tblActuals[[#Headers],[TEAMS]],R15,0))&amp;CHAR(10)&amp;TEXT(OFFSET(tblActuals[[#Headers],[YOUR LOCAL TIME]],R15,0),IF($H$3="AM/PM","hh:mm am/pm","hh:mm")))</f>
        <v>Round of 16
03:00 PM</v>
      </c>
      <c r="D15" s="163" t="str">
        <f ca="1">IF(S15="","",(OFFSET(tblActuals[[#Headers],[TEAMS]],S15,0))&amp;CHAR(10)&amp;TEXT(OFFSET(tblActuals[[#Headers],[YOUR LOCAL TIME]],S15,0),IF($H$3="AM/PM","hh:mm am/pm","hh:mm")))</f>
        <v/>
      </c>
      <c r="E15" s="163" t="str">
        <f ca="1">IF(T15="","",(OFFSET(tblActuals[[#Headers],[TEAMS]],T15,0))&amp;CHAR(10)&amp;TEXT(OFFSET(tblActuals[[#Headers],[YOUR LOCAL TIME]],T15,0),IF($H$3="AM/PM","hh:mm am/pm","hh:mm")))</f>
        <v/>
      </c>
      <c r="F15" s="95"/>
      <c r="G15" s="108"/>
      <c r="H15" s="108"/>
      <c r="I15" s="95"/>
      <c r="J15" s="95"/>
      <c r="K15" s="95"/>
      <c r="L15" s="95"/>
      <c r="M15" s="95"/>
      <c r="N15" s="95"/>
      <c r="O15" s="95"/>
      <c r="Q15" s="94">
        <f>IF(V15="","",MATCH(V15,ACTUALS!$AD:$AD,0)-3)</f>
        <v>38</v>
      </c>
      <c r="R15" s="94">
        <f>IF(W15="","",MATCH(W15,ACTUALS!$AD:$AD,0)-3)</f>
        <v>37</v>
      </c>
      <c r="S15" s="94" t="str">
        <f>IF(X15="","",MATCH(X15,ACTUALS!$AD:$AD,0)-3)</f>
        <v/>
      </c>
      <c r="T15" s="94" t="str">
        <f>IF(Y15="","",MATCH(Y15,ACTUALS!$AD:$AD,0)-3)</f>
        <v/>
      </c>
      <c r="V15" s="94" cm="1">
        <f t="array" ref="V15">IFERROR(_xlfn.AGGREGATE(15, 6, (ACTUALS!$AD$4:$AD$54) / (ACTUALS!$AC$4:$AC$54=$A15), COLUMN(A14)),"")</f>
        <v>41.1</v>
      </c>
      <c r="W15" s="94" cm="1">
        <f t="array" ref="W15">IFERROR(_xlfn.AGGREGATE(15, 6, (ACTUALS!$AD$4:$AD$54) / (ACTUALS!$AC$4:$AC$54=$A15), COLUMN(B14)),"")</f>
        <v>42</v>
      </c>
      <c r="X15" s="94" t="str" cm="1">
        <f t="array" ref="X15">IFERROR(_xlfn.AGGREGATE(15, 6, (ACTUALS!$AD$4:$AD$54) / (ACTUALS!$AC$4:$AC$54=$A15), COLUMN(C14)),"")</f>
        <v/>
      </c>
      <c r="Y15" s="94" t="str" cm="1">
        <f t="array" ref="Y15">IFERROR(_xlfn.AGGREGATE(15, 6, (ACTUALS!$AD$4:$AD$54) / (ACTUALS!$AC$4:$AC$54=$A15), COLUMN(D14)),"")</f>
        <v/>
      </c>
      <c r="AD15" s="94" cm="1">
        <f t="array" ref="AD15">IF($G$3="",0,SUM(IFERROR(FIND(TeamstoWatch,B15,1),0)))</f>
        <v>0</v>
      </c>
      <c r="AE15" s="94" cm="1">
        <f t="array" ref="AE15">IF($G$3="",0,SUM(IFERROR(FIND(TeamstoWatch,C15,1),0)))</f>
        <v>0</v>
      </c>
      <c r="AF15" s="94" cm="1">
        <f t="array" ref="AF15">IF($G$3="",0,SUM(IFERROR(FIND(TeamstoWatch,D15,1),0)))</f>
        <v>0</v>
      </c>
      <c r="AG15" s="94" cm="1">
        <f t="array" ref="AG15">IF($G$3="",0,SUM(IFERROR(FIND(TeamstoWatch,E15,1),0)))</f>
        <v>0</v>
      </c>
    </row>
    <row r="16" spans="1:33" s="94" customFormat="1" ht="30" customHeight="1" x14ac:dyDescent="0.25">
      <c r="A16" s="102">
        <v>45473</v>
      </c>
      <c r="B16" s="163" t="str">
        <f ca="1">IF(Q16="","",(OFFSET(tblActuals[[#Headers],[TEAMS]],Q16,0))&amp;CHAR(10)&amp;TEXT(OFFSET(tblActuals[[#Headers],[YOUR LOCAL TIME]],Q16,0),IF($H$3="AM/PM","hh:mm am/pm","hh:mm")))</f>
        <v>Round of 16
12:00 PM</v>
      </c>
      <c r="C16" s="163" t="str">
        <f ca="1">IF(R16="","",(OFFSET(tblActuals[[#Headers],[TEAMS]],R16,0))&amp;CHAR(10)&amp;TEXT(OFFSET(tblActuals[[#Headers],[YOUR LOCAL TIME]],R16,0),IF($H$3="AM/PM","hh:mm am/pm","hh:mm")))</f>
        <v>Round of 16
03:00 PM</v>
      </c>
      <c r="D16" s="163" t="str">
        <f ca="1">IF(S16="","",(OFFSET(tblActuals[[#Headers],[TEAMS]],S16,0))&amp;CHAR(10)&amp;TEXT(OFFSET(tblActuals[[#Headers],[YOUR LOCAL TIME]],S16,0),IF($H$3="AM/PM","hh:mm am/pm","hh:mm")))</f>
        <v/>
      </c>
      <c r="E16" s="163" t="str">
        <f ca="1">IF(T16="","",(OFFSET(tblActuals[[#Headers],[TEAMS]],T16,0))&amp;CHAR(10)&amp;TEXT(OFFSET(tblActuals[[#Headers],[YOUR LOCAL TIME]],T16,0),IF($H$3="AM/PM","hh:mm am/pm","hh:mm")))</f>
        <v/>
      </c>
      <c r="F16" s="95"/>
      <c r="G16" s="108"/>
      <c r="H16" s="108"/>
      <c r="I16" s="95"/>
      <c r="J16" s="95"/>
      <c r="K16" s="95"/>
      <c r="L16" s="95"/>
      <c r="M16" s="95"/>
      <c r="N16" s="95"/>
      <c r="O16" s="95"/>
      <c r="Q16" s="94">
        <f>IF(V16="","",MATCH(V16,ACTUALS!$AD:$AD,0)-3)</f>
        <v>40</v>
      </c>
      <c r="R16" s="94">
        <f>IF(W16="","",MATCH(W16,ACTUALS!$AD:$AD,0)-3)</f>
        <v>39</v>
      </c>
      <c r="S16" s="94" t="str">
        <f>IF(X16="","",MATCH(X16,ACTUALS!$AD:$AD,0)-3)</f>
        <v/>
      </c>
      <c r="T16" s="94" t="str">
        <f>IF(Y16="","",MATCH(Y16,ACTUALS!$AD:$AD,0)-3)</f>
        <v/>
      </c>
      <c r="V16" s="94" cm="1">
        <f t="array" ref="V16">IFERROR(_xlfn.AGGREGATE(15, 6, (ACTUALS!$AD$4:$AD$54) / (ACTUALS!$AC$4:$AC$54=$A16), COLUMN(A15)),"")</f>
        <v>43.3</v>
      </c>
      <c r="W16" s="94" cm="1">
        <f t="array" ref="W16">IFERROR(_xlfn.AGGREGATE(15, 6, (ACTUALS!$AD$4:$AD$54) / (ACTUALS!$AC$4:$AC$54=$A16), COLUMN(B15)),"")</f>
        <v>44.2</v>
      </c>
      <c r="X16" s="94" t="str" cm="1">
        <f t="array" ref="X16">IFERROR(_xlfn.AGGREGATE(15, 6, (ACTUALS!$AD$4:$AD$54) / (ACTUALS!$AC$4:$AC$54=$A16), COLUMN(C15)),"")</f>
        <v/>
      </c>
      <c r="Y16" s="94" t="str" cm="1">
        <f t="array" ref="Y16">IFERROR(_xlfn.AGGREGATE(15, 6, (ACTUALS!$AD$4:$AD$54) / (ACTUALS!$AC$4:$AC$54=$A16), COLUMN(D15)),"")</f>
        <v/>
      </c>
      <c r="AD16" s="94" cm="1">
        <f t="array" ref="AD16">IF($G$3="",0,SUM(IFERROR(FIND(TeamstoWatch,B16,1),0)))</f>
        <v>0</v>
      </c>
      <c r="AE16" s="94" cm="1">
        <f t="array" ref="AE16">IF($G$3="",0,SUM(IFERROR(FIND(TeamstoWatch,C16,1),0)))</f>
        <v>0</v>
      </c>
      <c r="AF16" s="94" cm="1">
        <f t="array" ref="AF16">IF($G$3="",0,SUM(IFERROR(FIND(TeamstoWatch,D16,1),0)))</f>
        <v>0</v>
      </c>
      <c r="AG16" s="94" cm="1">
        <f t="array" ref="AG16">IF($G$3="",0,SUM(IFERROR(FIND(TeamstoWatch,E16,1),0)))</f>
        <v>0</v>
      </c>
    </row>
    <row r="17" spans="1:33" s="94" customFormat="1" ht="30" customHeight="1" x14ac:dyDescent="0.25">
      <c r="A17" s="102">
        <v>45474</v>
      </c>
      <c r="B17" s="163" t="str">
        <f ca="1">IF(Q17="","",(OFFSET(tblActuals[[#Headers],[TEAMS]],Q17,0))&amp;CHAR(10)&amp;TEXT(OFFSET(tblActuals[[#Headers],[YOUR LOCAL TIME]],Q17,0),IF($H$3="AM/PM","hh:mm am/pm","hh:mm")))</f>
        <v>Round of 16
12:00 PM</v>
      </c>
      <c r="C17" s="163" t="str">
        <f ca="1">IF(R17="","",(OFFSET(tblActuals[[#Headers],[TEAMS]],R17,0))&amp;CHAR(10)&amp;TEXT(OFFSET(tblActuals[[#Headers],[YOUR LOCAL TIME]],R17,0),IF($H$3="AM/PM","hh:mm am/pm","hh:mm")))</f>
        <v>Round of 16
03:00 PM</v>
      </c>
      <c r="D17" s="163" t="str">
        <f ca="1">IF(S17="","",(OFFSET(tblActuals[[#Headers],[TEAMS]],S17,0))&amp;CHAR(10)&amp;TEXT(OFFSET(tblActuals[[#Headers],[YOUR LOCAL TIME]],S17,0),IF($H$3="AM/PM","hh:mm am/pm","hh:mm")))</f>
        <v/>
      </c>
      <c r="E17" s="163" t="str">
        <f ca="1">IF(T17="","",(OFFSET(tblActuals[[#Headers],[TEAMS]],T17,0))&amp;CHAR(10)&amp;TEXT(OFFSET(tblActuals[[#Headers],[YOUR LOCAL TIME]],T17,0),IF($H$3="AM/PM","hh:mm am/pm","hh:mm")))</f>
        <v/>
      </c>
      <c r="F17" s="95"/>
      <c r="G17" s="108"/>
      <c r="H17" s="108"/>
      <c r="I17" s="95"/>
      <c r="J17" s="95"/>
      <c r="K17" s="95"/>
      <c r="L17" s="95"/>
      <c r="M17" s="95"/>
      <c r="N17" s="95"/>
      <c r="O17" s="95"/>
      <c r="Q17" s="94">
        <f>IF(V17="","",MATCH(V17,ACTUALS!$AD:$AD,0)-3)</f>
        <v>42</v>
      </c>
      <c r="R17" s="94">
        <f>IF(W17="","",MATCH(W17,ACTUALS!$AD:$AD,0)-3)</f>
        <v>41</v>
      </c>
      <c r="S17" s="94" t="str">
        <f>IF(X17="","",MATCH(X17,ACTUALS!$AD:$AD,0)-3)</f>
        <v/>
      </c>
      <c r="T17" s="94" t="str">
        <f>IF(Y17="","",MATCH(Y17,ACTUALS!$AD:$AD,0)-3)</f>
        <v/>
      </c>
      <c r="V17" s="94" cm="1">
        <f t="array" ref="V17">IFERROR(_xlfn.AGGREGATE(15, 6, (ACTUALS!$AD$4:$AD$54) / (ACTUALS!$AC$4:$AC$54=$A17), COLUMN(A16)),"")</f>
        <v>45.5</v>
      </c>
      <c r="W17" s="94" cm="1">
        <f t="array" ref="W17">IFERROR(_xlfn.AGGREGATE(15, 6, (ACTUALS!$AD$4:$AD$54) / (ACTUALS!$AC$4:$AC$54=$A17), COLUMN(B16)),"")</f>
        <v>46.4</v>
      </c>
      <c r="X17" s="94" t="str" cm="1">
        <f t="array" ref="X17">IFERROR(_xlfn.AGGREGATE(15, 6, (ACTUALS!$AD$4:$AD$54) / (ACTUALS!$AC$4:$AC$54=$A17), COLUMN(C16)),"")</f>
        <v/>
      </c>
      <c r="Y17" s="94" t="str" cm="1">
        <f t="array" ref="Y17">IFERROR(_xlfn.AGGREGATE(15, 6, (ACTUALS!$AD$4:$AD$54) / (ACTUALS!$AC$4:$AC$54=$A17), COLUMN(D16)),"")</f>
        <v/>
      </c>
      <c r="AD17" s="94" cm="1">
        <f t="array" ref="AD17">IF($G$3="",0,SUM(IFERROR(FIND(TeamstoWatch,B17,1),0)))</f>
        <v>0</v>
      </c>
      <c r="AE17" s="94" cm="1">
        <f t="array" ref="AE17">IF($G$3="",0,SUM(IFERROR(FIND(TeamstoWatch,C17,1),0)))</f>
        <v>0</v>
      </c>
      <c r="AF17" s="94" cm="1">
        <f t="array" ref="AF17">IF($G$3="",0,SUM(IFERROR(FIND(TeamstoWatch,D17,1),0)))</f>
        <v>0</v>
      </c>
      <c r="AG17" s="94" cm="1">
        <f t="array" ref="AG17">IF($G$3="",0,SUM(IFERROR(FIND(TeamstoWatch,E17,1),0)))</f>
        <v>0</v>
      </c>
    </row>
    <row r="18" spans="1:33" s="94" customFormat="1" ht="30" customHeight="1" x14ac:dyDescent="0.25">
      <c r="A18" s="102">
        <v>45475</v>
      </c>
      <c r="B18" s="163" t="str">
        <f ca="1">IF(Q18="","",(OFFSET(tblActuals[[#Headers],[TEAMS]],Q18,0))&amp;CHAR(10)&amp;TEXT(OFFSET(tblActuals[[#Headers],[YOUR LOCAL TIME]],Q18,0),IF($H$3="AM/PM","hh:mm am/pm","hh:mm")))</f>
        <v>Round of 16
12:00 PM</v>
      </c>
      <c r="C18" s="163" t="str">
        <f ca="1">IF(R18="","",(OFFSET(tblActuals[[#Headers],[TEAMS]],R18,0))&amp;CHAR(10)&amp;TEXT(OFFSET(tblActuals[[#Headers],[YOUR LOCAL TIME]],R18,0),IF($H$3="AM/PM","hh:mm am/pm","hh:mm")))</f>
        <v>Round of 16
03:00 PM</v>
      </c>
      <c r="D18" s="163" t="str">
        <f ca="1">IF(S18="","",(OFFSET(tblActuals[[#Headers],[TEAMS]],S18,0))&amp;CHAR(10)&amp;TEXT(OFFSET(tblActuals[[#Headers],[YOUR LOCAL TIME]],S18,0),IF($H$3="AM/PM","hh:mm am/pm","hh:mm")))</f>
        <v/>
      </c>
      <c r="E18" s="163" t="str">
        <f ca="1">IF(T18="","",(OFFSET(tblActuals[[#Headers],[TEAMS]],T18,0))&amp;CHAR(10)&amp;TEXT(OFFSET(tblActuals[[#Headers],[YOUR LOCAL TIME]],T18,0),IF($H$3="AM/PM","hh:mm am/pm","hh:mm")))</f>
        <v/>
      </c>
      <c r="F18" s="95"/>
      <c r="G18" s="108"/>
      <c r="H18" s="108"/>
      <c r="I18" s="95"/>
      <c r="J18" s="95"/>
      <c r="K18" s="95"/>
      <c r="L18" s="95"/>
      <c r="M18" s="95"/>
      <c r="N18" s="95"/>
      <c r="O18" s="95"/>
      <c r="Q18" s="94">
        <f>IF(V18="","",MATCH(V18,ACTUALS!$AD:$AD,0)-3)</f>
        <v>43</v>
      </c>
      <c r="R18" s="94">
        <f>IF(W18="","",MATCH(W18,ACTUALS!$AD:$AD,0)-3)</f>
        <v>44</v>
      </c>
      <c r="S18" s="94" t="str">
        <f>IF(X18="","",MATCH(X18,ACTUALS!$AD:$AD,0)-3)</f>
        <v/>
      </c>
      <c r="T18" s="94" t="str">
        <f>IF(Y18="","",MATCH(Y18,ACTUALS!$AD:$AD,0)-3)</f>
        <v/>
      </c>
      <c r="V18" s="94" cm="1">
        <f t="array" ref="V18">IFERROR(_xlfn.AGGREGATE(15, 6, (ACTUALS!$AD$4:$AD$54) / (ACTUALS!$AC$4:$AC$54=$A18), COLUMN(A17)),"")</f>
        <v>47.6</v>
      </c>
      <c r="W18" s="94" cm="1">
        <f t="array" ref="W18">IFERROR(_xlfn.AGGREGATE(15, 6, (ACTUALS!$AD$4:$AD$54) / (ACTUALS!$AC$4:$AC$54=$A18), COLUMN(B17)),"")</f>
        <v>48.7</v>
      </c>
      <c r="X18" s="94" t="str" cm="1">
        <f t="array" ref="X18">IFERROR(_xlfn.AGGREGATE(15, 6, (ACTUALS!$AD$4:$AD$54) / (ACTUALS!$AC$4:$AC$54=$A18), COLUMN(C17)),"")</f>
        <v/>
      </c>
      <c r="Y18" s="94" t="str" cm="1">
        <f t="array" ref="Y18">IFERROR(_xlfn.AGGREGATE(15, 6, (ACTUALS!$AD$4:$AD$54) / (ACTUALS!$AC$4:$AC$54=$A18), COLUMN(D17)),"")</f>
        <v/>
      </c>
      <c r="AD18" s="94" cm="1">
        <f t="array" ref="AD18">IF($G$3="",0,SUM(IFERROR(FIND(TeamstoWatch,B18,1),0)))</f>
        <v>0</v>
      </c>
      <c r="AE18" s="94" cm="1">
        <f t="array" ref="AE18">IF($G$3="",0,SUM(IFERROR(FIND(TeamstoWatch,C18,1),0)))</f>
        <v>0</v>
      </c>
      <c r="AF18" s="94" cm="1">
        <f t="array" ref="AF18">IF($G$3="",0,SUM(IFERROR(FIND(TeamstoWatch,D18,1),0)))</f>
        <v>0</v>
      </c>
      <c r="AG18" s="94" cm="1">
        <f t="array" ref="AG18">IF($G$3="",0,SUM(IFERROR(FIND(TeamstoWatch,E18,1),0)))</f>
        <v>0</v>
      </c>
    </row>
    <row r="19" spans="1:33" s="94" customFormat="1" ht="30" customHeight="1" x14ac:dyDescent="0.25">
      <c r="A19" s="102">
        <v>45478</v>
      </c>
      <c r="B19" s="163" t="str">
        <f ca="1">IF(Q19="","",(OFFSET(tblActuals[[#Headers],[TEAMS]],Q19,0))&amp;CHAR(10)&amp;TEXT(OFFSET(tblActuals[[#Headers],[YOUR LOCAL TIME]],Q19,0),IF($H$3="AM/PM","hh:mm am/pm","hh:mm")))</f>
        <v>Quarterfinal 1
12:00 PM</v>
      </c>
      <c r="C19" s="163" t="str">
        <f ca="1">IF(R19="","",(OFFSET(tblActuals[[#Headers],[TEAMS]],R19,0))&amp;CHAR(10)&amp;TEXT(OFFSET(tblActuals[[#Headers],[YOUR LOCAL TIME]],R19,0),IF($H$3="AM/PM","hh:mm am/pm","hh:mm")))</f>
        <v>Quarterfinal 2
03:00 PM</v>
      </c>
      <c r="D19" s="163" t="str">
        <f ca="1">IF(S19="","",(OFFSET(tblActuals[[#Headers],[TEAMS]],S19,0))&amp;CHAR(10)&amp;TEXT(OFFSET(tblActuals[[#Headers],[YOUR LOCAL TIME]],S19,0),IF($H$3="AM/PM","hh:mm am/pm","hh:mm")))</f>
        <v/>
      </c>
      <c r="E19" s="163" t="str">
        <f ca="1">IF(T19="","",(OFFSET(tblActuals[[#Headers],[TEAMS]],T19,0))&amp;CHAR(10)&amp;TEXT(OFFSET(tblActuals[[#Headers],[YOUR LOCAL TIME]],T19,0),IF($H$3="AM/PM","hh:mm am/pm","hh:mm")))</f>
        <v/>
      </c>
      <c r="F19" s="95"/>
      <c r="G19" s="108"/>
      <c r="H19" s="108"/>
      <c r="I19" s="95"/>
      <c r="J19" s="95"/>
      <c r="K19" s="95"/>
      <c r="L19" s="95"/>
      <c r="M19" s="95"/>
      <c r="N19" s="95"/>
      <c r="O19" s="95"/>
      <c r="Q19" s="94">
        <f>IF(V19="","",MATCH(V19,ACTUALS!$AD:$AD,0)-3)</f>
        <v>45</v>
      </c>
      <c r="R19" s="94">
        <f>IF(W19="","",MATCH(W19,ACTUALS!$AD:$AD,0)-3)</f>
        <v>46</v>
      </c>
      <c r="S19" s="94" t="str">
        <f>IF(X19="","",MATCH(X19,ACTUALS!$AD:$AD,0)-3)</f>
        <v/>
      </c>
      <c r="T19" s="94" t="str">
        <f>IF(Y19="","",MATCH(Y19,ACTUALS!$AD:$AD,0)-3)</f>
        <v/>
      </c>
      <c r="V19" s="94" cm="1">
        <f t="array" ref="V19">IFERROR(_xlfn.AGGREGATE(15, 6, (ACTUALS!$AD$4:$AD$54) / (ACTUALS!$AC$4:$AC$54=$A19), COLUMN(A18)),"")</f>
        <v>49.8</v>
      </c>
      <c r="W19" s="94" cm="1">
        <f t="array" ref="W19">IFERROR(_xlfn.AGGREGATE(15, 6, (ACTUALS!$AD$4:$AD$54) / (ACTUALS!$AC$4:$AC$54=$A19), COLUMN(B18)),"")</f>
        <v>50.9</v>
      </c>
      <c r="X19" s="94" t="str" cm="1">
        <f t="array" ref="X19">IFERROR(_xlfn.AGGREGATE(15, 6, (ACTUALS!$AD$4:$AD$54) / (ACTUALS!$AC$4:$AC$54=$A19), COLUMN(C18)),"")</f>
        <v/>
      </c>
      <c r="Y19" s="94" t="str" cm="1">
        <f t="array" ref="Y19">IFERROR(_xlfn.AGGREGATE(15, 6, (ACTUALS!$AD$4:$AD$54) / (ACTUALS!$AC$4:$AC$54=$A19), COLUMN(D18)),"")</f>
        <v/>
      </c>
      <c r="AD19" s="94" cm="1">
        <f t="array" ref="AD19">IF($G$3="",0,SUM(IFERROR(FIND(TeamstoWatch,B19,1),0)))</f>
        <v>0</v>
      </c>
      <c r="AE19" s="94" cm="1">
        <f t="array" ref="AE19">IF($G$3="",0,SUM(IFERROR(FIND(TeamstoWatch,C19,1),0)))</f>
        <v>0</v>
      </c>
      <c r="AF19" s="94" cm="1">
        <f t="array" ref="AF19">IF($G$3="",0,SUM(IFERROR(FIND(TeamstoWatch,D19,1),0)))</f>
        <v>0</v>
      </c>
      <c r="AG19" s="94" cm="1">
        <f t="array" ref="AG19">IF($G$3="",0,SUM(IFERROR(FIND(TeamstoWatch,E19,1),0)))</f>
        <v>0</v>
      </c>
    </row>
    <row r="20" spans="1:33" s="94" customFormat="1" ht="30" customHeight="1" x14ac:dyDescent="0.25">
      <c r="A20" s="102">
        <v>45479</v>
      </c>
      <c r="B20" s="163" t="str">
        <f ca="1">IF(Q20="","",(OFFSET(tblActuals[[#Headers],[TEAMS]],Q20,0))&amp;CHAR(10)&amp;TEXT(OFFSET(tblActuals[[#Headers],[YOUR LOCAL TIME]],Q20,0),IF($H$3="AM/PM","hh:mm am/pm","hh:mm")))</f>
        <v>Quarterfinal 4
12:00 PM</v>
      </c>
      <c r="C20" s="163" t="str">
        <f ca="1">IF(R20="","",(OFFSET(tblActuals[[#Headers],[TEAMS]],R20,0))&amp;CHAR(10)&amp;TEXT(OFFSET(tblActuals[[#Headers],[YOUR LOCAL TIME]],R20,0),IF($H$3="AM/PM","hh:mm am/pm","hh:mm")))</f>
        <v>Quarterfinal 3
03:00 PM</v>
      </c>
      <c r="D20" s="163" t="str">
        <f ca="1">IF(S20="","",(OFFSET(tblActuals[[#Headers],[TEAMS]],S20,0))&amp;CHAR(10)&amp;TEXT(OFFSET(tblActuals[[#Headers],[YOUR LOCAL TIME]],S20,0),IF($H$3="AM/PM","hh:mm am/pm","hh:mm")))</f>
        <v/>
      </c>
      <c r="E20" s="163" t="str">
        <f ca="1">IF(T20="","",(OFFSET(tblActuals[[#Headers],[TEAMS]],T20,0))&amp;CHAR(10)&amp;TEXT(OFFSET(tblActuals[[#Headers],[YOUR LOCAL TIME]],T20,0),IF($H$3="AM/PM","hh:mm am/pm","hh:mm")))</f>
        <v/>
      </c>
      <c r="F20" s="95"/>
      <c r="G20" s="108"/>
      <c r="H20" s="108"/>
      <c r="I20" s="95"/>
      <c r="J20" s="95"/>
      <c r="K20" s="95"/>
      <c r="L20" s="95"/>
      <c r="M20" s="95"/>
      <c r="N20" s="95"/>
      <c r="O20" s="95"/>
      <c r="Q20" s="94">
        <f>IF(V20="","",MATCH(V20,ACTUALS!$AD:$AD,0)-3)</f>
        <v>48</v>
      </c>
      <c r="R20" s="94">
        <f>IF(W20="","",MATCH(W20,ACTUALS!$AD:$AD,0)-3)</f>
        <v>47</v>
      </c>
      <c r="S20" s="94" t="str">
        <f>IF(X20="","",MATCH(X20,ACTUALS!$AD:$AD,0)-3)</f>
        <v/>
      </c>
      <c r="T20" s="94" t="str">
        <f>IF(Y20="","",MATCH(Y20,ACTUALS!$AD:$AD,0)-3)</f>
        <v/>
      </c>
      <c r="V20" s="94" cm="1">
        <f t="array" ref="V20">IFERROR(_xlfn.AGGREGATE(15, 6, (ACTUALS!$AD$4:$AD$54) / (ACTUALS!$AC$4:$AC$54=$A20), COLUMN(A19)),"")</f>
        <v>52.1</v>
      </c>
      <c r="W20" s="94" cm="1">
        <f t="array" ref="W20">IFERROR(_xlfn.AGGREGATE(15, 6, (ACTUALS!$AD$4:$AD$54) / (ACTUALS!$AC$4:$AC$54=$A20), COLUMN(B19)),"")</f>
        <v>53</v>
      </c>
      <c r="X20" s="94" t="str" cm="1">
        <f t="array" ref="X20">IFERROR(_xlfn.AGGREGATE(15, 6, (ACTUALS!$AD$4:$AD$54) / (ACTUALS!$AC$4:$AC$54=$A20), COLUMN(C19)),"")</f>
        <v/>
      </c>
      <c r="Y20" s="94" t="str" cm="1">
        <f t="array" ref="Y20">IFERROR(_xlfn.AGGREGATE(15, 6, (ACTUALS!$AD$4:$AD$54) / (ACTUALS!$AC$4:$AC$54=$A20), COLUMN(D19)),"")</f>
        <v/>
      </c>
      <c r="AD20" s="94" cm="1">
        <f t="array" ref="AD20">IF($G$3="",0,SUM(IFERROR(FIND(TeamstoWatch,B20,1),0)))</f>
        <v>0</v>
      </c>
      <c r="AE20" s="94" cm="1">
        <f t="array" ref="AE20">IF($G$3="",0,SUM(IFERROR(FIND(TeamstoWatch,C20,1),0)))</f>
        <v>0</v>
      </c>
      <c r="AF20" s="94" cm="1">
        <f t="array" ref="AF20">IF($G$3="",0,SUM(IFERROR(FIND(TeamstoWatch,D20,1),0)))</f>
        <v>0</v>
      </c>
      <c r="AG20" s="94" cm="1">
        <f t="array" ref="AG20">IF($G$3="",0,SUM(IFERROR(FIND(TeamstoWatch,E20,1),0)))</f>
        <v>0</v>
      </c>
    </row>
    <row r="21" spans="1:33" s="94" customFormat="1" ht="30" customHeight="1" x14ac:dyDescent="0.25">
      <c r="A21" s="102">
        <v>45482</v>
      </c>
      <c r="B21" s="163" t="str">
        <f ca="1">IF(Q21="","",(OFFSET(tblActuals[[#Headers],[TEAMS]],Q21,0))&amp;CHAR(10)&amp;TEXT(OFFSET(tblActuals[[#Headers],[YOUR LOCAL TIME]],Q21,0),IF($H$3="AM/PM","hh:mm am/pm","hh:mm")))</f>
        <v>Semifinal 1
03:00 PM</v>
      </c>
      <c r="C21" s="163" t="str">
        <f ca="1">IF(R21="","",(OFFSET(tblActuals[[#Headers],[TEAMS]],R21,0))&amp;CHAR(10)&amp;TEXT(OFFSET(tblActuals[[#Headers],[YOUR LOCAL TIME]],R21,0),IF($H$3="AM/PM","hh:mm am/pm","hh:mm")))</f>
        <v/>
      </c>
      <c r="D21" s="163" t="str">
        <f ca="1">IF(S21="","",(OFFSET(tblActuals[[#Headers],[TEAMS]],S21,0))&amp;CHAR(10)&amp;TEXT(OFFSET(tblActuals[[#Headers],[YOUR LOCAL TIME]],S21,0),IF($H$3="AM/PM","hh:mm am/pm","hh:mm")))</f>
        <v/>
      </c>
      <c r="E21" s="163" t="str">
        <f ca="1">IF(T21="","",(OFFSET(tblActuals[[#Headers],[TEAMS]],T21,0))&amp;CHAR(10)&amp;TEXT(OFFSET(tblActuals[[#Headers],[YOUR LOCAL TIME]],T21,0),IF($H$3="AM/PM","hh:mm am/pm","hh:mm")))</f>
        <v/>
      </c>
      <c r="F21" s="95"/>
      <c r="G21" s="108"/>
      <c r="H21" s="108"/>
      <c r="I21" s="95"/>
      <c r="J21" s="95"/>
      <c r="K21" s="95"/>
      <c r="L21" s="95"/>
      <c r="M21" s="95"/>
      <c r="N21" s="95"/>
      <c r="O21" s="95"/>
      <c r="Q21" s="94">
        <f>IF(V21="","",MATCH(V21,ACTUALS!$AD:$AD,0)-3)</f>
        <v>49</v>
      </c>
      <c r="R21" s="94" t="str">
        <f>IF(W21="","",MATCH(W21,ACTUALS!$AD:$AD,0)-3)</f>
        <v/>
      </c>
      <c r="S21" s="94" t="str">
        <f>IF(X21="","",MATCH(X21,ACTUALS!$AD:$AD,0)-3)</f>
        <v/>
      </c>
      <c r="T21" s="94" t="str">
        <f>IF(Y21="","",MATCH(Y21,ACTUALS!$AD:$AD,0)-3)</f>
        <v/>
      </c>
      <c r="V21" s="94" cm="1">
        <f t="array" ref="V21">IFERROR(_xlfn.AGGREGATE(15, 6, (ACTUALS!$AD$4:$AD$54) / (ACTUALS!$AC$4:$AC$54=$A21), COLUMN(A20)),"")</f>
        <v>54.2</v>
      </c>
      <c r="W21" s="94" t="str" cm="1">
        <f t="array" ref="W21">IFERROR(_xlfn.AGGREGATE(15, 6, (ACTUALS!$AD$4:$AD$54) / (ACTUALS!$AC$4:$AC$54=$A21), COLUMN(B20)),"")</f>
        <v/>
      </c>
      <c r="X21" s="94" t="str" cm="1">
        <f t="array" ref="X21">IFERROR(_xlfn.AGGREGATE(15, 6, (ACTUALS!$AD$4:$AD$54) / (ACTUALS!$AC$4:$AC$54=$A21), COLUMN(C20)),"")</f>
        <v/>
      </c>
      <c r="Y21" s="94" t="str" cm="1">
        <f t="array" ref="Y21">IFERROR(_xlfn.AGGREGATE(15, 6, (ACTUALS!$AD$4:$AD$54) / (ACTUALS!$AC$4:$AC$54=$A21), COLUMN(D20)),"")</f>
        <v/>
      </c>
      <c r="AD21" s="94" cm="1">
        <f t="array" ref="AD21">IF($G$3="",0,SUM(IFERROR(FIND(TeamstoWatch,B21,1),0)))</f>
        <v>0</v>
      </c>
      <c r="AE21" s="94" cm="1">
        <f t="array" ref="AE21">IF($G$3="",0,SUM(IFERROR(FIND(TeamstoWatch,C21,1),0)))</f>
        <v>0</v>
      </c>
      <c r="AF21" s="94" cm="1">
        <f t="array" ref="AF21">IF($G$3="",0,SUM(IFERROR(FIND(TeamstoWatch,D21,1),0)))</f>
        <v>0</v>
      </c>
      <c r="AG21" s="94" cm="1">
        <f t="array" ref="AG21">IF($G$3="",0,SUM(IFERROR(FIND(TeamstoWatch,E21,1),0)))</f>
        <v>0</v>
      </c>
    </row>
    <row r="22" spans="1:33" s="94" customFormat="1" ht="30" customHeight="1" x14ac:dyDescent="0.25">
      <c r="A22" s="102">
        <v>45483</v>
      </c>
      <c r="B22" s="163" t="str">
        <f ca="1">IF(Q22="","",(OFFSET(tblActuals[[#Headers],[TEAMS]],Q22,0))&amp;CHAR(10)&amp;TEXT(OFFSET(tblActuals[[#Headers],[YOUR LOCAL TIME]],Q22,0),IF($H$3="AM/PM","hh:mm am/pm","hh:mm")))</f>
        <v>Semifinal 2
03:00 PM</v>
      </c>
      <c r="C22" s="163" t="str">
        <f ca="1">IF(R22="","",(OFFSET(tblActuals[[#Headers],[TEAMS]],R22,0))&amp;CHAR(10)&amp;TEXT(OFFSET(tblActuals[[#Headers],[YOUR LOCAL TIME]],R22,0),IF($H$3="AM/PM","hh:mm am/pm","hh:mm")))</f>
        <v/>
      </c>
      <c r="D22" s="163" t="str">
        <f ca="1">IF(S22="","",(OFFSET(tblActuals[[#Headers],[TEAMS]],S22,0))&amp;CHAR(10)&amp;TEXT(OFFSET(tblActuals[[#Headers],[YOUR LOCAL TIME]],S22,0),IF($H$3="AM/PM","hh:mm am/pm","hh:mm")))</f>
        <v/>
      </c>
      <c r="E22" s="163" t="str">
        <f ca="1">IF(T22="","",(OFFSET(tblActuals[[#Headers],[TEAMS]],T22,0))&amp;CHAR(10)&amp;TEXT(OFFSET(tblActuals[[#Headers],[YOUR LOCAL TIME]],T22,0),IF($H$3="AM/PM","hh:mm am/pm","hh:mm")))</f>
        <v/>
      </c>
      <c r="F22" s="95"/>
      <c r="G22" s="108"/>
      <c r="H22" s="108"/>
      <c r="I22" s="95"/>
      <c r="J22" s="95"/>
      <c r="K22" s="95"/>
      <c r="L22" s="95"/>
      <c r="M22" s="95"/>
      <c r="N22" s="95"/>
      <c r="O22" s="95"/>
      <c r="Q22" s="94">
        <f>IF(V22="","",MATCH(V22,ACTUALS!$AD:$AD,0)-3)</f>
        <v>50</v>
      </c>
      <c r="R22" s="94" t="str">
        <f>IF(W22="","",MATCH(W22,ACTUALS!$AD:$AD,0)-3)</f>
        <v/>
      </c>
      <c r="S22" s="94" t="str">
        <f>IF(X22="","",MATCH(X22,ACTUALS!$AD:$AD,0)-3)</f>
        <v/>
      </c>
      <c r="T22" s="94" t="str">
        <f>IF(Y22="","",MATCH(Y22,ACTUALS!$AD:$AD,0)-3)</f>
        <v/>
      </c>
      <c r="V22" s="94" cm="1">
        <f t="array" ref="V22">IFERROR(_xlfn.AGGREGATE(15, 6, (ACTUALS!$AD$4:$AD$54) / (ACTUALS!$AC$4:$AC$54=$A22), COLUMN(A21)),"")</f>
        <v>55.3</v>
      </c>
      <c r="W22" s="94" t="str" cm="1">
        <f t="array" ref="W22">IFERROR(_xlfn.AGGREGATE(15, 6, (ACTUALS!$AD$4:$AD$54) / (ACTUALS!$AC$4:$AC$54=$A22), COLUMN(B21)),"")</f>
        <v/>
      </c>
      <c r="X22" s="94" t="str" cm="1">
        <f t="array" ref="X22">IFERROR(_xlfn.AGGREGATE(15, 6, (ACTUALS!$AD$4:$AD$54) / (ACTUALS!$AC$4:$AC$54=$A22), COLUMN(C21)),"")</f>
        <v/>
      </c>
      <c r="Y22" s="94" t="str" cm="1">
        <f t="array" ref="Y22">IFERROR(_xlfn.AGGREGATE(15, 6, (ACTUALS!$AD$4:$AD$54) / (ACTUALS!$AC$4:$AC$54=$A22), COLUMN(D21)),"")</f>
        <v/>
      </c>
      <c r="AD22" s="94" cm="1">
        <f t="array" ref="AD22">IF($G$3="",0,SUM(IFERROR(FIND(TeamstoWatch,B22,1),0)))</f>
        <v>0</v>
      </c>
      <c r="AE22" s="94" cm="1">
        <f t="array" ref="AE22">IF($G$3="",0,SUM(IFERROR(FIND(TeamstoWatch,C22,1),0)))</f>
        <v>0</v>
      </c>
      <c r="AF22" s="94" cm="1">
        <f t="array" ref="AF22">IF($G$3="",0,SUM(IFERROR(FIND(TeamstoWatch,D22,1),0)))</f>
        <v>0</v>
      </c>
      <c r="AG22" s="94" cm="1">
        <f t="array" ref="AG22">IF($G$3="",0,SUM(IFERROR(FIND(TeamstoWatch,E22,1),0)))</f>
        <v>0</v>
      </c>
    </row>
    <row r="23" spans="1:33" s="94" customFormat="1" ht="30" customHeight="1" x14ac:dyDescent="0.25">
      <c r="A23" s="103">
        <v>45487</v>
      </c>
      <c r="B23" s="163" t="str">
        <f ca="1">IF(Q23="","",(OFFSET(tblActuals[[#Headers],[TEAMS]],Q23,0))&amp;CHAR(10)&amp;TEXT(OFFSET(tblActuals[[#Headers],[YOUR LOCAL TIME]],Q23,0),IF($H$3="AM/PM","hh:mm am/pm","hh:mm")))</f>
        <v>Final
03:00 PM</v>
      </c>
      <c r="C23" s="163" t="str">
        <f ca="1">IF(R23="","",(OFFSET(tblActuals[[#Headers],[TEAMS]],R23,0))&amp;CHAR(10)&amp;TEXT(OFFSET(tblActuals[[#Headers],[YOUR LOCAL TIME]],R23,0),IF($H$3="AM/PM","hh:mm am/pm","hh:mm")))</f>
        <v/>
      </c>
      <c r="D23" s="163" t="str">
        <f ca="1">IF(S23="","",(OFFSET(tblActuals[[#Headers],[TEAMS]],S23,0))&amp;CHAR(10)&amp;TEXT(OFFSET(tblActuals[[#Headers],[YOUR LOCAL TIME]],S23,0),IF($H$3="AM/PM","hh:mm am/pm","hh:mm")))</f>
        <v/>
      </c>
      <c r="E23" s="163" t="str">
        <f ca="1">IF(T23="","",(OFFSET(tblActuals[[#Headers],[TEAMS]],T23,0))&amp;CHAR(10)&amp;TEXT(OFFSET(tblActuals[[#Headers],[YOUR LOCAL TIME]],T23,0),IF($H$3="AM/PM","hh:mm am/pm","hh:mm")))</f>
        <v/>
      </c>
      <c r="F23" s="95"/>
      <c r="G23" s="108"/>
      <c r="H23" s="108"/>
      <c r="I23" s="95"/>
      <c r="J23" s="95"/>
      <c r="K23" s="95"/>
      <c r="L23" s="95"/>
      <c r="M23" s="95"/>
      <c r="N23" s="95"/>
      <c r="O23" s="95"/>
      <c r="Q23" s="94">
        <f>IF(V23="","",MATCH(V23,ACTUALS!$AD:$AD,0)-3)</f>
        <v>51</v>
      </c>
      <c r="R23" s="94" t="str">
        <f>IF(W23="","",MATCH(W23,ACTUALS!$AD:$AD,0)-3)</f>
        <v/>
      </c>
      <c r="S23" s="94" t="str">
        <f>IF(X23="","",MATCH(X23,ACTUALS!$AD:$AD,0)-3)</f>
        <v/>
      </c>
      <c r="T23" s="94" t="str">
        <f>IF(Y23="","",MATCH(Y23,ACTUALS!$AD:$AD,0)-3)</f>
        <v/>
      </c>
      <c r="V23" s="94" cm="1">
        <f t="array" ref="V23">IFERROR(_xlfn.AGGREGATE(15, 6, (ACTUALS!$AD$4:$AD$54) / (ACTUALS!$AC$4:$AC$54=$A23), COLUMN(A22)),"")</f>
        <v>56.4</v>
      </c>
      <c r="W23" s="94" t="str" cm="1">
        <f t="array" ref="W23">IFERROR(_xlfn.AGGREGATE(15, 6, (ACTUALS!$AD$4:$AD$54) / (ACTUALS!$AC$4:$AC$54=$A23), COLUMN(B22)),"")</f>
        <v/>
      </c>
      <c r="X23" s="94" t="str" cm="1">
        <f t="array" ref="X23">IFERROR(_xlfn.AGGREGATE(15, 6, (ACTUALS!$AD$4:$AD$54) / (ACTUALS!$AC$4:$AC$54=$A23), COLUMN(C22)),"")</f>
        <v/>
      </c>
      <c r="Y23" s="94" t="str" cm="1">
        <f t="array" ref="Y23">IFERROR(_xlfn.AGGREGATE(15, 6, (ACTUALS!$AD$4:$AD$54) / (ACTUALS!$AC$4:$AC$54=$A23), COLUMN(D22)),"")</f>
        <v/>
      </c>
      <c r="AD23" s="94" cm="1">
        <f t="array" ref="AD23">IF($G$3="",0,SUM(IFERROR(FIND(TeamstoWatch,B23,1),0)))</f>
        <v>0</v>
      </c>
      <c r="AE23" s="94" cm="1">
        <f t="array" ref="AE23">IF($G$3="",0,SUM(IFERROR(FIND(TeamstoWatch,C23,1),0)))</f>
        <v>0</v>
      </c>
      <c r="AF23" s="94" cm="1">
        <f t="array" ref="AF23">IF($G$3="",0,SUM(IFERROR(FIND(TeamstoWatch,D23,1),0)))</f>
        <v>0</v>
      </c>
      <c r="AG23" s="94" cm="1">
        <f t="array" ref="AG23">IF($G$3="",0,SUM(IFERROR(FIND(TeamstoWatch,E23,1),0)))</f>
        <v>0</v>
      </c>
    </row>
    <row r="24" spans="1:33" x14ac:dyDescent="0.25">
      <c r="AD24" s="94" cm="1">
        <f t="array" ref="AD24">IF($G$3="",0,SUM(IFERROR(FIND(TeamstoWatch,B24,1),0)))</f>
        <v>0</v>
      </c>
      <c r="AE24" s="94" cm="1">
        <f t="array" ref="AE24">IF($G$3="",0,SUM(IFERROR(FIND(TeamstoWatch,C24,1),0)))</f>
        <v>0</v>
      </c>
      <c r="AF24" s="94" cm="1">
        <f t="array" ref="AF24">IF($G$3="",0,SUM(IFERROR(FIND(TeamstoWatch,D24,1),0)))</f>
        <v>0</v>
      </c>
      <c r="AG24" s="94" cm="1">
        <f t="array" ref="AG24">IF($G$3="",0,SUM(IFERROR(FIND(TeamstoWatch,E24,1),0)))</f>
        <v>0</v>
      </c>
    </row>
    <row r="25" spans="1:33" x14ac:dyDescent="0.25">
      <c r="AD25" s="94" cm="1">
        <f t="array" ref="AD25">IF($G$3="",0,SUM(IFERROR(FIND(TeamstoWatch,B25,1),0)))</f>
        <v>0</v>
      </c>
      <c r="AE25" s="94" cm="1">
        <f t="array" ref="AE25">IF($G$3="",0,SUM(IFERROR(FIND(TeamstoWatch,C25,1),0)))</f>
        <v>0</v>
      </c>
      <c r="AF25" s="94" cm="1">
        <f t="array" ref="AF25">IF($G$3="",0,SUM(IFERROR(FIND(TeamstoWatch,D25,1),0)))</f>
        <v>0</v>
      </c>
      <c r="AG25" s="94" cm="1">
        <f t="array" ref="AG25">IF($G$3="",0,SUM(IFERROR(FIND(TeamstoWatch,E25,1),0)))</f>
        <v>0</v>
      </c>
    </row>
  </sheetData>
  <sheetProtection algorithmName="SHA-512" hashValue="TrqP5HTuA9Gef0xdzgHB5Gf82Ow3cJD/rdufb4+vj+ec/SjXgJXRCMh5s0FKozGNuMf/Fl7GGh7XdnS5CFCiCQ==" saltValue="FNt782q2FvLUW8c06kllxA==" spinCount="100000" sheet="1" objects="1" scenarios="1" selectLockedCells="1"/>
  <conditionalFormatting sqref="A1">
    <cfRule type="expression" dxfId="5" priority="43">
      <formula>AH7&gt;0</formula>
    </cfRule>
    <cfRule type="expression" dxfId="4" priority="44">
      <formula>LEN(A1)&gt;0</formula>
    </cfRule>
    <cfRule type="expression" dxfId="3" priority="47">
      <formula>AG2&gt;0</formula>
    </cfRule>
    <cfRule type="expression" dxfId="2" priority="48">
      <formula>LEN(A1)&gt;0</formula>
    </cfRule>
  </conditionalFormatting>
  <conditionalFormatting sqref="B2:F23">
    <cfRule type="expression" dxfId="1" priority="1">
      <formula>AD2&gt;0</formula>
    </cfRule>
    <cfRule type="expression" dxfId="0" priority="2">
      <formula>LEN(B2)&gt;0</formula>
    </cfRule>
  </conditionalFormatting>
  <dataValidations count="1">
    <dataValidation type="list" allowBlank="1" showInputMessage="1" showErrorMessage="1" sqref="H3" xr:uid="{7A7ADBAC-9610-4998-91A5-EAEE0EE4AC83}">
      <formula1>"AM/PM,24H"</formula1>
    </dataValidation>
  </dataValidations>
  <pageMargins left="0.7" right="0.7" top="0.75" bottom="0.75" header="0.3" footer="0.3"/>
  <pageSetup orientation="portrait" horizontalDpi="4294967293" verticalDpi="0" r:id="rId1"/>
</worksheet>
</file>

<file path=customUI/_rels/customUI.xml.rels><?xml version="1.0" encoding="UTF-8" standalone="yes"?>
<Relationships xmlns="http://schemas.openxmlformats.org/package/2006/relationships"><Relationship Id="h2eicon" Type="http://schemas.openxmlformats.org/officeDocument/2006/relationships/image" Target="images/h2eicon0.png"/></Relationships>
</file>

<file path=customUI/_rels/customUI14.xml.rels><?xml version="1.0" encoding="UTF-8" standalone="yes"?>
<Relationships xmlns="http://schemas.openxmlformats.org/package/2006/relationships"><Relationship Id="h2eicon" Type="http://schemas.openxmlformats.org/officeDocument/2006/relationships/image" Target="images/h2eicon.png"/></Relationships>
</file>

<file path=customUI/customUI.xml><?xml version="1.0" encoding="utf-8"?>
<customUI xmlns="http://schemas.microsoft.com/office/2006/01/customui">
  <ribbon startFromScratch="false">
    <tabs>
      <tab idMso="TabHome">
        <group id="H2E" label="HowtoExcel.net" insertBeforeMso="GroupNumber">
          <button id="btnH2E" label="Get More Free Templates" image="h2eicon" size="large"/>
        </group>
      </tab>
    </tabs>
  </ribbon>
</customUI>
</file>

<file path=customUI/customUI14.xml><?xml version="1.0" encoding="utf-8"?>
<customUI xmlns="http://schemas.microsoft.com/office/2009/07/customui">
  <ribbon startFromScratch="false">
    <tabs>
      <tab idMso="TabHome">
        <group id="H2E" label="HowtoExcel.net" insertBeforeMso="GroupNumber">
          <button id="btnH2E" label="Get More Free Templates" image="h2eicon" size="large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46</vt:i4>
      </vt:variant>
    </vt:vector>
  </HeadingPairs>
  <TitlesOfParts>
    <vt:vector size="55" baseType="lpstr">
      <vt:lpstr>ACTUALS</vt:lpstr>
      <vt:lpstr>PLAYER1</vt:lpstr>
      <vt:lpstr>PLAYER2</vt:lpstr>
      <vt:lpstr>PLAYER3</vt:lpstr>
      <vt:lpstr>PLAYER4</vt:lpstr>
      <vt:lpstr>PLAYER5</vt:lpstr>
      <vt:lpstr>SCORING.RULES</vt:lpstr>
      <vt:lpstr>SCORING.RESULTS</vt:lpstr>
      <vt:lpstr>PRINTOUT</vt:lpstr>
      <vt:lpstr>CorrectNumberofGoals</vt:lpstr>
      <vt:lpstr>CorrectResult</vt:lpstr>
      <vt:lpstr>CorrectScore</vt:lpstr>
      <vt:lpstr>CorrectStage</vt:lpstr>
      <vt:lpstr>EliminationStages</vt:lpstr>
      <vt:lpstr>penaltiesscored</vt:lpstr>
      <vt:lpstr>PRINTOUT!Print_Area</vt:lpstr>
      <vt:lpstr>shootoutspredicted</vt:lpstr>
      <vt:lpstr>shootoutswon</vt:lpstr>
      <vt:lpstr>ACTUALS!Stadiums</vt:lpstr>
      <vt:lpstr>PLAYER1!Stadiums</vt:lpstr>
      <vt:lpstr>PLAYER2!Stadiums</vt:lpstr>
      <vt:lpstr>PLAYER3!Stadiums</vt:lpstr>
      <vt:lpstr>PLAYER4!Stadiums</vt:lpstr>
      <vt:lpstr>PLAYER5!Stadiums</vt:lpstr>
      <vt:lpstr>Stadiums</vt:lpstr>
      <vt:lpstr>PLAYER1!Stage1</vt:lpstr>
      <vt:lpstr>PLAYER2!Stage1</vt:lpstr>
      <vt:lpstr>PLAYER3!Stage1</vt:lpstr>
      <vt:lpstr>PLAYER4!Stage1</vt:lpstr>
      <vt:lpstr>PLAYER5!Stage1</vt:lpstr>
      <vt:lpstr>Stage1</vt:lpstr>
      <vt:lpstr>PLAYER1!Stage2</vt:lpstr>
      <vt:lpstr>PLAYER2!Stage2</vt:lpstr>
      <vt:lpstr>PLAYER3!Stage2</vt:lpstr>
      <vt:lpstr>PLAYER4!Stage2</vt:lpstr>
      <vt:lpstr>PLAYER5!Stage2</vt:lpstr>
      <vt:lpstr>Stage2</vt:lpstr>
      <vt:lpstr>PLAYER1!Stage3</vt:lpstr>
      <vt:lpstr>PLAYER2!Stage3</vt:lpstr>
      <vt:lpstr>PLAYER3!Stage3</vt:lpstr>
      <vt:lpstr>PLAYER4!Stage3</vt:lpstr>
      <vt:lpstr>PLAYER5!Stage3</vt:lpstr>
      <vt:lpstr>Stage3</vt:lpstr>
      <vt:lpstr>PLAYER1!Stage5</vt:lpstr>
      <vt:lpstr>PLAYER2!Stage5</vt:lpstr>
      <vt:lpstr>PLAYER3!Stage5</vt:lpstr>
      <vt:lpstr>PLAYER4!Stage5</vt:lpstr>
      <vt:lpstr>PLAYER5!Stage5</vt:lpstr>
      <vt:lpstr>Stage5</vt:lpstr>
      <vt:lpstr>ACTUALS!WatchList</vt:lpstr>
      <vt:lpstr>PLAYER1!WatchList</vt:lpstr>
      <vt:lpstr>PLAYER2!WatchList</vt:lpstr>
      <vt:lpstr>PLAYER3!WatchList</vt:lpstr>
      <vt:lpstr>PLAYER4!WatchList</vt:lpstr>
      <vt:lpstr>PLAYER5!WatchList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Jagielski</dc:creator>
  <cp:lastModifiedBy>David J</cp:lastModifiedBy>
  <cp:lastPrinted>2024-04-03T01:05:56Z</cp:lastPrinted>
  <dcterms:created xsi:type="dcterms:W3CDTF">2022-10-01T17:00:25Z</dcterms:created>
  <dcterms:modified xsi:type="dcterms:W3CDTF">2024-06-02T06:53:22Z</dcterms:modified>
</cp:coreProperties>
</file>